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linikapoor/Documents/Shalini Kapoor/Personal/Keshav/Pioneer/"/>
    </mc:Choice>
  </mc:AlternateContent>
  <xr:revisionPtr revIDLastSave="0" documentId="8_{6525A736-5782-DD41-B3B6-9E263B9C128A}" xr6:coauthVersionLast="47" xr6:coauthVersionMax="47" xr10:uidLastSave="{00000000-0000-0000-0000-000000000000}"/>
  <bookViews>
    <workbookView xWindow="0" yWindow="760" windowWidth="34560" windowHeight="19860" activeTab="7" xr2:uid="{780F9325-FC7A-2344-B674-E18D8E20F881}"/>
  </bookViews>
  <sheets>
    <sheet name="Sheet3" sheetId="3" r:id="rId1"/>
    <sheet name="Inflation accounting Regression" sheetId="4" r:id="rId2"/>
    <sheet name="BR vs RATP" sheetId="8" r:id="rId3"/>
    <sheet name="LC vs RATP" sheetId="10" r:id="rId4"/>
    <sheet name="Final Regression" sheetId="11" r:id="rId5"/>
    <sheet name="datasheet" sheetId="5" r:id="rId6"/>
    <sheet name="Sheet4" sheetId="15" r:id="rId7"/>
    <sheet name="Final Datasheet" sheetId="13" r:id="rId8"/>
    <sheet name="NOI vs RATP" sheetId="12" r:id="rId9"/>
    <sheet name="immigration vs transfer fee" sheetId="1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3" l="1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2" i="13"/>
  <c r="I197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2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30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2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42" i="13"/>
  <c r="D144" i="13"/>
  <c r="D145" i="13"/>
  <c r="D146" i="13"/>
  <c r="D148" i="13"/>
  <c r="D147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9" i="13"/>
  <c r="D168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58" i="13"/>
  <c r="D59" i="13"/>
  <c r="D60" i="13"/>
  <c r="D61" i="13"/>
  <c r="D62" i="13"/>
  <c r="D63" i="13"/>
  <c r="D64" i="13"/>
  <c r="D65" i="13"/>
  <c r="D66" i="13"/>
  <c r="D67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114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309" i="13"/>
  <c r="D253" i="13"/>
  <c r="D281" i="13"/>
  <c r="D225" i="13"/>
  <c r="D197" i="13"/>
  <c r="D141" i="13"/>
  <c r="D113" i="13"/>
  <c r="D57" i="13"/>
  <c r="D29" i="13"/>
  <c r="G28" i="5" l="1"/>
  <c r="G29" i="5"/>
  <c r="I29" i="5" s="1"/>
  <c r="G27" i="5"/>
  <c r="G25" i="5"/>
  <c r="I25" i="5" s="1"/>
  <c r="G26" i="5"/>
  <c r="I26" i="5" s="1"/>
  <c r="G24" i="5"/>
  <c r="I24" i="5" s="1"/>
  <c r="G22" i="5"/>
  <c r="I22" i="5" s="1"/>
  <c r="G23" i="5"/>
  <c r="G21" i="5"/>
  <c r="G19" i="5"/>
  <c r="I19" i="5" s="1"/>
  <c r="G20" i="5"/>
  <c r="G18" i="5"/>
  <c r="G11" i="5"/>
  <c r="G16" i="5"/>
  <c r="G17" i="5"/>
  <c r="G15" i="5"/>
  <c r="G7" i="5"/>
  <c r="I7" i="5" s="1"/>
  <c r="G8" i="5"/>
  <c r="G9" i="5"/>
  <c r="G12" i="5"/>
  <c r="G13" i="5"/>
  <c r="G10" i="5"/>
  <c r="G14" i="5"/>
  <c r="G4" i="5"/>
  <c r="G5" i="5"/>
  <c r="G6" i="5"/>
  <c r="G3" i="5"/>
  <c r="I30" i="5" s="1"/>
  <c r="E13" i="1"/>
  <c r="E23" i="1"/>
  <c r="G3" i="1"/>
  <c r="G4" i="1" s="1"/>
  <c r="E28" i="1" s="1"/>
  <c r="D11" i="1"/>
  <c r="E11" i="1" s="1"/>
  <c r="D12" i="1"/>
  <c r="E12" i="1" s="1"/>
  <c r="D13" i="1"/>
  <c r="D14" i="1"/>
  <c r="E14" i="1" s="1"/>
  <c r="D15" i="1"/>
  <c r="E15" i="1" s="1"/>
  <c r="D16" i="1"/>
  <c r="D17" i="1"/>
  <c r="E17" i="1" s="1"/>
  <c r="D18" i="1"/>
  <c r="D19" i="1"/>
  <c r="E19" i="1" s="1"/>
  <c r="D20" i="1"/>
  <c r="E20" i="1" s="1"/>
  <c r="D21" i="1"/>
  <c r="E21" i="1" s="1"/>
  <c r="D22" i="1"/>
  <c r="E22" i="1" s="1"/>
  <c r="D23" i="1"/>
  <c r="D24" i="1"/>
  <c r="E24" i="1" s="1"/>
  <c r="D25" i="1"/>
  <c r="E25" i="1" s="1"/>
  <c r="D26" i="1"/>
  <c r="D27" i="1"/>
  <c r="E27" i="1" s="1"/>
  <c r="D28" i="1"/>
  <c r="D29" i="1"/>
  <c r="E29" i="1" s="1"/>
  <c r="D30" i="1"/>
  <c r="D4" i="1"/>
  <c r="E4" i="1" s="1"/>
  <c r="D5" i="1"/>
  <c r="E5" i="1" s="1"/>
  <c r="D6" i="1"/>
  <c r="D7" i="1"/>
  <c r="E7" i="1" s="1"/>
  <c r="D8" i="1"/>
  <c r="E8" i="1" s="1"/>
  <c r="D9" i="1"/>
  <c r="E9" i="1" s="1"/>
  <c r="D10" i="1"/>
  <c r="E10" i="1" s="1"/>
  <c r="D3" i="1"/>
  <c r="I17" i="5" l="1"/>
  <c r="I12" i="5"/>
  <c r="I9" i="5"/>
  <c r="I21" i="5"/>
  <c r="E18" i="1"/>
  <c r="E26" i="1"/>
  <c r="E16" i="1"/>
  <c r="E6" i="1"/>
  <c r="I8" i="5"/>
  <c r="I23" i="5"/>
  <c r="I15" i="5"/>
  <c r="I5" i="5"/>
  <c r="E3" i="1"/>
  <c r="I4" i="5"/>
  <c r="I16" i="5"/>
  <c r="I14" i="5"/>
  <c r="I11" i="5"/>
  <c r="I27" i="5"/>
  <c r="I6" i="5"/>
  <c r="I10" i="5"/>
  <c r="I18" i="5"/>
  <c r="I13" i="5"/>
  <c r="I20" i="5"/>
  <c r="I28" i="5"/>
  <c r="I3" i="5"/>
  <c r="E12" i="5"/>
  <c r="D12" i="5"/>
  <c r="E18" i="5"/>
  <c r="D18" i="5"/>
  <c r="E10" i="5"/>
  <c r="D10" i="5"/>
  <c r="E17" i="5"/>
  <c r="D17" i="5"/>
  <c r="E5" i="5"/>
  <c r="D5" i="5"/>
  <c r="E6" i="5"/>
  <c r="D6" i="5"/>
  <c r="E15" i="5"/>
  <c r="D15" i="5"/>
  <c r="E24" i="5"/>
  <c r="D24" i="5"/>
  <c r="E8" i="5"/>
  <c r="D8" i="5"/>
  <c r="E21" i="5"/>
  <c r="D21" i="5"/>
  <c r="E16" i="5"/>
  <c r="D16" i="5"/>
  <c r="E4" i="5"/>
  <c r="D4" i="5"/>
  <c r="E13" i="5"/>
  <c r="D13" i="5"/>
  <c r="E20" i="5"/>
  <c r="D20" i="5"/>
  <c r="E26" i="5"/>
  <c r="D26" i="5"/>
  <c r="E27" i="5"/>
  <c r="D27" i="5"/>
  <c r="E9" i="5"/>
  <c r="D9" i="5"/>
  <c r="E25" i="5"/>
  <c r="D25" i="5"/>
  <c r="E19" i="5"/>
  <c r="D19" i="5"/>
  <c r="E7" i="5"/>
  <c r="D7" i="5"/>
  <c r="E22" i="5"/>
  <c r="D22" i="5"/>
  <c r="E28" i="5"/>
  <c r="D28" i="5"/>
  <c r="E23" i="5"/>
  <c r="D23" i="5"/>
  <c r="E11" i="5"/>
  <c r="D11" i="5"/>
  <c r="E29" i="5"/>
  <c r="D29" i="5"/>
  <c r="E14" i="5"/>
  <c r="D14" i="5"/>
  <c r="D30" i="5"/>
  <c r="D3" i="5"/>
  <c r="E3" i="5"/>
</calcChain>
</file>

<file path=xl/sharedStrings.xml><?xml version="1.0" encoding="utf-8"?>
<sst xmlns="http://schemas.openxmlformats.org/spreadsheetml/2006/main" count="813" uniqueCount="77">
  <si>
    <t>Britain</t>
  </si>
  <si>
    <t>Average Transfer Price</t>
  </si>
  <si>
    <t>No of Immigrants entering the country each year (in thousands)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</si>
  <si>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</si>
  <si>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</si>
  <si>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</si>
  <si>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</si>
  <si>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</si>
  <si>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</si>
  <si>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</si>
  <si>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</si>
  <si>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</si>
  <si>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</si>
  <si>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</si>
  <si>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</si>
  <si>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</si>
  <si>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</si>
  <si>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</si>
  <si>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</si>
  <si>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</si>
  <si>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</si>
  <si>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</si>
  <si>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</si>
  <si>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</si>
  <si>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</si>
  <si>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</si>
  <si>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</si>
  <si>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</si>
  <si>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Relative Average Transfer Price</t>
  </si>
  <si>
    <t>Avg Annual Inflation rate=</t>
  </si>
  <si>
    <t>RATP(inflation inclusive)</t>
  </si>
  <si>
    <t>League Coefficient</t>
  </si>
  <si>
    <t>https://kassiesa.net/uefa/data/method1/crank1992.html</t>
  </si>
  <si>
    <t>https://www.statista.com/statistics/385002/premier-league-tv-rights-revenue/</t>
  </si>
  <si>
    <t>Broadcast Revenue (million GBP)</t>
  </si>
  <si>
    <t xml:space="preserve">RBR </t>
  </si>
  <si>
    <t>NOI</t>
  </si>
  <si>
    <t>LC</t>
  </si>
  <si>
    <t>RATP</t>
  </si>
  <si>
    <t>NOI (in thousands)</t>
  </si>
  <si>
    <t>https://en.as.com/soccer/how-much-money-will-real-madrid-make-for-winning-the-champions-league-n/</t>
  </si>
  <si>
    <t>TEAM</t>
  </si>
  <si>
    <t>Manchester City</t>
  </si>
  <si>
    <t>Year</t>
  </si>
  <si>
    <t>ATP(in million pounds)</t>
  </si>
  <si>
    <t>Liverpool</t>
  </si>
  <si>
    <t>Chelsea</t>
  </si>
  <si>
    <t xml:space="preserve">Tottenham </t>
  </si>
  <si>
    <t>Arsenal</t>
  </si>
  <si>
    <t>Manchester United</t>
  </si>
  <si>
    <t>Everton</t>
  </si>
  <si>
    <t>Barcelona</t>
  </si>
  <si>
    <t>Real Madrid</t>
  </si>
  <si>
    <t>Atletico Madrid</t>
  </si>
  <si>
    <t>Sevilla</t>
  </si>
  <si>
    <t>AC Milan</t>
  </si>
  <si>
    <t>Inter Milan</t>
  </si>
  <si>
    <t>Juventus</t>
  </si>
  <si>
    <t>Napoli</t>
  </si>
  <si>
    <t>Bayern Munich</t>
  </si>
  <si>
    <t>Borussia Dortmund</t>
  </si>
  <si>
    <t>Paris Saint Germain</t>
  </si>
  <si>
    <t>Marseille</t>
  </si>
  <si>
    <t>Porto</t>
  </si>
  <si>
    <t>Benfica</t>
  </si>
  <si>
    <t>RBR</t>
  </si>
  <si>
    <t>Pre-reform</t>
  </si>
  <si>
    <t>NOI*PreReform</t>
  </si>
  <si>
    <t>RBR*PreReform</t>
  </si>
  <si>
    <t>LC*PreReform</t>
  </si>
  <si>
    <t>MCI</t>
  </si>
  <si>
    <t>LIV</t>
  </si>
  <si>
    <t>CHE</t>
  </si>
  <si>
    <t>TOT</t>
  </si>
  <si>
    <t>ARS</t>
  </si>
  <si>
    <t>MUN</t>
  </si>
  <si>
    <t>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</si>
</sst>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#,##0_);[Red]\(&quot;₹&quot;#,##0\)"/>
    <numFmt numFmtId="8" formatCode="&quot;₹&quot;#,##0.00_);[Red]\(&quot;₹&quot;#,##0.00\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Open Sans"/>
      <family val="2"/>
    </font>
    <font>
      <i/>
      <sz val="12"/>
      <color theme="1"/>
      <name val="Calibri"/>
      <family val="2"/>
      <scheme val="minor"/>
    </font>
    <font>
      <sz val="11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6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3" fontId="0" fillId="0" borderId="0" xfId="0" applyNumberFormat="1"/>
    <xf numFmtId="8" fontId="0" fillId="0" borderId="0" xfId="0" applyNumberFormat="1"/>
    <xf numFmtId="10" fontId="0" fillId="0" borderId="0" xfId="0" applyNumberFormat="1"/>
    <xf numFmtId="0" fontId="0" fillId="3" borderId="0" xfId="0" applyFill="1"/>
    <xf numFmtId="0" fontId="4" fillId="0" borderId="0" xfId="0" applyFont="1"/>
    <xf numFmtId="0" fontId="3" fillId="0" borderId="0" xfId="0" applyFont="1" applyFill="1" applyBorder="1" applyAlignment="1">
      <alignment horizontal="centerContinuous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LC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RATP(inflation inclusive)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155511811023622"/>
                  <c:y val="-0.111898148148148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datasheet!$E$3:$E$30</c:f>
              <c:numCache>
                <c:formatCode>General</c:formatCode>
                <c:ptCount val="28"/>
                <c:pt idx="0">
                  <c:v>1.0698000000000001</c:v>
                </c:pt>
                <c:pt idx="1">
                  <c:v>1.4722586083323248</c:v>
                </c:pt>
                <c:pt idx="2">
                  <c:v>1.9869189133636636</c:v>
                </c:pt>
                <c:pt idx="3">
                  <c:v>2.8033870019357936</c:v>
                </c:pt>
                <c:pt idx="4">
                  <c:v>2.4622557949711523</c:v>
                </c:pt>
                <c:pt idx="5">
                  <c:v>2.7852280656590911</c:v>
                </c:pt>
                <c:pt idx="6">
                  <c:v>3.8397214818819583</c:v>
                </c:pt>
                <c:pt idx="7">
                  <c:v>3.2691519158585152</c:v>
                </c:pt>
                <c:pt idx="8">
                  <c:v>5.1691128540660642</c:v>
                </c:pt>
                <c:pt idx="9">
                  <c:v>6.6965308205372871</c:v>
                </c:pt>
                <c:pt idx="10">
                  <c:v>3.5960639677961139</c:v>
                </c:pt>
                <c:pt idx="11">
                  <c:v>3.3834400776141766</c:v>
                </c:pt>
                <c:pt idx="12">
                  <c:v>4.3668325557818015</c:v>
                </c:pt>
                <c:pt idx="13">
                  <c:v>4.2027892476597239</c:v>
                </c:pt>
                <c:pt idx="14">
                  <c:v>4.3788327308047901</c:v>
                </c:pt>
                <c:pt idx="15">
                  <c:v>6.8586301171711792</c:v>
                </c:pt>
                <c:pt idx="16">
                  <c:v>6.6966814057047941</c:v>
                </c:pt>
                <c:pt idx="17">
                  <c:v>4.5314137110978816</c:v>
                </c:pt>
                <c:pt idx="18">
                  <c:v>5.4996303451571231</c:v>
                </c:pt>
                <c:pt idx="19">
                  <c:v>4.4750764010110542</c:v>
                </c:pt>
                <c:pt idx="20">
                  <c:v>5.9188524385310268</c:v>
                </c:pt>
                <c:pt idx="21">
                  <c:v>6.6317499419623251</c:v>
                </c:pt>
                <c:pt idx="22">
                  <c:v>8.7414958097009645</c:v>
                </c:pt>
                <c:pt idx="23">
                  <c:v>11.278159404286798</c:v>
                </c:pt>
                <c:pt idx="24">
                  <c:v>15.349313176223669</c:v>
                </c:pt>
                <c:pt idx="25">
                  <c:v>19.738454333511985</c:v>
                </c:pt>
                <c:pt idx="26">
                  <c:v>16.566412801778593</c:v>
                </c:pt>
                <c:pt idx="27">
                  <c:v>18.40832498</c:v>
                </c:pt>
              </c:numCache>
            </c:numRef>
          </c:xVal>
          <c:yVal>
            <c:numRef>
              <c:f>datasheet!$H$3:$H$30</c:f>
              <c:numCache>
                <c:formatCode>General</c:formatCode>
                <c:ptCount val="28"/>
                <c:pt idx="0">
                  <c:v>3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15</c:v>
                </c:pt>
                <c:pt idx="2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8-5849-8B99-60047545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105936"/>
        <c:axId val="1084075056"/>
      </c:scatterChart>
      <c:valAx>
        <c:axId val="108410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RATP(inflation inclusive)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75056"/>
        <c:crosses val="autoZero"/>
        <c:crossBetween val="midCat"/>
      </c:valAx>
      <c:valAx>
        <c:axId val="108407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10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No of Immigrants entering the country each year (in thousands)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Average Transfer Price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Transfer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'immigration vs transfer fee'!$B$3:$B$30</c:f>
              <c:numCache>
                <c:formatCode>General</c:formatCode>
                <c:ptCount val="28"/>
                <c:pt idx="0">
                  <c:v>268</c:v>
                </c:pt>
                <c:pt idx="1">
                  <c:v>266</c:v>
                </c:pt>
                <c:pt idx="2">
                  <c:v>315</c:v>
                </c:pt>
                <c:pt idx="3">
                  <c:v>312</c:v>
                </c:pt>
                <c:pt idx="4">
                  <c:v>318</c:v>
                </c:pt>
                <c:pt idx="5">
                  <c:v>327</c:v>
                </c:pt>
                <c:pt idx="6">
                  <c:v>391</c:v>
                </c:pt>
                <c:pt idx="7">
                  <c:v>454</c:v>
                </c:pt>
                <c:pt idx="8">
                  <c:v>479</c:v>
                </c:pt>
                <c:pt idx="9">
                  <c:v>481</c:v>
                </c:pt>
                <c:pt idx="10">
                  <c:v>516</c:v>
                </c:pt>
                <c:pt idx="11">
                  <c:v>511</c:v>
                </c:pt>
                <c:pt idx="12">
                  <c:v>589</c:v>
                </c:pt>
                <c:pt idx="13">
                  <c:v>567</c:v>
                </c:pt>
                <c:pt idx="14">
                  <c:v>596</c:v>
                </c:pt>
                <c:pt idx="15">
                  <c:v>574</c:v>
                </c:pt>
                <c:pt idx="16">
                  <c:v>590</c:v>
                </c:pt>
                <c:pt idx="17">
                  <c:v>591</c:v>
                </c:pt>
                <c:pt idx="18">
                  <c:v>604</c:v>
                </c:pt>
                <c:pt idx="19">
                  <c:v>599</c:v>
                </c:pt>
                <c:pt idx="20">
                  <c:v>524</c:v>
                </c:pt>
                <c:pt idx="21">
                  <c:v>557</c:v>
                </c:pt>
                <c:pt idx="22">
                  <c:v>667</c:v>
                </c:pt>
                <c:pt idx="23">
                  <c:v>664</c:v>
                </c:pt>
                <c:pt idx="24">
                  <c:v>622</c:v>
                </c:pt>
                <c:pt idx="25">
                  <c:v>644</c:v>
                </c:pt>
                <c:pt idx="26">
                  <c:v>604</c:v>
                </c:pt>
                <c:pt idx="27">
                  <c:v>681</c:v>
                </c:pt>
              </c:numCache>
            </c:numRef>
          </c:xVal>
          <c:yVal>
            <c:numRef>
              <c:f>'immigration vs transfer fee'!$C$3:$C$30</c:f>
            </c:numRef>
          </c:yVal>
          <c:smooth val="0"/>
          <c:extLst>
            <c:ext xmlns:c16="http://schemas.microsoft.com/office/drawing/2014/chart" uri="{C3380CC4-5D6E-409C-BE32-E72D297353CC}">
              <c16:uniqueId val="{00000000-BC16-AE4A-A0E2-83211C63F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610880"/>
        <c:axId val="1898647536"/>
      </c:scatterChart>
      <c:valAx>
        <c:axId val="189861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 of Immigrants entering the country each year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47536"/>
        <c:crosses val="autoZero"/>
        <c:crossBetween val="midCat"/>
      </c:valAx>
      <c:valAx>
        <c:axId val="18986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Transfer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#,##0_);[Red]\(&quot;₹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10880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No of Immigrants entering the country each year (in thousands) and Field: Average Transfer Price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Transfer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'immigration vs transfer fee'!$B$3:$B$30</c:f>
              <c:numCache>
                <c:formatCode>General</c:formatCode>
                <c:ptCount val="28"/>
                <c:pt idx="0">
                  <c:v>268</c:v>
                </c:pt>
                <c:pt idx="1">
                  <c:v>266</c:v>
                </c:pt>
                <c:pt idx="2">
                  <c:v>315</c:v>
                </c:pt>
                <c:pt idx="3">
                  <c:v>312</c:v>
                </c:pt>
                <c:pt idx="4">
                  <c:v>318</c:v>
                </c:pt>
                <c:pt idx="5">
                  <c:v>327</c:v>
                </c:pt>
                <c:pt idx="6">
                  <c:v>391</c:v>
                </c:pt>
                <c:pt idx="7">
                  <c:v>454</c:v>
                </c:pt>
                <c:pt idx="8">
                  <c:v>479</c:v>
                </c:pt>
                <c:pt idx="9">
                  <c:v>481</c:v>
                </c:pt>
                <c:pt idx="10">
                  <c:v>516</c:v>
                </c:pt>
                <c:pt idx="11">
                  <c:v>511</c:v>
                </c:pt>
                <c:pt idx="12">
                  <c:v>589</c:v>
                </c:pt>
                <c:pt idx="13">
                  <c:v>567</c:v>
                </c:pt>
                <c:pt idx="14">
                  <c:v>596</c:v>
                </c:pt>
                <c:pt idx="15">
                  <c:v>574</c:v>
                </c:pt>
                <c:pt idx="16">
                  <c:v>590</c:v>
                </c:pt>
                <c:pt idx="17">
                  <c:v>591</c:v>
                </c:pt>
                <c:pt idx="18">
                  <c:v>604</c:v>
                </c:pt>
                <c:pt idx="19">
                  <c:v>599</c:v>
                </c:pt>
                <c:pt idx="20">
                  <c:v>524</c:v>
                </c:pt>
                <c:pt idx="21">
                  <c:v>557</c:v>
                </c:pt>
                <c:pt idx="22">
                  <c:v>667</c:v>
                </c:pt>
                <c:pt idx="23">
                  <c:v>664</c:v>
                </c:pt>
                <c:pt idx="24">
                  <c:v>622</c:v>
                </c:pt>
                <c:pt idx="25">
                  <c:v>644</c:v>
                </c:pt>
                <c:pt idx="26">
                  <c:v>604</c:v>
                </c:pt>
                <c:pt idx="27">
                  <c:v>681</c:v>
                </c:pt>
              </c:numCache>
            </c:numRef>
          </c:xVal>
          <c:yVal>
            <c:numRef>
              <c:f>'immigration vs transfer fee'!$C$3:$C$30</c:f>
            </c:numRef>
          </c:yVal>
          <c:smooth val="0"/>
          <c:extLst>
            <c:ext xmlns:c16="http://schemas.microsoft.com/office/drawing/2014/chart" uri="{C3380CC4-5D6E-409C-BE32-E72D297353CC}">
              <c16:uniqueId val="{00000000-6ADD-E048-AADA-A3D7FA9E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99055"/>
        <c:axId val="540654223"/>
      </c:scatterChart>
      <c:valAx>
        <c:axId val="54059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 of Immigrants entering the country each year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54223"/>
        <c:crosses val="autoZero"/>
        <c:crossBetween val="midCat"/>
      </c:valAx>
      <c:valAx>
        <c:axId val="54065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Transfer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99055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29201262293576"/>
                  <c:y val="-0.278861878073101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'immigration vs transfer fee'!$B$3:$B$30</c:f>
              <c:numCache>
                <c:formatCode>General</c:formatCode>
                <c:ptCount val="28"/>
                <c:pt idx="0">
                  <c:v>268</c:v>
                </c:pt>
                <c:pt idx="1">
                  <c:v>266</c:v>
                </c:pt>
                <c:pt idx="2">
                  <c:v>315</c:v>
                </c:pt>
                <c:pt idx="3">
                  <c:v>312</c:v>
                </c:pt>
                <c:pt idx="4">
                  <c:v>318</c:v>
                </c:pt>
                <c:pt idx="5">
                  <c:v>327</c:v>
                </c:pt>
                <c:pt idx="6">
                  <c:v>391</c:v>
                </c:pt>
                <c:pt idx="7">
                  <c:v>454</c:v>
                </c:pt>
                <c:pt idx="8">
                  <c:v>479</c:v>
                </c:pt>
                <c:pt idx="9">
                  <c:v>481</c:v>
                </c:pt>
                <c:pt idx="10">
                  <c:v>516</c:v>
                </c:pt>
                <c:pt idx="11">
                  <c:v>511</c:v>
                </c:pt>
                <c:pt idx="12">
                  <c:v>589</c:v>
                </c:pt>
                <c:pt idx="13">
                  <c:v>567</c:v>
                </c:pt>
                <c:pt idx="14">
                  <c:v>596</c:v>
                </c:pt>
                <c:pt idx="15">
                  <c:v>574</c:v>
                </c:pt>
                <c:pt idx="16">
                  <c:v>590</c:v>
                </c:pt>
                <c:pt idx="17">
                  <c:v>591</c:v>
                </c:pt>
                <c:pt idx="18">
                  <c:v>604</c:v>
                </c:pt>
                <c:pt idx="19">
                  <c:v>599</c:v>
                </c:pt>
                <c:pt idx="20">
                  <c:v>524</c:v>
                </c:pt>
                <c:pt idx="21">
                  <c:v>557</c:v>
                </c:pt>
                <c:pt idx="22">
                  <c:v>667</c:v>
                </c:pt>
                <c:pt idx="23">
                  <c:v>664</c:v>
                </c:pt>
                <c:pt idx="24">
                  <c:v>622</c:v>
                </c:pt>
                <c:pt idx="25">
                  <c:v>644</c:v>
                </c:pt>
                <c:pt idx="26">
                  <c:v>604</c:v>
                </c:pt>
                <c:pt idx="27">
                  <c:v>681</c:v>
                </c:pt>
              </c:numCache>
            </c:numRef>
          </c:xVal>
          <c:yVal>
            <c:numRef>
              <c:f>'immigration vs transfer fee'!$C$3:$C$30</c:f>
            </c:numRef>
          </c:yVal>
          <c:smooth val="0"/>
          <c:extLst>
            <c:ext xmlns:c16="http://schemas.microsoft.com/office/drawing/2014/chart" uri="{C3380CC4-5D6E-409C-BE32-E72D297353CC}">
              <c16:uniqueId val="{00000000-2262-D341-837D-6C577D8F8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39711"/>
        <c:axId val="2016098944"/>
      </c:scatterChart>
      <c:valAx>
        <c:axId val="54103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098944"/>
        <c:crosses val="autoZero"/>
        <c:crossBetween val="midCat"/>
      </c:valAx>
      <c:valAx>
        <c:axId val="20160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₹&quot;#,##0_);[Red]\(&quot;₹&quot;#,##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3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'RATP' by 'NOI (in thousands)'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5385498687664036"/>
                  <c:y val="-0.331081583552055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'immigration vs transfer fee'!$B$3:$B$30</c:f>
              <c:numCache>
                <c:formatCode>General</c:formatCode>
                <c:ptCount val="28"/>
                <c:pt idx="0">
                  <c:v>268</c:v>
                </c:pt>
                <c:pt idx="1">
                  <c:v>266</c:v>
                </c:pt>
                <c:pt idx="2">
                  <c:v>315</c:v>
                </c:pt>
                <c:pt idx="3">
                  <c:v>312</c:v>
                </c:pt>
                <c:pt idx="4">
                  <c:v>318</c:v>
                </c:pt>
                <c:pt idx="5">
                  <c:v>327</c:v>
                </c:pt>
                <c:pt idx="6">
                  <c:v>391</c:v>
                </c:pt>
                <c:pt idx="7">
                  <c:v>454</c:v>
                </c:pt>
                <c:pt idx="8">
                  <c:v>479</c:v>
                </c:pt>
                <c:pt idx="9">
                  <c:v>481</c:v>
                </c:pt>
                <c:pt idx="10">
                  <c:v>516</c:v>
                </c:pt>
                <c:pt idx="11">
                  <c:v>511</c:v>
                </c:pt>
                <c:pt idx="12">
                  <c:v>589</c:v>
                </c:pt>
                <c:pt idx="13">
                  <c:v>567</c:v>
                </c:pt>
                <c:pt idx="14">
                  <c:v>596</c:v>
                </c:pt>
                <c:pt idx="15">
                  <c:v>574</c:v>
                </c:pt>
                <c:pt idx="16">
                  <c:v>590</c:v>
                </c:pt>
                <c:pt idx="17">
                  <c:v>591</c:v>
                </c:pt>
                <c:pt idx="18">
                  <c:v>604</c:v>
                </c:pt>
                <c:pt idx="19">
                  <c:v>599</c:v>
                </c:pt>
                <c:pt idx="20">
                  <c:v>524</c:v>
                </c:pt>
                <c:pt idx="21">
                  <c:v>557</c:v>
                </c:pt>
                <c:pt idx="22">
                  <c:v>667</c:v>
                </c:pt>
                <c:pt idx="23">
                  <c:v>664</c:v>
                </c:pt>
                <c:pt idx="24">
                  <c:v>622</c:v>
                </c:pt>
                <c:pt idx="25">
                  <c:v>644</c:v>
                </c:pt>
                <c:pt idx="26">
                  <c:v>604</c:v>
                </c:pt>
                <c:pt idx="27">
                  <c:v>681</c:v>
                </c:pt>
              </c:numCache>
            </c:numRef>
          </c:xVal>
          <c:yVal>
            <c:numRef>
              <c:f>'immigration vs transfer fee'!$E$3:$E$30</c:f>
              <c:numCache>
                <c:formatCode>General</c:formatCode>
                <c:ptCount val="28"/>
                <c:pt idx="0">
                  <c:v>1.0698000000000001</c:v>
                </c:pt>
                <c:pt idx="1">
                  <c:v>1.4722586083323248</c:v>
                </c:pt>
                <c:pt idx="2">
                  <c:v>1.9869189133636636</c:v>
                </c:pt>
                <c:pt idx="3">
                  <c:v>2.8033870019357936</c:v>
                </c:pt>
                <c:pt idx="4">
                  <c:v>2.4622557949711523</c:v>
                </c:pt>
                <c:pt idx="5">
                  <c:v>2.7852280656590911</c:v>
                </c:pt>
                <c:pt idx="6">
                  <c:v>3.8397214818819583</c:v>
                </c:pt>
                <c:pt idx="7">
                  <c:v>3.2691519158585152</c:v>
                </c:pt>
                <c:pt idx="8">
                  <c:v>5.1691128540660642</c:v>
                </c:pt>
                <c:pt idx="9">
                  <c:v>6.6965308205372871</c:v>
                </c:pt>
                <c:pt idx="10">
                  <c:v>3.5960639677961139</c:v>
                </c:pt>
                <c:pt idx="11">
                  <c:v>3.3834400776141766</c:v>
                </c:pt>
                <c:pt idx="12">
                  <c:v>4.3668325557818015</c:v>
                </c:pt>
                <c:pt idx="13">
                  <c:v>4.2027892476597239</c:v>
                </c:pt>
                <c:pt idx="14">
                  <c:v>4.3788327308047901</c:v>
                </c:pt>
                <c:pt idx="15">
                  <c:v>6.8586301171711792</c:v>
                </c:pt>
                <c:pt idx="16">
                  <c:v>6.6966814057047941</c:v>
                </c:pt>
                <c:pt idx="17">
                  <c:v>4.5314137110978816</c:v>
                </c:pt>
                <c:pt idx="18">
                  <c:v>5.4996303451571231</c:v>
                </c:pt>
                <c:pt idx="19">
                  <c:v>4.4750764010110542</c:v>
                </c:pt>
                <c:pt idx="20">
                  <c:v>5.9188524385310268</c:v>
                </c:pt>
                <c:pt idx="21">
                  <c:v>6.6317499419623251</c:v>
                </c:pt>
                <c:pt idx="22">
                  <c:v>8.7414958097009645</c:v>
                </c:pt>
                <c:pt idx="23">
                  <c:v>11.278159404286798</c:v>
                </c:pt>
                <c:pt idx="24">
                  <c:v>15.349313176223669</c:v>
                </c:pt>
                <c:pt idx="25">
                  <c:v>19.738454333511985</c:v>
                </c:pt>
                <c:pt idx="26">
                  <c:v>16.566412801778593</c:v>
                </c:pt>
                <c:pt idx="27">
                  <c:v>18.40832498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4-924D-9027-A67246131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348096"/>
        <c:axId val="1086681984"/>
      </c:scatterChart>
      <c:valAx>
        <c:axId val="108634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NOI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81984"/>
        <c:crosses val="autoZero"/>
        <c:crossBetween val="midCat"/>
      </c:valAx>
      <c:valAx>
        <c:axId val="10866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34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825500</xdr:colOff>
      <xdr:row>31</xdr:row>
      <xdr:rowOff>127000</xdr:rowOff>
    </xdr:from>
    <xdr:to>
      <xdr:col>7</xdr:col>
      <xdr:colOff>1524000</xdr:colOff>
      <xdr:row>45</xdr:row>
      <xdr:rowOff>25400</xdr:rowOff>
    </xdr:to>
    <xdr:graphicFrame macro="">
      <xdr:nvGraphicFramePr>
        <xdr:cNvPr id="6" name="Chart 5" descr="Chart type: Scatter. Field: LC appears highly determined by Field: RATP(inflation inclusive).&#10;&#10;Description automatically generated">
          <a:extLst>
            <a:ext uri="{FF2B5EF4-FFF2-40B4-BE49-F238E27FC236}">
              <a16:creationId xmlns:a16="http://schemas.microsoft.com/office/drawing/2014/main" id="{C3159F52-4058-F57B-B19E-D680C4214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1155700</xdr:colOff>
      <xdr:row>38</xdr:row>
      <xdr:rowOff>0</xdr:rowOff>
    </xdr:from>
    <xdr:to>
      <xdr:col>3</xdr:col>
      <xdr:colOff>12700</xdr:colOff>
      <xdr:row>51</xdr:row>
      <xdr:rowOff>101600</xdr:rowOff>
    </xdr:to>
    <xdr:graphicFrame macro="">
      <xdr:nvGraphicFramePr>
        <xdr:cNvPr id="3" name="Chart 2" descr="Chart type: Scatter. Field: No of Immigrants entering the country each year (in thousands) and Field: Average Transfer Price appear highly correlated.&#10;&#10;Description automatically generated">
          <a:extLst>
            <a:ext uri="{FF2B5EF4-FFF2-40B4-BE49-F238E27FC236}">
              <a16:creationId xmlns:a16="http://schemas.microsoft.com/office/drawing/2014/main" id="{C1C30CA1-543C-502C-7D51-0A372D2CD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457200</xdr:colOff>
      <xdr:row>6</xdr:row>
      <xdr:rowOff>152400</xdr:rowOff>
    </xdr:from>
    <xdr:to>
      <xdr:col>26</xdr:col>
      <xdr:colOff>76200</xdr:colOff>
      <xdr:row>20</xdr:row>
      <xdr:rowOff>50800</xdr:rowOff>
    </xdr:to>
    <xdr:graphicFrame macro="">
      <xdr:nvGraphicFramePr>
        <xdr:cNvPr id="4" name="Chart 3" descr="Chart type: Scatter. Field: No of Immigrants entering the country each year (in thousands) and Field: Average Transfer Price appear highly correlated.&#10;&#10;Description automatically generated">
          <a:extLst>
            <a:ext uri="{FF2B5EF4-FFF2-40B4-BE49-F238E27FC236}">
              <a16:creationId xmlns:a16="http://schemas.microsoft.com/office/drawing/2014/main" id="{07161BB3-0B67-F394-45E7-CF9CD6DB9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546100</xdr:colOff>
      <xdr:row>26</xdr:row>
      <xdr:rowOff>57150</xdr:rowOff>
    </xdr:from>
    <xdr:to>
      <xdr:col>23</xdr:col>
      <xdr:colOff>469900</xdr:colOff>
      <xdr:row>47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70934-4262-3753-3F39-5256DD372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1562100</xdr:colOff>
      <xdr:row>15</xdr:row>
      <xdr:rowOff>190500</xdr:rowOff>
    </xdr:from>
    <xdr:to>
      <xdr:col>10</xdr:col>
      <xdr:colOff>63500</xdr:colOff>
      <xdr:row>29</xdr:row>
      <xdr:rowOff>88900</xdr:rowOff>
    </xdr:to>
    <xdr:graphicFrame macro="">
      <xdr:nvGraphicFramePr>
        <xdr:cNvPr id="7" name="Chart 6" descr="Chart type: Scatter. 'RATP' by 'NOI (in thousands)'&#10;&#10;Description automatically generated">
          <a:extLst>
            <a:ext uri="{FF2B5EF4-FFF2-40B4-BE49-F238E27FC236}">
              <a16:creationId xmlns:a16="http://schemas.microsoft.com/office/drawing/2014/main" id="{80FB2718-BC17-C0B5-E4F3-8378AD156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A95C-8768-5E42-9FE3-4A12C5A666A5}">
  <dimension ref="A1:I18"/>
  <sheetViews>
    <sheetView workbookViewId="0">
      <selection activeCell="B7" sqref="B7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8" t="s">
        <v>4</v>
      </c>
      <c r="B3" s="8"/>
    </row>
    <row r="4" spans="1:9" x14ac:dyDescent="0.2">
      <c r="A4" s="5" t="s">
        <v>5</v>
      </c>
      <c r="B4" s="5">
        <v>0.67440238678981923</v>
      </c>
    </row>
    <row r="5" spans="1:9" x14ac:dyDescent="0.2">
      <c r="A5" s="5" t="s">
        <v>6</v>
      </c>
      <c r="B5" s="5">
        <v>0.45481857930780489</v>
      </c>
    </row>
    <row r="6" spans="1:9" x14ac:dyDescent="0.2">
      <c r="A6" s="5" t="s">
        <v>7</v>
      </c>
      <c r="B6" s="5">
        <v>0.43385006312733587</v>
      </c>
    </row>
    <row r="7" spans="1:9" x14ac:dyDescent="0.2">
      <c r="A7" s="5" t="s">
        <v>8</v>
      </c>
      <c r="B7" s="5">
        <v>89454671.140893221</v>
      </c>
    </row>
    <row r="8" spans="1:9" ht="17" thickBot="1" x14ac:dyDescent="0.25">
      <c r="A8" s="6" t="s">
        <v>9</v>
      </c>
      <c r="B8" s="6">
        <v>28</v>
      </c>
    </row>
    <row r="10" spans="1:9" ht="17" thickBot="1" x14ac:dyDescent="0.25">
      <c r="A10" t="s">
        <v>10</v>
      </c>
    </row>
    <row r="11" spans="1:9" x14ac:dyDescent="0.2">
      <c r="A11" s="7"/>
      <c r="B11" s="7" t="s">
        <v>15</v>
      </c>
      <c r="C11" s="7" t="s">
        <v>16</v>
      </c>
      <c r="D11" s="7" t="s">
        <v>17</v>
      </c>
      <c r="E11" s="7" t="s">
        <v>18</v>
      </c>
      <c r="F11" s="7" t="s">
        <v>19</v>
      </c>
    </row>
    <row r="12" spans="1:9" x14ac:dyDescent="0.2">
      <c r="A12" s="5" t="s">
        <v>11</v>
      </c>
      <c r="B12" s="5">
        <v>1</v>
      </c>
      <c r="C12" s="5">
        <v>1.7357075203546179E+17</v>
      </c>
      <c r="D12" s="5">
        <v>1.7357075203546179E+17</v>
      </c>
      <c r="E12" s="5">
        <v>21.690546693592083</v>
      </c>
      <c r="F12" s="5">
        <v>8.305435208638817E-5</v>
      </c>
    </row>
    <row r="13" spans="1:9" x14ac:dyDescent="0.2">
      <c r="A13" s="5" t="s">
        <v>12</v>
      </c>
      <c r="B13" s="5">
        <v>26</v>
      </c>
      <c r="C13" s="5">
        <v>2.0805559291205923E+17</v>
      </c>
      <c r="D13" s="5">
        <v>8002138188925355</v>
      </c>
      <c r="E13" s="5"/>
      <c r="F13" s="5"/>
    </row>
    <row r="14" spans="1:9" ht="17" thickBot="1" x14ac:dyDescent="0.25">
      <c r="A14" s="6" t="s">
        <v>13</v>
      </c>
      <c r="B14" s="6">
        <v>27</v>
      </c>
      <c r="C14" s="6">
        <v>3.8162634494752102E+17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20</v>
      </c>
      <c r="C16" s="7" t="s">
        <v>8</v>
      </c>
      <c r="D16" s="7" t="s">
        <v>21</v>
      </c>
      <c r="E16" s="7" t="s">
        <v>22</v>
      </c>
      <c r="F16" s="7" t="s">
        <v>23</v>
      </c>
      <c r="G16" s="7" t="s">
        <v>24</v>
      </c>
      <c r="H16" s="7" t="s">
        <v>25</v>
      </c>
      <c r="I16" s="7" t="s">
        <v>26</v>
      </c>
    </row>
    <row r="17" spans="1:9" x14ac:dyDescent="0.2">
      <c r="A17" s="5" t="s">
        <v>14</v>
      </c>
      <c r="B17" s="5">
        <v>-166077478.33045518</v>
      </c>
      <c r="C17" s="5">
        <v>69869825.573756605</v>
      </c>
      <c r="D17" s="5">
        <v>-2.3769556738786903</v>
      </c>
      <c r="E17" s="5">
        <v>2.5101545595726252E-2</v>
      </c>
      <c r="F17" s="5">
        <v>-309696961.67015457</v>
      </c>
      <c r="G17" s="5">
        <v>-22457994.990755826</v>
      </c>
      <c r="H17" s="5">
        <v>-309696961.67015457</v>
      </c>
      <c r="I17" s="5">
        <v>-22457994.990755826</v>
      </c>
    </row>
    <row r="18" spans="1:9" ht="17" thickBot="1" x14ac:dyDescent="0.25">
      <c r="A18" s="6" t="s">
        <v>27</v>
      </c>
      <c r="B18" s="6">
        <v>617750.9150480571</v>
      </c>
      <c r="C18" s="6">
        <v>132641.11020747438</v>
      </c>
      <c r="D18" s="6">
        <v>4.6573111012248338</v>
      </c>
      <c r="E18" s="6">
        <v>8.30543520863884E-5</v>
      </c>
      <c r="F18" s="6">
        <v>345103.20824231982</v>
      </c>
      <c r="G18" s="6">
        <v>890398.62185379444</v>
      </c>
      <c r="H18" s="6">
        <v>345103.20824231982</v>
      </c>
      <c r="I18" s="6">
        <v>890398.62185379444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B95B-A814-E34D-9F6B-C533CD27D691}">
  <dimension ref="A1:L30"/>
  <sheetViews>
    <sheetView zoomScaleNormal="100" workbookViewId="0">
      <selection activeCell="L27" sqref="L27"/>
    </sheetView>
  </sheetViews>
  <sheetFormatPr baseColWidth="10" defaultRowHeight="16" x14ac:dyDescent="0.2"/>
  <cols>
    <col min="2" max="2" width="53.83203125" customWidth="1"/>
    <col min="3" max="3" width="21.1640625" hidden="1" customWidth="1"/>
    <col min="4" max="4" width="36" hidden="1" customWidth="1"/>
    <col min="5" max="5" width="36" customWidth="1"/>
    <col min="6" max="6" width="23.6640625" customWidth="1"/>
    <col min="7" max="7" width="23.5" customWidth="1"/>
  </cols>
  <sheetData>
    <row r="1" spans="1:8" x14ac:dyDescent="0.2">
      <c r="A1" s="1"/>
      <c r="B1" s="1" t="s">
        <v>0</v>
      </c>
      <c r="C1" s="1"/>
      <c r="D1" s="1"/>
      <c r="E1" s="1"/>
      <c r="F1" s="1"/>
      <c r="H1" s="1"/>
    </row>
    <row r="2" spans="1:8" x14ac:dyDescent="0.2">
      <c r="B2" t="s">
        <v>39</v>
      </c>
      <c r="C2" t="s">
        <v>1</v>
      </c>
      <c r="D2" t="s">
        <v>28</v>
      </c>
      <c r="E2" t="s">
        <v>38</v>
      </c>
      <c r="F2" t="s">
        <v>29</v>
      </c>
      <c r="G2" s="11">
        <v>6.9800000000000001E-2</v>
      </c>
    </row>
    <row r="3" spans="1:8" x14ac:dyDescent="0.2">
      <c r="A3" s="2">
        <v>1992</v>
      </c>
      <c r="B3" s="3">
        <v>268</v>
      </c>
      <c r="C3" s="4">
        <v>23242661</v>
      </c>
      <c r="D3">
        <f>C3/$C$3</f>
        <v>1</v>
      </c>
      <c r="E3" s="12">
        <f>D3+$G$4</f>
        <v>1.0698000000000001</v>
      </c>
      <c r="F3" s="9"/>
      <c r="G3" s="10">
        <f>(6.98/100)*C3</f>
        <v>1622337.7378</v>
      </c>
      <c r="H3" s="4"/>
    </row>
    <row r="4" spans="1:8" x14ac:dyDescent="0.2">
      <c r="A4" s="2">
        <v>1993</v>
      </c>
      <c r="B4" s="3">
        <v>266</v>
      </c>
      <c r="C4" s="4">
        <v>32596870</v>
      </c>
      <c r="D4">
        <f t="shared" ref="D4:D30" si="0">C4/$C$3</f>
        <v>1.4024586083323247</v>
      </c>
      <c r="E4" s="12">
        <f t="shared" ref="E4:E29" si="1">D4+$G$4</f>
        <v>1.4722586083323248</v>
      </c>
      <c r="F4" s="9"/>
      <c r="G4">
        <f>G3/C3</f>
        <v>6.9800000000000001E-2</v>
      </c>
    </row>
    <row r="5" spans="1:8" x14ac:dyDescent="0.2">
      <c r="A5" s="2">
        <v>1994</v>
      </c>
      <c r="B5" s="3">
        <v>315</v>
      </c>
      <c r="C5" s="4">
        <v>44558945</v>
      </c>
      <c r="D5">
        <f t="shared" si="0"/>
        <v>1.9171189133636635</v>
      </c>
      <c r="E5" s="12">
        <f t="shared" si="1"/>
        <v>1.9869189133636636</v>
      </c>
      <c r="F5" s="4"/>
    </row>
    <row r="6" spans="1:8" x14ac:dyDescent="0.2">
      <c r="A6" s="2">
        <v>1995</v>
      </c>
      <c r="B6" s="3">
        <v>312</v>
      </c>
      <c r="C6" s="4">
        <v>63535836</v>
      </c>
      <c r="D6">
        <f t="shared" si="0"/>
        <v>2.7335870019357937</v>
      </c>
      <c r="E6" s="12">
        <f t="shared" si="1"/>
        <v>2.8033870019357936</v>
      </c>
    </row>
    <row r="7" spans="1:8" x14ac:dyDescent="0.2">
      <c r="A7" s="2">
        <v>1996</v>
      </c>
      <c r="B7" s="3">
        <v>318</v>
      </c>
      <c r="C7" s="4">
        <v>55607039</v>
      </c>
      <c r="D7">
        <f t="shared" si="0"/>
        <v>2.3924557949711525</v>
      </c>
      <c r="E7" s="12">
        <f t="shared" si="1"/>
        <v>2.4622557949711523</v>
      </c>
    </row>
    <row r="8" spans="1:8" x14ac:dyDescent="0.2">
      <c r="A8" s="2">
        <v>1997</v>
      </c>
      <c r="B8" s="3">
        <v>327</v>
      </c>
      <c r="C8" s="4">
        <v>63113774</v>
      </c>
      <c r="D8">
        <f t="shared" si="0"/>
        <v>2.7154280656590912</v>
      </c>
      <c r="E8" s="12">
        <f t="shared" si="1"/>
        <v>2.7852280656590911</v>
      </c>
    </row>
    <row r="9" spans="1:8" x14ac:dyDescent="0.2">
      <c r="A9" s="2">
        <v>1998</v>
      </c>
      <c r="B9" s="3">
        <v>391</v>
      </c>
      <c r="C9" s="4">
        <v>87623007</v>
      </c>
      <c r="D9">
        <f t="shared" si="0"/>
        <v>3.7699214818819584</v>
      </c>
      <c r="E9" s="12">
        <f t="shared" si="1"/>
        <v>3.8397214818819583</v>
      </c>
    </row>
    <row r="10" spans="1:8" x14ac:dyDescent="0.2">
      <c r="A10" s="2">
        <v>1999</v>
      </c>
      <c r="B10" s="3">
        <v>454</v>
      </c>
      <c r="C10" s="4">
        <v>74361452</v>
      </c>
      <c r="D10">
        <f t="shared" si="0"/>
        <v>3.1993519158585153</v>
      </c>
      <c r="E10" s="12">
        <f t="shared" si="1"/>
        <v>3.2691519158585152</v>
      </c>
    </row>
    <row r="11" spans="1:8" x14ac:dyDescent="0.2">
      <c r="A11" s="2">
        <v>2000</v>
      </c>
      <c r="B11" s="3">
        <v>479</v>
      </c>
      <c r="C11" s="4">
        <v>118521600</v>
      </c>
      <c r="D11">
        <f t="shared" si="0"/>
        <v>5.0993128540660644</v>
      </c>
      <c r="E11" s="12">
        <f t="shared" si="1"/>
        <v>5.1691128540660642</v>
      </c>
    </row>
    <row r="12" spans="1:8" x14ac:dyDescent="0.2">
      <c r="A12" s="2">
        <v>2001</v>
      </c>
      <c r="B12" s="3">
        <v>481</v>
      </c>
      <c r="C12" s="4">
        <v>154022858</v>
      </c>
      <c r="D12">
        <f t="shared" si="0"/>
        <v>6.6267308205372872</v>
      </c>
      <c r="E12" s="12">
        <f t="shared" si="1"/>
        <v>6.6965308205372871</v>
      </c>
    </row>
    <row r="13" spans="1:8" x14ac:dyDescent="0.2">
      <c r="A13" s="2">
        <v>2002</v>
      </c>
      <c r="B13" s="3">
        <v>516</v>
      </c>
      <c r="C13" s="4">
        <v>81959758</v>
      </c>
      <c r="D13">
        <f t="shared" si="0"/>
        <v>3.5262639677961141</v>
      </c>
      <c r="E13" s="12">
        <f t="shared" si="1"/>
        <v>3.5960639677961139</v>
      </c>
    </row>
    <row r="14" spans="1:8" x14ac:dyDescent="0.2">
      <c r="A14" s="2">
        <v>2003</v>
      </c>
      <c r="B14" s="3">
        <v>511</v>
      </c>
      <c r="C14" s="4">
        <v>77017813</v>
      </c>
      <c r="D14">
        <f t="shared" si="0"/>
        <v>3.3136400776141768</v>
      </c>
      <c r="E14" s="12">
        <f t="shared" si="1"/>
        <v>3.3834400776141766</v>
      </c>
    </row>
    <row r="15" spans="1:8" x14ac:dyDescent="0.2">
      <c r="A15" s="2">
        <v>2004</v>
      </c>
      <c r="B15" s="3">
        <v>589</v>
      </c>
      <c r="C15" s="4">
        <v>99874471</v>
      </c>
      <c r="D15">
        <f t="shared" si="0"/>
        <v>4.2970325557818017</v>
      </c>
      <c r="E15" s="12">
        <f t="shared" si="1"/>
        <v>4.3668325557818015</v>
      </c>
    </row>
    <row r="16" spans="1:8" x14ac:dyDescent="0.2">
      <c r="A16" s="2">
        <v>2005</v>
      </c>
      <c r="B16" s="3">
        <v>567</v>
      </c>
      <c r="C16" s="4">
        <v>96061668</v>
      </c>
      <c r="D16">
        <f t="shared" si="0"/>
        <v>4.1329892476597241</v>
      </c>
      <c r="E16" s="12">
        <f t="shared" si="1"/>
        <v>4.2027892476597239</v>
      </c>
    </row>
    <row r="17" spans="1:12" x14ac:dyDescent="0.2">
      <c r="A17" s="2">
        <v>2006</v>
      </c>
      <c r="B17" s="3">
        <v>596</v>
      </c>
      <c r="C17" s="4">
        <v>100153387</v>
      </c>
      <c r="D17">
        <f t="shared" si="0"/>
        <v>4.3090327308047902</v>
      </c>
      <c r="E17" s="12">
        <f t="shared" si="1"/>
        <v>4.3788327308047901</v>
      </c>
    </row>
    <row r="18" spans="1:12" x14ac:dyDescent="0.2">
      <c r="A18" s="2">
        <v>2007</v>
      </c>
      <c r="B18" s="3">
        <v>574</v>
      </c>
      <c r="C18" s="4">
        <v>157790477</v>
      </c>
      <c r="D18">
        <f t="shared" si="0"/>
        <v>6.7888301171711793</v>
      </c>
      <c r="E18" s="12">
        <f t="shared" si="1"/>
        <v>6.8586301171711792</v>
      </c>
    </row>
    <row r="19" spans="1:12" x14ac:dyDescent="0.2">
      <c r="A19" s="2">
        <v>2008</v>
      </c>
      <c r="B19" s="3">
        <v>590</v>
      </c>
      <c r="C19" s="4">
        <v>154026358</v>
      </c>
      <c r="D19">
        <f t="shared" si="0"/>
        <v>6.6268814057047942</v>
      </c>
      <c r="E19" s="12">
        <f t="shared" si="1"/>
        <v>6.6966814057047941</v>
      </c>
    </row>
    <row r="20" spans="1:12" x14ac:dyDescent="0.2">
      <c r="A20" s="2">
        <v>2009</v>
      </c>
      <c r="B20" s="3">
        <v>591</v>
      </c>
      <c r="C20" s="4">
        <v>103699775</v>
      </c>
      <c r="D20">
        <f t="shared" si="0"/>
        <v>4.4616137110978817</v>
      </c>
      <c r="E20" s="12">
        <f t="shared" si="1"/>
        <v>4.5314137110978816</v>
      </c>
    </row>
    <row r="21" spans="1:12" x14ac:dyDescent="0.2">
      <c r="A21" s="2">
        <v>2010</v>
      </c>
      <c r="B21" s="3">
        <v>604</v>
      </c>
      <c r="C21" s="4">
        <v>126203706</v>
      </c>
      <c r="D21">
        <f t="shared" si="0"/>
        <v>5.4298303451571233</v>
      </c>
      <c r="E21" s="12">
        <f t="shared" si="1"/>
        <v>5.4996303451571231</v>
      </c>
    </row>
    <row r="22" spans="1:12" x14ac:dyDescent="0.2">
      <c r="A22" s="2">
        <v>2011</v>
      </c>
      <c r="B22" s="3">
        <v>599</v>
      </c>
      <c r="C22" s="4">
        <v>102390346</v>
      </c>
      <c r="D22">
        <f t="shared" si="0"/>
        <v>4.4052764010110543</v>
      </c>
      <c r="E22" s="12">
        <f t="shared" si="1"/>
        <v>4.4750764010110542</v>
      </c>
    </row>
    <row r="23" spans="1:12" x14ac:dyDescent="0.2">
      <c r="A23" s="2">
        <v>2012</v>
      </c>
      <c r="B23" s="3">
        <v>524</v>
      </c>
      <c r="C23" s="4">
        <v>135947543</v>
      </c>
      <c r="D23">
        <f t="shared" si="0"/>
        <v>5.849052438531027</v>
      </c>
      <c r="E23" s="12">
        <f t="shared" si="1"/>
        <v>5.9188524385310268</v>
      </c>
      <c r="L23" s="4"/>
    </row>
    <row r="24" spans="1:12" x14ac:dyDescent="0.2">
      <c r="A24" s="2">
        <v>2013</v>
      </c>
      <c r="B24" s="3">
        <v>557</v>
      </c>
      <c r="C24" s="4">
        <v>152517178</v>
      </c>
      <c r="D24">
        <f t="shared" si="0"/>
        <v>6.5619499419623253</v>
      </c>
      <c r="E24" s="12">
        <f t="shared" si="1"/>
        <v>6.6317499419623251</v>
      </c>
      <c r="L24" s="4"/>
    </row>
    <row r="25" spans="1:12" x14ac:dyDescent="0.2">
      <c r="A25" s="2">
        <v>2014</v>
      </c>
      <c r="B25" s="3">
        <v>667</v>
      </c>
      <c r="C25" s="4">
        <v>201553286</v>
      </c>
      <c r="D25">
        <f t="shared" si="0"/>
        <v>8.6716958097009638</v>
      </c>
      <c r="E25" s="12">
        <f t="shared" si="1"/>
        <v>8.7414958097009645</v>
      </c>
    </row>
    <row r="26" spans="1:12" x14ac:dyDescent="0.2">
      <c r="A26" s="2">
        <v>2015</v>
      </c>
      <c r="B26" s="3">
        <v>664</v>
      </c>
      <c r="C26" s="4">
        <v>260512098</v>
      </c>
      <c r="D26">
        <f t="shared" si="0"/>
        <v>11.208359404286798</v>
      </c>
      <c r="E26" s="12">
        <f t="shared" si="1"/>
        <v>11.278159404286798</v>
      </c>
    </row>
    <row r="27" spans="1:12" x14ac:dyDescent="0.2">
      <c r="A27" s="2">
        <v>2016</v>
      </c>
      <c r="B27" s="3">
        <v>622</v>
      </c>
      <c r="C27" s="4">
        <v>355136545</v>
      </c>
      <c r="D27">
        <f t="shared" si="0"/>
        <v>15.279513176223668</v>
      </c>
      <c r="E27" s="12">
        <f t="shared" si="1"/>
        <v>15.349313176223669</v>
      </c>
    </row>
    <row r="28" spans="1:12" x14ac:dyDescent="0.2">
      <c r="A28" s="2">
        <v>2017</v>
      </c>
      <c r="B28" s="3">
        <v>644</v>
      </c>
      <c r="C28" s="4">
        <v>457151865</v>
      </c>
      <c r="D28">
        <f t="shared" si="0"/>
        <v>19.668654333511984</v>
      </c>
      <c r="E28" s="12">
        <f t="shared" si="1"/>
        <v>19.738454333511985</v>
      </c>
    </row>
    <row r="29" spans="1:12" x14ac:dyDescent="0.2">
      <c r="A29" s="2">
        <v>2018</v>
      </c>
      <c r="B29" s="3">
        <v>604</v>
      </c>
      <c r="C29" s="4">
        <v>383425179</v>
      </c>
      <c r="D29">
        <f t="shared" si="0"/>
        <v>16.496612801778593</v>
      </c>
      <c r="E29" s="12">
        <f t="shared" si="1"/>
        <v>16.566412801778593</v>
      </c>
    </row>
    <row r="30" spans="1:12" x14ac:dyDescent="0.2">
      <c r="A30" s="2">
        <v>2019</v>
      </c>
      <c r="B30" s="3">
        <v>681</v>
      </c>
      <c r="C30" s="4">
        <v>427858457</v>
      </c>
      <c r="D30">
        <f t="shared" si="0"/>
        <v>18.408324976215074</v>
      </c>
      <c r="E30" s="12">
        <v>18.40832498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76558-B5BF-C542-8660-188737E39470}">
  <dimension ref="A1:I18"/>
  <sheetViews>
    <sheetView workbookViewId="0">
      <selection activeCell="I23" sqref="I23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8" t="s">
        <v>4</v>
      </c>
      <c r="B3" s="8"/>
    </row>
    <row r="4" spans="1:9" x14ac:dyDescent="0.2">
      <c r="A4" s="5" t="s">
        <v>5</v>
      </c>
      <c r="B4" s="5">
        <v>0.67453679386992915</v>
      </c>
    </row>
    <row r="5" spans="1:9" x14ac:dyDescent="0.2">
      <c r="A5" s="5" t="s">
        <v>6</v>
      </c>
      <c r="B5" s="5">
        <v>0.45499988628432336</v>
      </c>
    </row>
    <row r="6" spans="1:9" x14ac:dyDescent="0.2">
      <c r="A6" s="5" t="s">
        <v>7</v>
      </c>
      <c r="B6" s="5">
        <v>0.43403834344910508</v>
      </c>
    </row>
    <row r="7" spans="1:9" x14ac:dyDescent="0.2">
      <c r="A7" s="5" t="s">
        <v>8</v>
      </c>
      <c r="B7" s="5">
        <v>3.8435467380775004</v>
      </c>
    </row>
    <row r="8" spans="1:9" ht="17" thickBot="1" x14ac:dyDescent="0.25">
      <c r="A8" s="6" t="s">
        <v>9</v>
      </c>
      <c r="B8" s="6">
        <v>28</v>
      </c>
    </row>
    <row r="10" spans="1:9" ht="17" thickBot="1" x14ac:dyDescent="0.25">
      <c r="A10" t="s">
        <v>10</v>
      </c>
    </row>
    <row r="11" spans="1:9" x14ac:dyDescent="0.2">
      <c r="A11" s="7"/>
      <c r="B11" s="7" t="s">
        <v>15</v>
      </c>
      <c r="C11" s="7" t="s">
        <v>16</v>
      </c>
      <c r="D11" s="7" t="s">
        <v>17</v>
      </c>
      <c r="E11" s="7" t="s">
        <v>18</v>
      </c>
      <c r="F11" s="7" t="s">
        <v>19</v>
      </c>
    </row>
    <row r="12" spans="1:9" x14ac:dyDescent="0.2">
      <c r="A12" s="5" t="s">
        <v>11</v>
      </c>
      <c r="B12" s="5">
        <v>1</v>
      </c>
      <c r="C12" s="5">
        <v>320.66560262656827</v>
      </c>
      <c r="D12" s="5">
        <v>320.66560262656827</v>
      </c>
      <c r="E12" s="5">
        <v>21.706412064280865</v>
      </c>
      <c r="F12" s="5">
        <v>8.2681702875493963E-5</v>
      </c>
    </row>
    <row r="13" spans="1:9" x14ac:dyDescent="0.2">
      <c r="A13" s="5" t="s">
        <v>12</v>
      </c>
      <c r="B13" s="5">
        <v>26</v>
      </c>
      <c r="C13" s="5">
        <v>384.09413972244107</v>
      </c>
      <c r="D13" s="5">
        <v>14.772851527786194</v>
      </c>
      <c r="E13" s="5"/>
      <c r="F13" s="5"/>
    </row>
    <row r="14" spans="1:9" ht="17" thickBot="1" x14ac:dyDescent="0.25">
      <c r="A14" s="6" t="s">
        <v>13</v>
      </c>
      <c r="B14" s="6">
        <v>27</v>
      </c>
      <c r="C14" s="6">
        <v>704.75974234900934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20</v>
      </c>
      <c r="C16" s="7" t="s">
        <v>8</v>
      </c>
      <c r="D16" s="7" t="s">
        <v>21</v>
      </c>
      <c r="E16" s="7" t="s">
        <v>22</v>
      </c>
      <c r="F16" s="7" t="s">
        <v>23</v>
      </c>
      <c r="G16" s="7" t="s">
        <v>24</v>
      </c>
      <c r="H16" s="7" t="s">
        <v>25</v>
      </c>
      <c r="I16" s="7" t="s">
        <v>26</v>
      </c>
    </row>
    <row r="17" spans="1:9" x14ac:dyDescent="0.2">
      <c r="A17" s="5" t="s">
        <v>14</v>
      </c>
      <c r="B17" s="5">
        <v>-7.0647399012879264</v>
      </c>
      <c r="C17" s="5">
        <v>3.0020560888439993</v>
      </c>
      <c r="D17" s="5">
        <v>-2.3533004355053015</v>
      </c>
      <c r="E17" s="5">
        <v>2.6448142502144098E-2</v>
      </c>
      <c r="F17" s="5">
        <v>-13.235554568363852</v>
      </c>
      <c r="G17" s="5">
        <v>-0.89392523421200121</v>
      </c>
      <c r="H17" s="5">
        <v>-13.235554568363852</v>
      </c>
      <c r="I17" s="5">
        <v>-0.89392523421200121</v>
      </c>
    </row>
    <row r="18" spans="1:9" ht="17" thickBot="1" x14ac:dyDescent="0.25">
      <c r="A18" s="6" t="s">
        <v>27</v>
      </c>
      <c r="B18" s="6">
        <v>2.655224904887582E-2</v>
      </c>
      <c r="C18" s="6">
        <v>5.6991133047703006E-3</v>
      </c>
      <c r="D18" s="6">
        <v>4.6590140656882397</v>
      </c>
      <c r="E18" s="6">
        <v>8.2681702875493963E-5</v>
      </c>
      <c r="F18" s="6">
        <v>1.4837553876759195E-2</v>
      </c>
      <c r="G18" s="6">
        <v>3.8266944220992444E-2</v>
      </c>
      <c r="H18" s="6">
        <v>1.4837553876759195E-2</v>
      </c>
      <c r="I18" s="6">
        <v>3.8266944220992444E-2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DAD7-DC18-1C49-B07C-3C23A2680E66}">
  <dimension ref="A1:I18"/>
  <sheetViews>
    <sheetView workbookViewId="0">
      <selection activeCell="G35" sqref="G35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8" t="s">
        <v>4</v>
      </c>
      <c r="B3" s="8"/>
    </row>
    <row r="4" spans="1:9" x14ac:dyDescent="0.2">
      <c r="A4" s="5" t="s">
        <v>5</v>
      </c>
      <c r="B4" s="5">
        <v>0.92748348075551135</v>
      </c>
    </row>
    <row r="5" spans="1:9" x14ac:dyDescent="0.2">
      <c r="A5" s="5" t="s">
        <v>6</v>
      </c>
      <c r="B5" s="5">
        <v>0.86022560707435891</v>
      </c>
    </row>
    <row r="6" spans="1:9" x14ac:dyDescent="0.2">
      <c r="A6" s="5" t="s">
        <v>7</v>
      </c>
      <c r="B6" s="5">
        <v>0.85484966888491121</v>
      </c>
    </row>
    <row r="7" spans="1:9" x14ac:dyDescent="0.2">
      <c r="A7" s="5" t="s">
        <v>8</v>
      </c>
      <c r="B7" s="5">
        <v>4.05412944827623</v>
      </c>
    </row>
    <row r="8" spans="1:9" ht="17" thickBot="1" x14ac:dyDescent="0.25">
      <c r="A8" s="6" t="s">
        <v>9</v>
      </c>
      <c r="B8" s="6">
        <v>28</v>
      </c>
    </row>
    <row r="10" spans="1:9" ht="17" thickBot="1" x14ac:dyDescent="0.25">
      <c r="A10" t="s">
        <v>10</v>
      </c>
    </row>
    <row r="11" spans="1:9" x14ac:dyDescent="0.2">
      <c r="A11" s="7"/>
      <c r="B11" s="7" t="s">
        <v>15</v>
      </c>
      <c r="C11" s="7" t="s">
        <v>16</v>
      </c>
      <c r="D11" s="7" t="s">
        <v>17</v>
      </c>
      <c r="E11" s="7" t="s">
        <v>18</v>
      </c>
      <c r="F11" s="7" t="s">
        <v>19</v>
      </c>
    </row>
    <row r="12" spans="1:9" x14ac:dyDescent="0.2">
      <c r="A12" s="5" t="s">
        <v>11</v>
      </c>
      <c r="B12" s="5">
        <v>1</v>
      </c>
      <c r="C12" s="5">
        <v>2629.9853111349171</v>
      </c>
      <c r="D12" s="5">
        <v>2629.9853111349171</v>
      </c>
      <c r="E12" s="5">
        <v>160.01404345810181</v>
      </c>
      <c r="F12" s="5">
        <v>1.2913498339159993E-12</v>
      </c>
    </row>
    <row r="13" spans="1:9" x14ac:dyDescent="0.2">
      <c r="A13" s="5" t="s">
        <v>12</v>
      </c>
      <c r="B13" s="5">
        <v>26</v>
      </c>
      <c r="C13" s="5">
        <v>427.33510516789363</v>
      </c>
      <c r="D13" s="5">
        <v>16.435965583380526</v>
      </c>
      <c r="E13" s="5"/>
      <c r="F13" s="5"/>
    </row>
    <row r="14" spans="1:9" ht="17" thickBot="1" x14ac:dyDescent="0.25">
      <c r="A14" s="6" t="s">
        <v>13</v>
      </c>
      <c r="B14" s="6">
        <v>27</v>
      </c>
      <c r="C14" s="6">
        <v>3057.3204163028108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20</v>
      </c>
      <c r="C16" s="7" t="s">
        <v>8</v>
      </c>
      <c r="D16" s="7" t="s">
        <v>21</v>
      </c>
      <c r="E16" s="7" t="s">
        <v>22</v>
      </c>
      <c r="F16" s="7" t="s">
        <v>23</v>
      </c>
      <c r="G16" s="7" t="s">
        <v>24</v>
      </c>
      <c r="H16" s="7" t="s">
        <v>25</v>
      </c>
      <c r="I16" s="7" t="s">
        <v>26</v>
      </c>
    </row>
    <row r="17" spans="1:9" x14ac:dyDescent="0.2">
      <c r="A17" s="5" t="s">
        <v>14</v>
      </c>
      <c r="B17" s="5">
        <v>-2.1612884703580182</v>
      </c>
      <c r="C17" s="5">
        <v>1.2456477218884052</v>
      </c>
      <c r="D17" s="5">
        <v>-1.7350719889580812</v>
      </c>
      <c r="E17" s="5">
        <v>9.4568965575806366E-2</v>
      </c>
      <c r="F17" s="5">
        <v>-4.7217540328780654</v>
      </c>
      <c r="G17" s="5">
        <v>0.39917709216202901</v>
      </c>
      <c r="H17" s="5">
        <v>-4.7217540328780654</v>
      </c>
      <c r="I17" s="5">
        <v>0.39917709216202901</v>
      </c>
    </row>
    <row r="18" spans="1:9" ht="17" thickBot="1" x14ac:dyDescent="0.25">
      <c r="A18" s="6" t="s">
        <v>27</v>
      </c>
      <c r="B18" s="6">
        <v>1.9294935693044271</v>
      </c>
      <c r="C18" s="6">
        <v>0.15253316634709516</v>
      </c>
      <c r="D18" s="6">
        <v>12.649665744916023</v>
      </c>
      <c r="E18" s="6">
        <v>1.2913498339159947E-12</v>
      </c>
      <c r="F18" s="6">
        <v>1.6159571555085626</v>
      </c>
      <c r="G18" s="6">
        <v>2.2430299831002918</v>
      </c>
      <c r="H18" s="6">
        <v>1.6159571555085626</v>
      </c>
      <c r="I18" s="6">
        <v>2.2430299831002918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C5B5A-BAAB-1949-9EAA-DCD42EDE7078}">
  <dimension ref="A1:I18"/>
  <sheetViews>
    <sheetView workbookViewId="0">
      <selection activeCell="I36" sqref="I36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8" t="s">
        <v>4</v>
      </c>
      <c r="B3" s="8"/>
    </row>
    <row r="4" spans="1:9" x14ac:dyDescent="0.2">
      <c r="A4" s="5" t="s">
        <v>5</v>
      </c>
      <c r="B4" s="5">
        <v>0.4913268852008929</v>
      </c>
    </row>
    <row r="5" spans="1:9" x14ac:dyDescent="0.2">
      <c r="A5" s="5" t="s">
        <v>6</v>
      </c>
      <c r="B5" s="5">
        <v>0.24140210812121141</v>
      </c>
    </row>
    <row r="6" spans="1:9" x14ac:dyDescent="0.2">
      <c r="A6" s="5" t="s">
        <v>7</v>
      </c>
      <c r="B6" s="5">
        <v>0.21222526612587339</v>
      </c>
    </row>
    <row r="7" spans="1:9" x14ac:dyDescent="0.2">
      <c r="A7" s="5" t="s">
        <v>8</v>
      </c>
      <c r="B7" s="5">
        <v>2.6468033869358165</v>
      </c>
    </row>
    <row r="8" spans="1:9" ht="17" thickBot="1" x14ac:dyDescent="0.25">
      <c r="A8" s="6" t="s">
        <v>9</v>
      </c>
      <c r="B8" s="6">
        <v>28</v>
      </c>
    </row>
    <row r="10" spans="1:9" ht="17" thickBot="1" x14ac:dyDescent="0.25">
      <c r="A10" t="s">
        <v>10</v>
      </c>
    </row>
    <row r="11" spans="1:9" x14ac:dyDescent="0.2">
      <c r="A11" s="7"/>
      <c r="B11" s="7" t="s">
        <v>15</v>
      </c>
      <c r="C11" s="7" t="s">
        <v>16</v>
      </c>
      <c r="D11" s="7" t="s">
        <v>17</v>
      </c>
      <c r="E11" s="7" t="s">
        <v>18</v>
      </c>
      <c r="F11" s="7" t="s">
        <v>19</v>
      </c>
    </row>
    <row r="12" spans="1:9" x14ac:dyDescent="0.2">
      <c r="A12" s="5" t="s">
        <v>11</v>
      </c>
      <c r="B12" s="5">
        <v>1</v>
      </c>
      <c r="C12" s="5">
        <v>57.962370460675146</v>
      </c>
      <c r="D12" s="5">
        <v>57.962370460675146</v>
      </c>
      <c r="E12" s="5">
        <v>8.2737572544617226</v>
      </c>
      <c r="F12" s="5">
        <v>7.9276094903593629E-3</v>
      </c>
    </row>
    <row r="13" spans="1:9" x14ac:dyDescent="0.2">
      <c r="A13" s="5" t="s">
        <v>12</v>
      </c>
      <c r="B13" s="5">
        <v>26</v>
      </c>
      <c r="C13" s="5">
        <v>182.14477239646769</v>
      </c>
      <c r="D13" s="5">
        <v>7.0055681690949108</v>
      </c>
      <c r="E13" s="5"/>
      <c r="F13" s="5"/>
    </row>
    <row r="14" spans="1:9" ht="17" thickBot="1" x14ac:dyDescent="0.25">
      <c r="A14" s="6" t="s">
        <v>13</v>
      </c>
      <c r="B14" s="6">
        <v>27</v>
      </c>
      <c r="C14" s="6">
        <v>240.10714285714283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20</v>
      </c>
      <c r="C16" s="7" t="s">
        <v>8</v>
      </c>
      <c r="D16" s="7" t="s">
        <v>21</v>
      </c>
      <c r="E16" s="7" t="s">
        <v>22</v>
      </c>
      <c r="F16" s="7" t="s">
        <v>23</v>
      </c>
      <c r="G16" s="7" t="s">
        <v>24</v>
      </c>
      <c r="H16" s="7" t="s">
        <v>25</v>
      </c>
      <c r="I16" s="7" t="s">
        <v>26</v>
      </c>
    </row>
    <row r="17" spans="1:9" x14ac:dyDescent="0.2">
      <c r="A17" s="5" t="s">
        <v>14</v>
      </c>
      <c r="B17" s="5">
        <v>10.477016427987214</v>
      </c>
      <c r="C17" s="5">
        <v>0.81324107956763847</v>
      </c>
      <c r="D17" s="5">
        <v>12.883038856764767</v>
      </c>
      <c r="E17" s="5">
        <v>8.5510877897910678E-13</v>
      </c>
      <c r="F17" s="5">
        <v>8.8053754482222217</v>
      </c>
      <c r="G17" s="5">
        <v>12.148657407752207</v>
      </c>
      <c r="H17" s="5">
        <v>8.8053754482222217</v>
      </c>
      <c r="I17" s="5">
        <v>12.148657407752207</v>
      </c>
    </row>
    <row r="18" spans="1:9" ht="17" thickBot="1" x14ac:dyDescent="0.25">
      <c r="A18" s="6" t="s">
        <v>27</v>
      </c>
      <c r="B18" s="6">
        <v>0.28644400887096405</v>
      </c>
      <c r="C18" s="6">
        <v>9.9583722339994671E-2</v>
      </c>
      <c r="D18" s="6">
        <v>2.8764139574236705</v>
      </c>
      <c r="E18" s="6">
        <v>7.9276094903594704E-3</v>
      </c>
      <c r="F18" s="6">
        <v>8.1746735991467062E-2</v>
      </c>
      <c r="G18" s="6">
        <v>0.49114128175046101</v>
      </c>
      <c r="H18" s="6">
        <v>8.1746735991467062E-2</v>
      </c>
      <c r="I18" s="6">
        <v>0.49114128175046101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3DA99-4DEA-F545-820A-6CE789E17491}">
  <dimension ref="A1:I20"/>
  <sheetViews>
    <sheetView workbookViewId="0">
      <selection activeCell="L17" sqref="L17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8" t="s">
        <v>4</v>
      </c>
      <c r="B3" s="8"/>
    </row>
    <row r="4" spans="1:9" x14ac:dyDescent="0.2">
      <c r="A4" s="5" t="s">
        <v>5</v>
      </c>
      <c r="B4" s="5">
        <v>0.93216073149868373</v>
      </c>
    </row>
    <row r="5" spans="1:9" x14ac:dyDescent="0.2">
      <c r="A5" s="5" t="s">
        <v>6</v>
      </c>
      <c r="B5" s="5">
        <v>0.86892362934816114</v>
      </c>
    </row>
    <row r="6" spans="1:9" x14ac:dyDescent="0.2">
      <c r="A6" s="5" t="s">
        <v>7</v>
      </c>
      <c r="B6" s="5">
        <v>0.85253908301668124</v>
      </c>
    </row>
    <row r="7" spans="1:9" x14ac:dyDescent="0.2">
      <c r="A7" s="5" t="s">
        <v>8</v>
      </c>
      <c r="B7" s="5">
        <v>1.9619011741233001</v>
      </c>
    </row>
    <row r="8" spans="1:9" ht="17" thickBot="1" x14ac:dyDescent="0.25">
      <c r="A8" s="6" t="s">
        <v>9</v>
      </c>
      <c r="B8" s="6">
        <v>28</v>
      </c>
    </row>
    <row r="10" spans="1:9" ht="17" thickBot="1" x14ac:dyDescent="0.25">
      <c r="A10" t="s">
        <v>10</v>
      </c>
    </row>
    <row r="11" spans="1:9" x14ac:dyDescent="0.2">
      <c r="A11" s="7"/>
      <c r="B11" s="7" t="s">
        <v>15</v>
      </c>
      <c r="C11" s="7" t="s">
        <v>16</v>
      </c>
      <c r="D11" s="7" t="s">
        <v>17</v>
      </c>
      <c r="E11" s="7" t="s">
        <v>18</v>
      </c>
      <c r="F11" s="7" t="s">
        <v>19</v>
      </c>
    </row>
    <row r="12" spans="1:9" x14ac:dyDescent="0.2">
      <c r="A12" s="5" t="s">
        <v>11</v>
      </c>
      <c r="B12" s="5">
        <v>3</v>
      </c>
      <c r="C12" s="5">
        <v>612.38239314037617</v>
      </c>
      <c r="D12" s="5">
        <v>204.12746438012539</v>
      </c>
      <c r="E12" s="5">
        <v>53.033121074502141</v>
      </c>
      <c r="F12" s="5">
        <v>9.7170558991011977E-11</v>
      </c>
    </row>
    <row r="13" spans="1:9" x14ac:dyDescent="0.2">
      <c r="A13" s="5" t="s">
        <v>12</v>
      </c>
      <c r="B13" s="5">
        <v>24</v>
      </c>
      <c r="C13" s="5">
        <v>92.377349208633206</v>
      </c>
      <c r="D13" s="5">
        <v>3.8490562170263836</v>
      </c>
      <c r="E13" s="5"/>
      <c r="F13" s="5"/>
    </row>
    <row r="14" spans="1:9" ht="17" thickBot="1" x14ac:dyDescent="0.25">
      <c r="A14" s="6" t="s">
        <v>13</v>
      </c>
      <c r="B14" s="6">
        <v>27</v>
      </c>
      <c r="C14" s="6">
        <v>704.75974234900934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20</v>
      </c>
      <c r="C16" s="7" t="s">
        <v>8</v>
      </c>
      <c r="D16" s="7" t="s">
        <v>21</v>
      </c>
      <c r="E16" s="7" t="s">
        <v>22</v>
      </c>
      <c r="F16" s="7" t="s">
        <v>23</v>
      </c>
      <c r="G16" s="7" t="s">
        <v>24</v>
      </c>
      <c r="H16" s="7" t="s">
        <v>25</v>
      </c>
      <c r="I16" s="7" t="s">
        <v>26</v>
      </c>
    </row>
    <row r="17" spans="1:9" x14ac:dyDescent="0.2">
      <c r="A17" s="5" t="s">
        <v>14</v>
      </c>
      <c r="B17" s="5">
        <v>0.38558697858626179</v>
      </c>
      <c r="C17" s="5">
        <v>1.7757305147992526</v>
      </c>
      <c r="D17" s="5">
        <v>0.21714273386232405</v>
      </c>
      <c r="E17" s="5">
        <v>0.82993248743105952</v>
      </c>
      <c r="F17" s="5">
        <v>-3.2793406767469087</v>
      </c>
      <c r="G17" s="5">
        <v>4.0505146339194322</v>
      </c>
      <c r="H17" s="5">
        <v>-3.2793406767469087</v>
      </c>
      <c r="I17" s="5">
        <v>4.0505146339194322</v>
      </c>
    </row>
    <row r="18" spans="1:9" x14ac:dyDescent="0.2">
      <c r="A18" s="5" t="s">
        <v>37</v>
      </c>
      <c r="B18" s="5">
        <v>-0.21442659189199514</v>
      </c>
      <c r="C18" s="5">
        <v>0.2714732998195698</v>
      </c>
      <c r="D18" s="5">
        <v>-0.78986254646224952</v>
      </c>
      <c r="E18" s="5">
        <v>0.43734295441487936</v>
      </c>
      <c r="F18" s="5">
        <v>-0.77471994491001905</v>
      </c>
      <c r="G18" s="5">
        <v>0.34586676112602871</v>
      </c>
      <c r="H18" s="5">
        <v>-0.77471994491001905</v>
      </c>
      <c r="I18" s="5">
        <v>0.34586676112602871</v>
      </c>
    </row>
    <row r="19" spans="1:9" x14ac:dyDescent="0.2">
      <c r="A19" s="5" t="s">
        <v>35</v>
      </c>
      <c r="B19" s="5">
        <v>0.40135773956768922</v>
      </c>
      <c r="C19" s="5">
        <v>4.8741561633027425E-2</v>
      </c>
      <c r="D19" s="5">
        <v>8.2344046050368647</v>
      </c>
      <c r="E19" s="5">
        <v>1.8857788233215138E-8</v>
      </c>
      <c r="F19" s="5">
        <v>0.30076010062178016</v>
      </c>
      <c r="G19" s="5">
        <v>0.50195537851359828</v>
      </c>
      <c r="H19" s="5">
        <v>0.30076010062178016</v>
      </c>
      <c r="I19" s="5">
        <v>0.50195537851359828</v>
      </c>
    </row>
    <row r="20" spans="1:9" ht="17" thickBot="1" x14ac:dyDescent="0.25">
      <c r="A20" s="6" t="s">
        <v>36</v>
      </c>
      <c r="B20" s="6">
        <v>9.0856470329195929E-3</v>
      </c>
      <c r="C20" s="6">
        <v>7.2301795046199298E-3</v>
      </c>
      <c r="D20" s="6">
        <v>1.2566281414056262</v>
      </c>
      <c r="E20" s="6">
        <v>0.22098203040832998</v>
      </c>
      <c r="F20" s="6">
        <v>-5.8367100469779096E-3</v>
      </c>
      <c r="G20" s="6">
        <v>2.4008004112817095E-2</v>
      </c>
      <c r="H20" s="6">
        <v>-5.8367100469779096E-3</v>
      </c>
      <c r="I20" s="6">
        <v>2.4008004112817095E-2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2D71-9AE3-4C40-84D3-8DEE3203AF5B}">
  <dimension ref="A1:J41"/>
  <sheetViews>
    <sheetView workbookViewId="0">
      <selection activeCell="H30" sqref="H3:H30"/>
    </sheetView>
  </sheetViews>
  <sheetFormatPr baseColWidth="10" defaultRowHeight="16" x14ac:dyDescent="0.2"/>
  <cols>
    <col min="2" max="2" width="43.5" customWidth="1"/>
    <col min="3" max="3" width="53.83203125" customWidth="1"/>
    <col min="4" max="4" width="29" customWidth="1"/>
    <col min="5" max="5" width="21.83203125" customWidth="1"/>
    <col min="6" max="6" width="16.33203125" hidden="1" customWidth="1"/>
    <col min="7" max="7" width="28.83203125" hidden="1" customWidth="1"/>
    <col min="8" max="8" width="28.83203125" customWidth="1"/>
  </cols>
  <sheetData>
    <row r="1" spans="1:10" x14ac:dyDescent="0.2">
      <c r="B1" s="1" t="s">
        <v>0</v>
      </c>
      <c r="C1" s="1"/>
      <c r="D1" s="1"/>
      <c r="E1" s="1"/>
    </row>
    <row r="2" spans="1:10" x14ac:dyDescent="0.2">
      <c r="B2" t="s">
        <v>2</v>
      </c>
      <c r="C2" t="s">
        <v>1</v>
      </c>
      <c r="D2" t="s">
        <v>28</v>
      </c>
      <c r="E2" t="s">
        <v>30</v>
      </c>
      <c r="F2" t="s">
        <v>31</v>
      </c>
      <c r="G2" t="s">
        <v>34</v>
      </c>
      <c r="H2" s="13" t="s">
        <v>37</v>
      </c>
      <c r="I2" t="s">
        <v>35</v>
      </c>
      <c r="J2" t="s">
        <v>36</v>
      </c>
    </row>
    <row r="3" spans="1:10" x14ac:dyDescent="0.2">
      <c r="A3" s="2">
        <v>1992</v>
      </c>
      <c r="B3" s="3">
        <v>268</v>
      </c>
      <c r="C3" s="4">
        <v>23242661</v>
      </c>
      <c r="D3">
        <f ca="1">C3/$D$3</f>
        <v>1</v>
      </c>
      <c r="E3" s="12">
        <f ca="1">D3+$G$4</f>
        <v>1.0698000000000001</v>
      </c>
      <c r="F3">
        <v>13</v>
      </c>
      <c r="G3">
        <f>191/20</f>
        <v>9.5500000000000007</v>
      </c>
      <c r="H3">
        <v>3</v>
      </c>
      <c r="I3">
        <f>G3/$G$3</f>
        <v>1</v>
      </c>
      <c r="J3" s="3">
        <v>268</v>
      </c>
    </row>
    <row r="4" spans="1:10" x14ac:dyDescent="0.2">
      <c r="A4" s="2">
        <v>1993</v>
      </c>
      <c r="B4" s="3">
        <v>266</v>
      </c>
      <c r="C4" s="4">
        <v>32596870</v>
      </c>
      <c r="D4">
        <f t="shared" ref="D4:D19" ca="1" si="0">C4/$D$3</f>
        <v>1.4024586083323247</v>
      </c>
      <c r="E4" s="12">
        <f t="shared" ref="E4:E29" ca="1" si="1">D4+$G$4</f>
        <v>1.4722586083323248</v>
      </c>
      <c r="F4">
        <v>9</v>
      </c>
      <c r="G4">
        <f>191/20</f>
        <v>9.5500000000000007</v>
      </c>
      <c r="H4">
        <v>7</v>
      </c>
      <c r="I4">
        <f t="shared" ref="I4:I30" si="2">G4/$G$3</f>
        <v>1</v>
      </c>
      <c r="J4" s="3">
        <v>266</v>
      </c>
    </row>
    <row r="5" spans="1:10" x14ac:dyDescent="0.2">
      <c r="A5" s="2">
        <v>1994</v>
      </c>
      <c r="B5" s="3">
        <v>315</v>
      </c>
      <c r="C5" s="4">
        <v>44558945</v>
      </c>
      <c r="D5">
        <f t="shared" ca="1" si="0"/>
        <v>1.9171189133636635</v>
      </c>
      <c r="E5" s="12">
        <f t="shared" ca="1" si="1"/>
        <v>1.9869189133636636</v>
      </c>
      <c r="F5">
        <v>8</v>
      </c>
      <c r="G5">
        <f>191/20</f>
        <v>9.5500000000000007</v>
      </c>
      <c r="H5">
        <v>8</v>
      </c>
      <c r="I5">
        <f t="shared" si="2"/>
        <v>1</v>
      </c>
      <c r="J5" s="3">
        <v>315</v>
      </c>
    </row>
    <row r="6" spans="1:10" x14ac:dyDescent="0.2">
      <c r="A6" s="2">
        <v>1995</v>
      </c>
      <c r="B6" s="3">
        <v>312</v>
      </c>
      <c r="C6" s="4">
        <v>63535836</v>
      </c>
      <c r="D6">
        <f t="shared" ca="1" si="0"/>
        <v>2.7335870019357937</v>
      </c>
      <c r="E6" s="12">
        <f t="shared" ca="1" si="1"/>
        <v>2.8033870019357936</v>
      </c>
      <c r="F6">
        <v>5</v>
      </c>
      <c r="G6">
        <f>191/20</f>
        <v>9.5500000000000007</v>
      </c>
      <c r="H6">
        <v>11</v>
      </c>
      <c r="I6">
        <f t="shared" si="2"/>
        <v>1</v>
      </c>
      <c r="J6" s="3">
        <v>312</v>
      </c>
    </row>
    <row r="7" spans="1:10" x14ac:dyDescent="0.2">
      <c r="A7" s="2">
        <v>1996</v>
      </c>
      <c r="B7" s="3">
        <v>318</v>
      </c>
      <c r="C7" s="4">
        <v>55607039</v>
      </c>
      <c r="D7">
        <f t="shared" ca="1" si="0"/>
        <v>2.3924557949711525</v>
      </c>
      <c r="E7" s="12">
        <f t="shared" ca="1" si="1"/>
        <v>2.4622557949711523</v>
      </c>
      <c r="F7">
        <v>7</v>
      </c>
      <c r="G7">
        <f>670/20</f>
        <v>33.5</v>
      </c>
      <c r="H7">
        <v>9</v>
      </c>
      <c r="I7">
        <f t="shared" si="2"/>
        <v>3.5078534031413611</v>
      </c>
      <c r="J7" s="3">
        <v>318</v>
      </c>
    </row>
    <row r="8" spans="1:10" x14ac:dyDescent="0.2">
      <c r="A8" s="2">
        <v>1997</v>
      </c>
      <c r="B8" s="3">
        <v>327</v>
      </c>
      <c r="C8" s="4">
        <v>63113774</v>
      </c>
      <c r="D8">
        <f t="shared" ca="1" si="0"/>
        <v>2.7154280656590912</v>
      </c>
      <c r="E8" s="12">
        <f t="shared" ca="1" si="1"/>
        <v>2.7852280656590911</v>
      </c>
      <c r="F8">
        <v>7</v>
      </c>
      <c r="G8">
        <f>670/20</f>
        <v>33.5</v>
      </c>
      <c r="H8">
        <v>9</v>
      </c>
      <c r="I8">
        <f t="shared" si="2"/>
        <v>3.5078534031413611</v>
      </c>
      <c r="J8" s="3">
        <v>327</v>
      </c>
    </row>
    <row r="9" spans="1:10" x14ac:dyDescent="0.2">
      <c r="A9" s="2">
        <v>1998</v>
      </c>
      <c r="B9" s="3">
        <v>391</v>
      </c>
      <c r="C9" s="4">
        <v>87623007</v>
      </c>
      <c r="D9">
        <f t="shared" ca="1" si="0"/>
        <v>3.7699214818819584</v>
      </c>
      <c r="E9" s="12">
        <f t="shared" ca="1" si="1"/>
        <v>3.8397214818819583</v>
      </c>
      <c r="F9">
        <v>6</v>
      </c>
      <c r="G9">
        <f>670/20</f>
        <v>33.5</v>
      </c>
      <c r="H9">
        <v>10</v>
      </c>
      <c r="I9">
        <f t="shared" si="2"/>
        <v>3.5078534031413611</v>
      </c>
      <c r="J9" s="3">
        <v>391</v>
      </c>
    </row>
    <row r="10" spans="1:10" x14ac:dyDescent="0.2">
      <c r="A10" s="2">
        <v>1999</v>
      </c>
      <c r="B10" s="3">
        <v>454</v>
      </c>
      <c r="C10" s="4">
        <v>74361452</v>
      </c>
      <c r="D10">
        <f t="shared" ca="1" si="0"/>
        <v>3.1993519158585153</v>
      </c>
      <c r="E10" s="12">
        <f t="shared" ca="1" si="1"/>
        <v>3.2691519158585152</v>
      </c>
      <c r="F10">
        <v>6</v>
      </c>
      <c r="G10">
        <f>670/20</f>
        <v>33.5</v>
      </c>
      <c r="H10">
        <v>10</v>
      </c>
      <c r="I10">
        <f t="shared" si="2"/>
        <v>3.5078534031413611</v>
      </c>
      <c r="J10" s="3">
        <v>454</v>
      </c>
    </row>
    <row r="11" spans="1:10" x14ac:dyDescent="0.2">
      <c r="A11" s="2">
        <v>2000</v>
      </c>
      <c r="B11" s="3">
        <v>479</v>
      </c>
      <c r="C11" s="4">
        <v>118521600</v>
      </c>
      <c r="D11">
        <f t="shared" ca="1" si="0"/>
        <v>5.0993128540660644</v>
      </c>
      <c r="E11" s="12">
        <f t="shared" ca="1" si="1"/>
        <v>5.1691128540660642</v>
      </c>
      <c r="F11">
        <v>5</v>
      </c>
      <c r="G11">
        <f>670/20</f>
        <v>33.5</v>
      </c>
      <c r="H11">
        <v>11</v>
      </c>
      <c r="I11">
        <f t="shared" si="2"/>
        <v>3.5078534031413611</v>
      </c>
      <c r="J11" s="3">
        <v>479</v>
      </c>
    </row>
    <row r="12" spans="1:10" x14ac:dyDescent="0.2">
      <c r="A12" s="2">
        <v>2001</v>
      </c>
      <c r="B12" s="3">
        <v>481</v>
      </c>
      <c r="C12" s="4">
        <v>154022858</v>
      </c>
      <c r="D12">
        <f t="shared" ca="1" si="0"/>
        <v>6.6267308205372872</v>
      </c>
      <c r="E12" s="12">
        <f t="shared" ca="1" si="1"/>
        <v>6.6965308205372871</v>
      </c>
      <c r="F12">
        <v>3</v>
      </c>
      <c r="G12">
        <f t="shared" ref="G12:G14" si="3">1200/20</f>
        <v>60</v>
      </c>
      <c r="H12">
        <v>13</v>
      </c>
      <c r="I12">
        <f t="shared" si="2"/>
        <v>6.2827225130890048</v>
      </c>
      <c r="J12" s="3">
        <v>481</v>
      </c>
    </row>
    <row r="13" spans="1:10" x14ac:dyDescent="0.2">
      <c r="A13" s="2">
        <v>2002</v>
      </c>
      <c r="B13" s="3">
        <v>516</v>
      </c>
      <c r="C13" s="4">
        <v>81959758</v>
      </c>
      <c r="D13">
        <f t="shared" ca="1" si="0"/>
        <v>3.5262639677961141</v>
      </c>
      <c r="E13" s="12">
        <f t="shared" ca="1" si="1"/>
        <v>3.5960639677961139</v>
      </c>
      <c r="F13">
        <v>3</v>
      </c>
      <c r="G13">
        <f t="shared" si="3"/>
        <v>60</v>
      </c>
      <c r="H13">
        <v>13</v>
      </c>
      <c r="I13">
        <f t="shared" si="2"/>
        <v>6.2827225130890048</v>
      </c>
      <c r="J13" s="3">
        <v>516</v>
      </c>
    </row>
    <row r="14" spans="1:10" x14ac:dyDescent="0.2">
      <c r="A14" s="2">
        <v>2003</v>
      </c>
      <c r="B14" s="3">
        <v>511</v>
      </c>
      <c r="C14" s="4">
        <v>77017813</v>
      </c>
      <c r="D14">
        <f t="shared" ca="1" si="0"/>
        <v>3.3136400776141768</v>
      </c>
      <c r="E14" s="12">
        <f t="shared" ca="1" si="1"/>
        <v>3.3834400776141766</v>
      </c>
      <c r="F14">
        <v>3</v>
      </c>
      <c r="G14">
        <f t="shared" si="3"/>
        <v>60</v>
      </c>
      <c r="H14">
        <v>13</v>
      </c>
      <c r="I14">
        <f t="shared" si="2"/>
        <v>6.2827225130890048</v>
      </c>
      <c r="J14" s="3">
        <v>511</v>
      </c>
    </row>
    <row r="15" spans="1:10" x14ac:dyDescent="0.2">
      <c r="A15" s="2">
        <v>2004</v>
      </c>
      <c r="B15" s="3">
        <v>589</v>
      </c>
      <c r="C15" s="4">
        <v>99874471</v>
      </c>
      <c r="D15">
        <f t="shared" ca="1" si="0"/>
        <v>4.2970325557818017</v>
      </c>
      <c r="E15" s="12">
        <f t="shared" ca="1" si="1"/>
        <v>4.3668325557818015</v>
      </c>
      <c r="F15">
        <v>2</v>
      </c>
      <c r="G15">
        <f>1024/20</f>
        <v>51.2</v>
      </c>
      <c r="H15">
        <v>14</v>
      </c>
      <c r="I15">
        <f t="shared" si="2"/>
        <v>5.3612565445026181</v>
      </c>
      <c r="J15" s="3">
        <v>589</v>
      </c>
    </row>
    <row r="16" spans="1:10" x14ac:dyDescent="0.2">
      <c r="A16" s="2">
        <v>2005</v>
      </c>
      <c r="B16" s="3">
        <v>567</v>
      </c>
      <c r="C16" s="4">
        <v>96061668</v>
      </c>
      <c r="D16">
        <f t="shared" ca="1" si="0"/>
        <v>4.1329892476597241</v>
      </c>
      <c r="E16" s="12">
        <f t="shared" ca="1" si="1"/>
        <v>4.2027892476597239</v>
      </c>
      <c r="F16">
        <v>2</v>
      </c>
      <c r="G16">
        <f>1024/20</f>
        <v>51.2</v>
      </c>
      <c r="H16">
        <v>14</v>
      </c>
      <c r="I16">
        <f t="shared" si="2"/>
        <v>5.3612565445026181</v>
      </c>
      <c r="J16" s="3">
        <v>567</v>
      </c>
    </row>
    <row r="17" spans="1:10" x14ac:dyDescent="0.2">
      <c r="A17" s="2">
        <v>2006</v>
      </c>
      <c r="B17" s="3">
        <v>596</v>
      </c>
      <c r="C17" s="4">
        <v>100153387</v>
      </c>
      <c r="D17">
        <f t="shared" ca="1" si="0"/>
        <v>4.3090327308047902</v>
      </c>
      <c r="E17" s="12">
        <f t="shared" ca="1" si="1"/>
        <v>4.3788327308047901</v>
      </c>
      <c r="F17">
        <v>3</v>
      </c>
      <c r="G17">
        <f>1024/20</f>
        <v>51.2</v>
      </c>
      <c r="H17">
        <v>13</v>
      </c>
      <c r="I17">
        <f t="shared" si="2"/>
        <v>5.3612565445026181</v>
      </c>
      <c r="J17" s="3">
        <v>596</v>
      </c>
    </row>
    <row r="18" spans="1:10" x14ac:dyDescent="0.2">
      <c r="A18" s="2">
        <v>2007</v>
      </c>
      <c r="B18" s="3">
        <v>574</v>
      </c>
      <c r="C18" s="4">
        <v>157790477</v>
      </c>
      <c r="D18">
        <f t="shared" ca="1" si="0"/>
        <v>6.7888301171711793</v>
      </c>
      <c r="E18" s="12">
        <f t="shared" ca="1" si="1"/>
        <v>6.8586301171711792</v>
      </c>
      <c r="F18">
        <v>2</v>
      </c>
      <c r="G18">
        <f>1706/20</f>
        <v>85.3</v>
      </c>
      <c r="H18">
        <v>14</v>
      </c>
      <c r="I18">
        <f t="shared" si="2"/>
        <v>8.9319371727748678</v>
      </c>
      <c r="J18" s="3">
        <v>574</v>
      </c>
    </row>
    <row r="19" spans="1:10" x14ac:dyDescent="0.2">
      <c r="A19" s="2">
        <v>2008</v>
      </c>
      <c r="B19" s="3">
        <v>590</v>
      </c>
      <c r="C19" s="4">
        <v>154026358</v>
      </c>
      <c r="D19">
        <f t="shared" ca="1" si="0"/>
        <v>6.6268814057047942</v>
      </c>
      <c r="E19" s="12">
        <f t="shared" ca="1" si="1"/>
        <v>6.6966814057047941</v>
      </c>
      <c r="F19">
        <v>1</v>
      </c>
      <c r="G19">
        <f>1706/20</f>
        <v>85.3</v>
      </c>
      <c r="H19">
        <v>15</v>
      </c>
      <c r="I19">
        <f t="shared" si="2"/>
        <v>8.9319371727748678</v>
      </c>
      <c r="J19" s="3">
        <v>590</v>
      </c>
    </row>
    <row r="20" spans="1:10" x14ac:dyDescent="0.2">
      <c r="A20" s="2">
        <v>2009</v>
      </c>
      <c r="B20" s="3">
        <v>591</v>
      </c>
      <c r="C20" s="4">
        <v>103699775</v>
      </c>
      <c r="D20">
        <f t="shared" ref="D20:D30" ca="1" si="4">C20/$D$3</f>
        <v>4.4616137110978817</v>
      </c>
      <c r="E20" s="12">
        <f t="shared" ca="1" si="1"/>
        <v>4.5314137110978816</v>
      </c>
      <c r="F20">
        <v>1</v>
      </c>
      <c r="G20">
        <f>1706/20</f>
        <v>85.3</v>
      </c>
      <c r="H20">
        <v>15</v>
      </c>
      <c r="I20">
        <f t="shared" si="2"/>
        <v>8.9319371727748678</v>
      </c>
      <c r="J20" s="3">
        <v>591</v>
      </c>
    </row>
    <row r="21" spans="1:10" x14ac:dyDescent="0.2">
      <c r="A21" s="2">
        <v>2010</v>
      </c>
      <c r="B21" s="3">
        <v>604</v>
      </c>
      <c r="C21" s="4">
        <v>126203706</v>
      </c>
      <c r="D21">
        <f t="shared" ca="1" si="4"/>
        <v>5.4298303451571233</v>
      </c>
      <c r="E21" s="12">
        <f t="shared" ca="1" si="1"/>
        <v>5.4996303451571231</v>
      </c>
      <c r="F21">
        <v>1</v>
      </c>
      <c r="G21">
        <f>1773/20</f>
        <v>88.65</v>
      </c>
      <c r="H21">
        <v>15</v>
      </c>
      <c r="I21">
        <f t="shared" si="2"/>
        <v>9.2827225130890056</v>
      </c>
      <c r="J21" s="3">
        <v>604</v>
      </c>
    </row>
    <row r="22" spans="1:10" x14ac:dyDescent="0.2">
      <c r="A22" s="2">
        <v>2011</v>
      </c>
      <c r="B22" s="3">
        <v>599</v>
      </c>
      <c r="C22" s="4">
        <v>102390346</v>
      </c>
      <c r="D22">
        <f t="shared" ca="1" si="4"/>
        <v>4.4052764010110543</v>
      </c>
      <c r="E22" s="12">
        <f t="shared" ca="1" si="1"/>
        <v>4.4750764010110542</v>
      </c>
      <c r="F22">
        <v>1</v>
      </c>
      <c r="G22">
        <f>1773/20</f>
        <v>88.65</v>
      </c>
      <c r="H22">
        <v>15</v>
      </c>
      <c r="I22">
        <f t="shared" si="2"/>
        <v>9.2827225130890056</v>
      </c>
      <c r="J22" s="3">
        <v>599</v>
      </c>
    </row>
    <row r="23" spans="1:10" x14ac:dyDescent="0.2">
      <c r="A23" s="2">
        <v>2012</v>
      </c>
      <c r="B23" s="3">
        <v>524</v>
      </c>
      <c r="C23" s="4">
        <v>135947543</v>
      </c>
      <c r="D23">
        <f t="shared" ca="1" si="4"/>
        <v>5.849052438531027</v>
      </c>
      <c r="E23" s="12">
        <f t="shared" ca="1" si="1"/>
        <v>5.9188524385310268</v>
      </c>
      <c r="F23">
        <v>1</v>
      </c>
      <c r="G23">
        <f>1773/20</f>
        <v>88.65</v>
      </c>
      <c r="H23">
        <v>15</v>
      </c>
      <c r="I23">
        <f t="shared" si="2"/>
        <v>9.2827225130890056</v>
      </c>
      <c r="J23" s="3">
        <v>524</v>
      </c>
    </row>
    <row r="24" spans="1:10" x14ac:dyDescent="0.2">
      <c r="A24" s="2">
        <v>2013</v>
      </c>
      <c r="B24" s="3">
        <v>557</v>
      </c>
      <c r="C24" s="4">
        <v>152517178</v>
      </c>
      <c r="D24">
        <f t="shared" ca="1" si="4"/>
        <v>6.5619499419623253</v>
      </c>
      <c r="E24" s="12">
        <f t="shared" ca="1" si="1"/>
        <v>6.6317499419623251</v>
      </c>
      <c r="F24">
        <v>2</v>
      </c>
      <c r="G24">
        <f>3018/20</f>
        <v>150.9</v>
      </c>
      <c r="H24">
        <v>14</v>
      </c>
      <c r="I24">
        <f t="shared" si="2"/>
        <v>15.801047120418847</v>
      </c>
      <c r="J24" s="3">
        <v>557</v>
      </c>
    </row>
    <row r="25" spans="1:10" x14ac:dyDescent="0.2">
      <c r="A25" s="2">
        <v>2014</v>
      </c>
      <c r="B25" s="3">
        <v>667</v>
      </c>
      <c r="C25" s="4">
        <v>201553286</v>
      </c>
      <c r="D25">
        <f t="shared" ca="1" si="4"/>
        <v>8.6716958097009638</v>
      </c>
      <c r="E25" s="12">
        <f t="shared" ca="1" si="1"/>
        <v>8.7414958097009645</v>
      </c>
      <c r="F25">
        <v>2</v>
      </c>
      <c r="G25">
        <f>3018/20</f>
        <v>150.9</v>
      </c>
      <c r="H25">
        <v>14</v>
      </c>
      <c r="I25">
        <f t="shared" si="2"/>
        <v>15.801047120418847</v>
      </c>
      <c r="J25" s="3">
        <v>667</v>
      </c>
    </row>
    <row r="26" spans="1:10" x14ac:dyDescent="0.2">
      <c r="A26" s="2">
        <v>2015</v>
      </c>
      <c r="B26" s="3">
        <v>664</v>
      </c>
      <c r="C26" s="4">
        <v>260512098</v>
      </c>
      <c r="D26">
        <f t="shared" ca="1" si="4"/>
        <v>11.208359404286798</v>
      </c>
      <c r="E26" s="12">
        <f t="shared" ca="1" si="1"/>
        <v>11.278159404286798</v>
      </c>
      <c r="F26">
        <v>2</v>
      </c>
      <c r="G26">
        <f>3018/20</f>
        <v>150.9</v>
      </c>
      <c r="H26">
        <v>14</v>
      </c>
      <c r="I26">
        <f t="shared" si="2"/>
        <v>15.801047120418847</v>
      </c>
      <c r="J26" s="3">
        <v>664</v>
      </c>
    </row>
    <row r="27" spans="1:10" x14ac:dyDescent="0.2">
      <c r="A27" s="2">
        <v>2016</v>
      </c>
      <c r="B27" s="3">
        <v>622</v>
      </c>
      <c r="C27" s="4">
        <v>355136545</v>
      </c>
      <c r="D27">
        <f t="shared" ca="1" si="4"/>
        <v>15.279513176223668</v>
      </c>
      <c r="E27" s="12">
        <f t="shared" ca="1" si="1"/>
        <v>15.349313176223669</v>
      </c>
      <c r="F27">
        <v>3</v>
      </c>
      <c r="G27">
        <f>5136/20</f>
        <v>256.8</v>
      </c>
      <c r="H27">
        <v>13</v>
      </c>
      <c r="I27">
        <f t="shared" si="2"/>
        <v>26.890052356020941</v>
      </c>
      <c r="J27" s="3">
        <v>622</v>
      </c>
    </row>
    <row r="28" spans="1:10" x14ac:dyDescent="0.2">
      <c r="A28" s="2">
        <v>2017</v>
      </c>
      <c r="B28" s="3">
        <v>644</v>
      </c>
      <c r="C28" s="4">
        <v>457151865</v>
      </c>
      <c r="D28">
        <f t="shared" ca="1" si="4"/>
        <v>19.668654333511984</v>
      </c>
      <c r="E28" s="12">
        <f t="shared" ca="1" si="1"/>
        <v>19.738454333511985</v>
      </c>
      <c r="F28">
        <v>3</v>
      </c>
      <c r="G28">
        <f>5136/20</f>
        <v>256.8</v>
      </c>
      <c r="H28">
        <v>13</v>
      </c>
      <c r="I28">
        <f t="shared" si="2"/>
        <v>26.890052356020941</v>
      </c>
      <c r="J28" s="3">
        <v>644</v>
      </c>
    </row>
    <row r="29" spans="1:10" x14ac:dyDescent="0.2">
      <c r="A29" s="2">
        <v>2018</v>
      </c>
      <c r="B29" s="3">
        <v>604</v>
      </c>
      <c r="C29" s="4">
        <v>383425179</v>
      </c>
      <c r="D29">
        <f t="shared" ca="1" si="4"/>
        <v>16.496612801778593</v>
      </c>
      <c r="E29" s="12">
        <f t="shared" ca="1" si="1"/>
        <v>16.566412801778593</v>
      </c>
      <c r="F29">
        <v>1</v>
      </c>
      <c r="G29">
        <f>5136/20</f>
        <v>256.8</v>
      </c>
      <c r="H29">
        <v>15</v>
      </c>
      <c r="I29">
        <f t="shared" si="2"/>
        <v>26.890052356020941</v>
      </c>
      <c r="J29" s="3">
        <v>604</v>
      </c>
    </row>
    <row r="30" spans="1:10" x14ac:dyDescent="0.2">
      <c r="A30" s="2">
        <v>2019</v>
      </c>
      <c r="B30" s="3">
        <v>681</v>
      </c>
      <c r="C30" s="4">
        <v>427858457</v>
      </c>
      <c r="D30">
        <f t="shared" ca="1" si="4"/>
        <v>18.408324976215074</v>
      </c>
      <c r="E30" s="12">
        <v>18.40832498</v>
      </c>
      <c r="F30">
        <v>1</v>
      </c>
      <c r="G30">
        <v>460</v>
      </c>
      <c r="H30">
        <v>15</v>
      </c>
      <c r="I30">
        <f t="shared" si="2"/>
        <v>48.167539267015705</v>
      </c>
      <c r="J30" s="3">
        <v>681</v>
      </c>
    </row>
    <row r="38" spans="2:3" x14ac:dyDescent="0.2">
      <c r="C38" t="s">
        <v>32</v>
      </c>
    </row>
    <row r="39" spans="2:3" x14ac:dyDescent="0.2">
      <c r="C39" t="s">
        <v>33</v>
      </c>
    </row>
    <row r="41" spans="2:3" x14ac:dyDescent="0.2">
      <c r="B41" t="s">
        <v>40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5505-1696-5341-BFE8-ABEE510750C9}">
  <dimension ref="A1:I23"/>
  <sheetViews>
    <sheetView workbookViewId="0">
      <selection activeCell="O7" sqref="O7"/>
    </sheetView>
  </sheetViews>
  <sheetFormatPr baseColWidth="10" defaultRowHeight="16" x14ac:dyDescent="0.2"/>
  <sheetData>
    <row r="1" spans="1:9" x14ac:dyDescent="0.2">
      <c r="A1" t="s">
        <v>3</v>
      </c>
    </row>
    <row r="2" spans="1:9" ht="17" thickBot="1" x14ac:dyDescent="0.25"/>
    <row r="3" spans="1:9" x14ac:dyDescent="0.2">
      <c r="A3" s="8" t="s">
        <v>4</v>
      </c>
      <c r="B3" s="8"/>
    </row>
    <row r="4" spans="1:9" x14ac:dyDescent="0.2">
      <c r="A4" s="5" t="s">
        <v>5</v>
      </c>
      <c r="B4" s="5">
        <v>0.72449477656012862</v>
      </c>
    </row>
    <row r="5" spans="1:9" x14ac:dyDescent="0.2">
      <c r="A5" s="5" t="s">
        <v>6</v>
      </c>
      <c r="B5" s="5">
        <v>0.52489268126291067</v>
      </c>
    </row>
    <row r="6" spans="1:9" x14ac:dyDescent="0.2">
      <c r="A6" s="5" t="s">
        <v>7</v>
      </c>
      <c r="B6" s="5">
        <v>0.50980990923951108</v>
      </c>
    </row>
    <row r="7" spans="1:9" x14ac:dyDescent="0.2">
      <c r="A7" s="5" t="s">
        <v>8</v>
      </c>
      <c r="B7" s="5">
        <v>6.1836717766956824</v>
      </c>
    </row>
    <row r="8" spans="1:9" ht="17" thickBot="1" x14ac:dyDescent="0.25">
      <c r="A8" s="6" t="s">
        <v>9</v>
      </c>
      <c r="B8" s="6">
        <v>196</v>
      </c>
    </row>
    <row r="10" spans="1:9" ht="17" thickBot="1" x14ac:dyDescent="0.25">
      <c r="A10" t="s">
        <v>10</v>
      </c>
    </row>
    <row r="11" spans="1:9" x14ac:dyDescent="0.2">
      <c r="A11" s="7"/>
      <c r="B11" s="7" t="s">
        <v>15</v>
      </c>
      <c r="C11" s="7" t="s">
        <v>16</v>
      </c>
      <c r="D11" s="7" t="s">
        <v>17</v>
      </c>
      <c r="E11" s="7" t="s">
        <v>18</v>
      </c>
      <c r="F11" s="7" t="s">
        <v>19</v>
      </c>
    </row>
    <row r="12" spans="1:9" x14ac:dyDescent="0.2">
      <c r="A12" s="5" t="s">
        <v>11</v>
      </c>
      <c r="B12" s="5">
        <v>6</v>
      </c>
      <c r="C12" s="5">
        <v>7984.2377411060152</v>
      </c>
      <c r="D12" s="5">
        <v>1330.7062901843358</v>
      </c>
      <c r="E12" s="5">
        <v>34.80080985435459</v>
      </c>
      <c r="F12" s="5">
        <v>3.7041668459232957E-28</v>
      </c>
    </row>
    <row r="13" spans="1:9" x14ac:dyDescent="0.2">
      <c r="A13" s="5" t="s">
        <v>12</v>
      </c>
      <c r="B13" s="5">
        <v>189</v>
      </c>
      <c r="C13" s="5">
        <v>7226.9435653196178</v>
      </c>
      <c r="D13" s="5">
        <v>38.23779664190274</v>
      </c>
      <c r="E13" s="5"/>
      <c r="F13" s="5"/>
    </row>
    <row r="14" spans="1:9" ht="17" thickBot="1" x14ac:dyDescent="0.25">
      <c r="A14" s="6" t="s">
        <v>13</v>
      </c>
      <c r="B14" s="6">
        <v>195</v>
      </c>
      <c r="C14" s="6">
        <v>15211.181306425633</v>
      </c>
      <c r="D14" s="6"/>
      <c r="E14" s="6"/>
      <c r="F14" s="6"/>
    </row>
    <row r="15" spans="1:9" ht="17" thickBot="1" x14ac:dyDescent="0.25"/>
    <row r="16" spans="1:9" x14ac:dyDescent="0.2">
      <c r="A16" s="7"/>
      <c r="B16" s="7" t="s">
        <v>20</v>
      </c>
      <c r="C16" s="7" t="s">
        <v>8</v>
      </c>
      <c r="D16" s="7" t="s">
        <v>21</v>
      </c>
      <c r="E16" s="7" t="s">
        <v>22</v>
      </c>
      <c r="F16" s="7" t="s">
        <v>23</v>
      </c>
      <c r="G16" s="7" t="s">
        <v>24</v>
      </c>
      <c r="H16" s="7" t="s">
        <v>25</v>
      </c>
      <c r="I16" s="7" t="s">
        <v>26</v>
      </c>
    </row>
    <row r="17" spans="1:9" x14ac:dyDescent="0.2">
      <c r="A17" s="5" t="s">
        <v>14</v>
      </c>
      <c r="B17" s="5">
        <v>-2.3133323502194303</v>
      </c>
      <c r="C17" s="5">
        <v>3.9572279080541835</v>
      </c>
      <c r="D17" s="5">
        <v>-0.58458405832807436</v>
      </c>
      <c r="E17" s="5">
        <v>0.55952459858200743</v>
      </c>
      <c r="F17" s="5">
        <v>-10.119340648522959</v>
      </c>
      <c r="G17" s="5">
        <v>5.4926759480840985</v>
      </c>
      <c r="H17" s="5">
        <v>-10.119340648522959</v>
      </c>
      <c r="I17" s="5">
        <v>5.4926759480840985</v>
      </c>
    </row>
    <row r="18" spans="1:9" x14ac:dyDescent="0.2">
      <c r="A18" s="5" t="s">
        <v>39</v>
      </c>
      <c r="B18" s="5">
        <v>2.2099824273126394E-2</v>
      </c>
      <c r="C18" s="5">
        <v>1.1356802705929729E-2</v>
      </c>
      <c r="D18" s="5">
        <v>1.9459547590438822</v>
      </c>
      <c r="E18" s="5">
        <v>5.314304903326416E-2</v>
      </c>
      <c r="F18" s="5">
        <v>-3.0254885889630448E-4</v>
      </c>
      <c r="G18" s="5">
        <v>4.4502197405149088E-2</v>
      </c>
      <c r="H18" s="5">
        <v>-3.0254885889630448E-4</v>
      </c>
      <c r="I18" s="5">
        <v>4.4502197405149088E-2</v>
      </c>
    </row>
    <row r="19" spans="1:9" x14ac:dyDescent="0.2">
      <c r="A19" s="5" t="s">
        <v>65</v>
      </c>
      <c r="B19" s="5">
        <v>0.50500227107500573</v>
      </c>
      <c r="C19" s="5">
        <v>6.0320945208620559E-2</v>
      </c>
      <c r="D19" s="5">
        <v>8.3719223783455412</v>
      </c>
      <c r="E19" s="5">
        <v>1.2468151983085233E-14</v>
      </c>
      <c r="F19" s="5">
        <v>0.38601347138984055</v>
      </c>
      <c r="G19" s="5">
        <v>0.62399107076017091</v>
      </c>
      <c r="H19" s="5">
        <v>0.38601347138984055</v>
      </c>
      <c r="I19" s="5">
        <v>0.62399107076017091</v>
      </c>
    </row>
    <row r="20" spans="1:9" x14ac:dyDescent="0.2">
      <c r="A20" s="5" t="s">
        <v>37</v>
      </c>
      <c r="B20" s="5">
        <v>-0.52020116756418922</v>
      </c>
      <c r="C20" s="5">
        <v>0.47668385926578849</v>
      </c>
      <c r="D20" s="5">
        <v>-1.0912917596274987</v>
      </c>
      <c r="E20" s="5">
        <v>0.27653375907850547</v>
      </c>
      <c r="F20" s="5">
        <v>-1.460505402638119</v>
      </c>
      <c r="G20" s="5">
        <v>0.42010306750974058</v>
      </c>
      <c r="H20" s="5">
        <v>-1.460505402638119</v>
      </c>
      <c r="I20" s="5">
        <v>0.42010306750974058</v>
      </c>
    </row>
    <row r="21" spans="1:9" x14ac:dyDescent="0.2">
      <c r="A21" s="5" t="s">
        <v>67</v>
      </c>
      <c r="B21" s="5">
        <v>-1.1211447815827849E-2</v>
      </c>
      <c r="C21" s="5">
        <v>2.1845785485885658E-2</v>
      </c>
      <c r="D21" s="5">
        <v>-0.51320872957721997</v>
      </c>
      <c r="E21" s="5">
        <v>0.60840468741354892</v>
      </c>
      <c r="F21" s="5">
        <v>-5.4304336764352694E-2</v>
      </c>
      <c r="G21" s="5">
        <v>3.1881441132696996E-2</v>
      </c>
      <c r="H21" s="5">
        <v>-5.4304336764352694E-2</v>
      </c>
      <c r="I21" s="5">
        <v>3.1881441132696996E-2</v>
      </c>
    </row>
    <row r="22" spans="1:9" x14ac:dyDescent="0.2">
      <c r="A22" s="5" t="s">
        <v>68</v>
      </c>
      <c r="B22" s="5">
        <v>-0.82276386397914814</v>
      </c>
      <c r="C22" s="5">
        <v>1.1092244615000297</v>
      </c>
      <c r="D22" s="5">
        <v>-0.74174695252077805</v>
      </c>
      <c r="E22" s="5">
        <v>0.45916139171684534</v>
      </c>
      <c r="F22" s="5">
        <v>-3.010814578351078</v>
      </c>
      <c r="G22" s="5">
        <v>1.365286850392782</v>
      </c>
      <c r="H22" s="5">
        <v>-3.010814578351078</v>
      </c>
      <c r="I22" s="5">
        <v>1.365286850392782</v>
      </c>
    </row>
    <row r="23" spans="1:9" ht="17" thickBot="1" x14ac:dyDescent="0.25">
      <c r="A23" s="6" t="s">
        <v>69</v>
      </c>
      <c r="B23" s="6">
        <v>0.67876894396521048</v>
      </c>
      <c r="C23" s="6">
        <v>0.70153225430752941</v>
      </c>
      <c r="D23" s="6">
        <v>0.96755201175348926</v>
      </c>
      <c r="E23" s="6">
        <v>0.33450463277224129</v>
      </c>
      <c r="F23" s="6">
        <v>-0.7050701287115142</v>
      </c>
      <c r="G23" s="6">
        <v>2.0626080166419349</v>
      </c>
      <c r="H23" s="6">
        <v>-0.7050701287115142</v>
      </c>
      <c r="I23" s="6">
        <v>2.0626080166419349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C6D4-4912-7B4E-9547-7F838A14BF8C}">
  <dimension ref="A1:AS589"/>
  <sheetViews>
    <sheetView tabSelected="1" topLeftCell="B1" workbookViewId="0">
      <selection activeCell="F13" sqref="F13"/>
    </sheetView>
  </sheetViews>
  <sheetFormatPr baseColWidth="10" defaultRowHeight="16" x14ac:dyDescent="0.2"/>
  <cols>
    <col min="1" max="1" width="17.6640625" customWidth="1"/>
    <col min="4" max="4" width="19.1640625" customWidth="1"/>
    <col min="5" max="5" width="16.83203125" customWidth="1"/>
    <col min="8" max="8" width="14.83203125" customWidth="1"/>
    <col min="9" max="9" width="15.1640625" customWidth="1"/>
    <col min="10" max="10" width="13" customWidth="1"/>
  </cols>
  <sheetData>
    <row r="1" spans="1:45" x14ac:dyDescent="0.2">
      <c r="A1" s="1" t="s">
        <v>41</v>
      </c>
      <c r="B1" t="s">
        <v>43</v>
      </c>
      <c r="C1" t="s">
        <v>66</v>
      </c>
      <c r="D1" t="s">
        <v>44</v>
      </c>
      <c r="E1" t="s">
        <v>39</v>
      </c>
      <c r="F1" t="s">
        <v>65</v>
      </c>
      <c r="G1" t="s">
        <v>37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>
        <v>1992</v>
      </c>
      <c r="S1">
        <v>1993</v>
      </c>
      <c r="T1">
        <v>1994</v>
      </c>
      <c r="U1">
        <v>1995</v>
      </c>
      <c r="V1">
        <v>1996</v>
      </c>
      <c r="W1">
        <v>1997</v>
      </c>
      <c r="X1">
        <v>1998</v>
      </c>
      <c r="Y1">
        <v>1999</v>
      </c>
      <c r="Z1">
        <v>2000</v>
      </c>
      <c r="AA1">
        <v>2001</v>
      </c>
      <c r="AB1">
        <v>2002</v>
      </c>
      <c r="AC1">
        <v>2003</v>
      </c>
      <c r="AD1">
        <v>2004</v>
      </c>
      <c r="AE1">
        <v>2005</v>
      </c>
      <c r="AF1">
        <v>2006</v>
      </c>
      <c r="AG1">
        <v>2007</v>
      </c>
      <c r="AH1">
        <v>2008</v>
      </c>
      <c r="AI1">
        <v>2009</v>
      </c>
      <c r="AJ1">
        <v>2010</v>
      </c>
      <c r="AK1">
        <v>2011</v>
      </c>
      <c r="AL1">
        <v>2012</v>
      </c>
      <c r="AM1">
        <v>2013</v>
      </c>
      <c r="AN1">
        <v>2014</v>
      </c>
      <c r="AO1">
        <v>2015</v>
      </c>
      <c r="AP1">
        <v>2016</v>
      </c>
      <c r="AQ1">
        <v>2017</v>
      </c>
      <c r="AR1">
        <v>2018</v>
      </c>
      <c r="AS1">
        <v>2019</v>
      </c>
    </row>
    <row r="2" spans="1:45" x14ac:dyDescent="0.2">
      <c r="A2" t="s">
        <v>42</v>
      </c>
      <c r="B2">
        <v>1992</v>
      </c>
      <c r="C2">
        <v>1</v>
      </c>
      <c r="D2">
        <v>0</v>
      </c>
      <c r="E2" s="15">
        <v>268</v>
      </c>
      <c r="F2">
        <v>1</v>
      </c>
      <c r="G2">
        <v>3</v>
      </c>
      <c r="H2">
        <f>E2*C2</f>
        <v>268</v>
      </c>
      <c r="I2">
        <f>F2*C2</f>
        <v>1</v>
      </c>
      <c r="J2">
        <f>G2*C2</f>
        <v>3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">
      <c r="A3" t="s">
        <v>42</v>
      </c>
      <c r="B3">
        <v>1993</v>
      </c>
      <c r="C3">
        <v>1</v>
      </c>
      <c r="D3">
        <f>6.83/9</f>
        <v>0.75888888888888895</v>
      </c>
      <c r="E3" s="15">
        <v>266</v>
      </c>
      <c r="F3">
        <v>1</v>
      </c>
      <c r="G3">
        <v>7</v>
      </c>
      <c r="H3">
        <f t="shared" ref="H3:H66" si="0">E3*C3</f>
        <v>266</v>
      </c>
      <c r="I3">
        <f t="shared" ref="I3:I66" si="1">F3*C3</f>
        <v>1</v>
      </c>
      <c r="J3">
        <f t="shared" ref="J3:J66" si="2">G3*C3</f>
        <v>7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</row>
    <row r="4" spans="1:45" x14ac:dyDescent="0.2">
      <c r="A4" t="s">
        <v>42</v>
      </c>
      <c r="B4">
        <v>1994</v>
      </c>
      <c r="C4">
        <v>1</v>
      </c>
      <c r="D4">
        <f>2.25/5</f>
        <v>0.45</v>
      </c>
      <c r="E4" s="15">
        <v>315</v>
      </c>
      <c r="F4">
        <v>1</v>
      </c>
      <c r="G4">
        <v>8</v>
      </c>
      <c r="H4">
        <f t="shared" si="0"/>
        <v>315</v>
      </c>
      <c r="I4">
        <f t="shared" si="1"/>
        <v>1</v>
      </c>
      <c r="J4">
        <f t="shared" si="2"/>
        <v>8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5" x14ac:dyDescent="0.2">
      <c r="A5" t="s">
        <v>42</v>
      </c>
      <c r="B5">
        <v>1995</v>
      </c>
      <c r="C5">
        <v>1</v>
      </c>
      <c r="D5">
        <f>10.59/13</f>
        <v>0.81461538461538463</v>
      </c>
      <c r="E5" s="15">
        <v>312</v>
      </c>
      <c r="F5">
        <v>1</v>
      </c>
      <c r="G5">
        <v>11</v>
      </c>
      <c r="H5">
        <f t="shared" si="0"/>
        <v>312</v>
      </c>
      <c r="I5">
        <f t="shared" si="1"/>
        <v>1</v>
      </c>
      <c r="J5">
        <f t="shared" si="2"/>
        <v>11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">
      <c r="A6" t="s">
        <v>42</v>
      </c>
      <c r="B6">
        <v>1996</v>
      </c>
      <c r="C6">
        <v>1</v>
      </c>
      <c r="D6">
        <f>4.29/11</f>
        <v>0.39</v>
      </c>
      <c r="E6" s="15">
        <v>318</v>
      </c>
      <c r="F6">
        <v>3.5075834000000001</v>
      </c>
      <c r="G6">
        <v>9</v>
      </c>
      <c r="H6">
        <f t="shared" si="0"/>
        <v>318</v>
      </c>
      <c r="I6">
        <f t="shared" si="1"/>
        <v>3.5075834000000001</v>
      </c>
      <c r="J6">
        <f t="shared" si="2"/>
        <v>9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</row>
    <row r="7" spans="1:45" x14ac:dyDescent="0.2">
      <c r="A7" t="s">
        <v>42</v>
      </c>
      <c r="B7">
        <v>1997</v>
      </c>
      <c r="C7">
        <v>0</v>
      </c>
      <c r="D7">
        <f>7.84/16</f>
        <v>0.49</v>
      </c>
      <c r="E7" s="15">
        <v>327</v>
      </c>
      <c r="F7">
        <v>3.5075834000000001</v>
      </c>
      <c r="G7">
        <v>9</v>
      </c>
      <c r="H7">
        <f t="shared" si="0"/>
        <v>0</v>
      </c>
      <c r="I7">
        <f t="shared" si="1"/>
        <v>0</v>
      </c>
      <c r="J7">
        <f t="shared" si="2"/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</row>
    <row r="8" spans="1:45" x14ac:dyDescent="0.2">
      <c r="A8" t="s">
        <v>42</v>
      </c>
      <c r="B8">
        <v>1998</v>
      </c>
      <c r="C8">
        <v>0</v>
      </c>
      <c r="D8">
        <f>0.9/7</f>
        <v>0.12857142857142859</v>
      </c>
      <c r="E8" s="15">
        <v>391</v>
      </c>
      <c r="F8">
        <v>3.5075834000000001</v>
      </c>
      <c r="G8">
        <v>10</v>
      </c>
      <c r="H8">
        <f t="shared" si="0"/>
        <v>0</v>
      </c>
      <c r="I8">
        <f t="shared" si="1"/>
        <v>0</v>
      </c>
      <c r="J8">
        <f t="shared" si="2"/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">
      <c r="A9" t="s">
        <v>42</v>
      </c>
      <c r="B9">
        <v>1999</v>
      </c>
      <c r="C9">
        <v>0</v>
      </c>
      <c r="D9">
        <f>8.53/8</f>
        <v>1.0662499999999999</v>
      </c>
      <c r="E9" s="15">
        <v>454</v>
      </c>
      <c r="F9">
        <v>3.5075834000000001</v>
      </c>
      <c r="G9">
        <v>10</v>
      </c>
      <c r="H9">
        <f t="shared" si="0"/>
        <v>0</v>
      </c>
      <c r="I9">
        <f t="shared" si="1"/>
        <v>0</v>
      </c>
      <c r="J9">
        <f t="shared" si="2"/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5" x14ac:dyDescent="0.2">
      <c r="A10" t="s">
        <v>42</v>
      </c>
      <c r="B10">
        <v>2000</v>
      </c>
      <c r="C10">
        <v>0</v>
      </c>
      <c r="D10">
        <f>18.25/10</f>
        <v>1.825</v>
      </c>
      <c r="E10" s="15">
        <v>479</v>
      </c>
      <c r="F10">
        <v>3.5075834000000001</v>
      </c>
      <c r="G10">
        <v>11</v>
      </c>
      <c r="H10">
        <f t="shared" si="0"/>
        <v>0</v>
      </c>
      <c r="I10">
        <f t="shared" si="1"/>
        <v>0</v>
      </c>
      <c r="J10">
        <f t="shared" si="2"/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</row>
    <row r="11" spans="1:45" x14ac:dyDescent="0.2">
      <c r="A11" t="s">
        <v>42</v>
      </c>
      <c r="B11">
        <v>2001</v>
      </c>
      <c r="C11">
        <v>0</v>
      </c>
      <c r="D11">
        <f>18.46/14</f>
        <v>1.3185714285714287</v>
      </c>
      <c r="E11" s="15">
        <v>481</v>
      </c>
      <c r="F11">
        <v>6.2827225100000001</v>
      </c>
      <c r="G11">
        <v>13</v>
      </c>
      <c r="H11">
        <f t="shared" si="0"/>
        <v>0</v>
      </c>
      <c r="I11">
        <f t="shared" si="1"/>
        <v>0</v>
      </c>
      <c r="J11">
        <f t="shared" si="2"/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">
      <c r="A12" t="s">
        <v>42</v>
      </c>
      <c r="B12">
        <v>2002</v>
      </c>
      <c r="C12">
        <v>0</v>
      </c>
      <c r="D12">
        <f>40.01/12</f>
        <v>3.3341666666666665</v>
      </c>
      <c r="E12" s="15">
        <v>516</v>
      </c>
      <c r="F12">
        <v>6.2827225100000001</v>
      </c>
      <c r="G12">
        <v>13</v>
      </c>
      <c r="H12">
        <f t="shared" si="0"/>
        <v>0</v>
      </c>
      <c r="I12">
        <f t="shared" si="1"/>
        <v>0</v>
      </c>
      <c r="J12">
        <f t="shared" si="2"/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5" x14ac:dyDescent="0.2">
      <c r="A13" t="s">
        <v>42</v>
      </c>
      <c r="B13">
        <v>2003</v>
      </c>
      <c r="C13">
        <v>0</v>
      </c>
      <c r="D13">
        <f>12.83/11</f>
        <v>1.1663636363636363</v>
      </c>
      <c r="E13" s="15">
        <v>511</v>
      </c>
      <c r="F13">
        <v>6.2827225100000001</v>
      </c>
      <c r="G13">
        <v>13</v>
      </c>
      <c r="H13">
        <f t="shared" si="0"/>
        <v>0</v>
      </c>
      <c r="I13">
        <f t="shared" si="1"/>
        <v>0</v>
      </c>
      <c r="J13">
        <f t="shared" si="2"/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5" x14ac:dyDescent="0.2">
      <c r="A14" t="s">
        <v>42</v>
      </c>
      <c r="B14">
        <v>2004</v>
      </c>
      <c r="C14">
        <v>0</v>
      </c>
      <c r="D14">
        <f>1.35/6</f>
        <v>0.22500000000000001</v>
      </c>
      <c r="E14" s="15">
        <v>589</v>
      </c>
      <c r="F14">
        <v>5.3612565400000003</v>
      </c>
      <c r="G14">
        <v>14</v>
      </c>
      <c r="H14">
        <f t="shared" si="0"/>
        <v>0</v>
      </c>
      <c r="I14">
        <f t="shared" si="1"/>
        <v>0</v>
      </c>
      <c r="J14">
        <f t="shared" si="2"/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">
      <c r="A15" t="s">
        <v>42</v>
      </c>
      <c r="B15">
        <v>2005</v>
      </c>
      <c r="C15">
        <v>0</v>
      </c>
      <c r="D15">
        <f>11.23/6</f>
        <v>1.8716666666666668</v>
      </c>
      <c r="E15" s="15">
        <v>567</v>
      </c>
      <c r="F15">
        <v>5.3612565400000003</v>
      </c>
      <c r="G15">
        <v>14</v>
      </c>
      <c r="H15">
        <f t="shared" si="0"/>
        <v>0</v>
      </c>
      <c r="I15">
        <f t="shared" si="1"/>
        <v>0</v>
      </c>
      <c r="J15">
        <f t="shared" si="2"/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</row>
    <row r="16" spans="1:45" x14ac:dyDescent="0.2">
      <c r="A16" t="s">
        <v>42</v>
      </c>
      <c r="B16">
        <v>2006</v>
      </c>
      <c r="C16">
        <v>0</v>
      </c>
      <c r="D16">
        <f>5.85/11</f>
        <v>0.53181818181818175</v>
      </c>
      <c r="E16" s="15">
        <v>596</v>
      </c>
      <c r="F16">
        <v>5.3612565400000003</v>
      </c>
      <c r="G16">
        <v>13</v>
      </c>
      <c r="H16">
        <f t="shared" si="0"/>
        <v>0</v>
      </c>
      <c r="I16">
        <f t="shared" si="1"/>
        <v>0</v>
      </c>
      <c r="J16">
        <f t="shared" si="2"/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">
      <c r="A17" t="s">
        <v>42</v>
      </c>
      <c r="B17">
        <v>2007</v>
      </c>
      <c r="C17">
        <v>0</v>
      </c>
      <c r="D17">
        <f>70.16/12</f>
        <v>5.8466666666666667</v>
      </c>
      <c r="E17" s="15">
        <v>574</v>
      </c>
      <c r="F17">
        <v>8.9319371699999994</v>
      </c>
      <c r="G17">
        <v>14</v>
      </c>
      <c r="H17">
        <f t="shared" si="0"/>
        <v>0</v>
      </c>
      <c r="I17">
        <f t="shared" si="1"/>
        <v>0</v>
      </c>
      <c r="J17">
        <f t="shared" si="2"/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">
      <c r="A18" t="s">
        <v>42</v>
      </c>
      <c r="B18">
        <v>2008</v>
      </c>
      <c r="C18">
        <v>0</v>
      </c>
      <c r="D18">
        <f>141.62/12</f>
        <v>11.801666666666668</v>
      </c>
      <c r="E18" s="15">
        <v>590</v>
      </c>
      <c r="F18">
        <v>8.9319371699999994</v>
      </c>
      <c r="G18">
        <v>15</v>
      </c>
      <c r="H18">
        <f t="shared" si="0"/>
        <v>0</v>
      </c>
      <c r="I18">
        <f t="shared" si="1"/>
        <v>0</v>
      </c>
      <c r="J18">
        <f t="shared" si="2"/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">
      <c r="A19" t="s">
        <v>42</v>
      </c>
      <c r="B19">
        <v>2009</v>
      </c>
      <c r="C19">
        <v>0</v>
      </c>
      <c r="D19">
        <f>132.57/12</f>
        <v>11.047499999999999</v>
      </c>
      <c r="E19" s="15">
        <v>591</v>
      </c>
      <c r="F19">
        <v>8.9319371699999994</v>
      </c>
      <c r="G19">
        <v>15</v>
      </c>
      <c r="H19">
        <f t="shared" si="0"/>
        <v>0</v>
      </c>
      <c r="I19">
        <f t="shared" si="1"/>
        <v>0</v>
      </c>
      <c r="J19">
        <f t="shared" si="2"/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2">
      <c r="A20" t="s">
        <v>42</v>
      </c>
      <c r="B20">
        <v>2010</v>
      </c>
      <c r="C20">
        <v>0</v>
      </c>
      <c r="D20">
        <f>165.24/8</f>
        <v>20.655000000000001</v>
      </c>
      <c r="E20" s="15">
        <v>604</v>
      </c>
      <c r="F20">
        <v>9.2827225099999993</v>
      </c>
      <c r="G20">
        <v>15</v>
      </c>
      <c r="H20">
        <f t="shared" si="0"/>
        <v>0</v>
      </c>
      <c r="I20">
        <f t="shared" si="1"/>
        <v>0</v>
      </c>
      <c r="J20">
        <f t="shared" si="2"/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</row>
    <row r="21" spans="1:45" x14ac:dyDescent="0.2">
      <c r="A21" t="s">
        <v>42</v>
      </c>
      <c r="B21">
        <v>2011</v>
      </c>
      <c r="C21">
        <v>0</v>
      </c>
      <c r="D21">
        <f>81.95/8</f>
        <v>10.24375</v>
      </c>
      <c r="E21" s="15">
        <v>599</v>
      </c>
      <c r="F21">
        <v>9.2827225099999993</v>
      </c>
      <c r="G21">
        <v>15</v>
      </c>
      <c r="H21">
        <f t="shared" si="0"/>
        <v>0</v>
      </c>
      <c r="I21">
        <f t="shared" si="1"/>
        <v>0</v>
      </c>
      <c r="J21">
        <f t="shared" si="2"/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">
      <c r="A22" t="s">
        <v>42</v>
      </c>
      <c r="B22">
        <v>2012</v>
      </c>
      <c r="C22">
        <v>0</v>
      </c>
      <c r="D22">
        <f>55.76/6</f>
        <v>9.293333333333333</v>
      </c>
      <c r="E22" s="15">
        <v>524</v>
      </c>
      <c r="F22">
        <v>9.2827225099999993</v>
      </c>
      <c r="G22">
        <v>15</v>
      </c>
      <c r="H22">
        <f t="shared" si="0"/>
        <v>0</v>
      </c>
      <c r="I22">
        <f t="shared" si="1"/>
        <v>0</v>
      </c>
      <c r="J22">
        <f t="shared" si="2"/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</row>
    <row r="23" spans="1:45" x14ac:dyDescent="0.2">
      <c r="A23" t="s">
        <v>42</v>
      </c>
      <c r="B23">
        <v>2013</v>
      </c>
      <c r="C23">
        <v>0</v>
      </c>
      <c r="D23">
        <f>103.95/5</f>
        <v>20.79</v>
      </c>
      <c r="E23" s="15">
        <v>557</v>
      </c>
      <c r="F23">
        <v>15.8010471</v>
      </c>
      <c r="G23">
        <v>14</v>
      </c>
      <c r="H23">
        <f t="shared" si="0"/>
        <v>0</v>
      </c>
      <c r="I23">
        <f t="shared" si="1"/>
        <v>0</v>
      </c>
      <c r="J23">
        <f t="shared" si="2"/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">
      <c r="A24" t="s">
        <v>42</v>
      </c>
      <c r="B24">
        <v>2014</v>
      </c>
      <c r="C24">
        <v>0</v>
      </c>
      <c r="D24">
        <f>82.22/7</f>
        <v>11.745714285714286</v>
      </c>
      <c r="E24" s="15">
        <v>667</v>
      </c>
      <c r="F24">
        <v>15.8010471</v>
      </c>
      <c r="G24">
        <v>14</v>
      </c>
      <c r="H24">
        <f t="shared" si="0"/>
        <v>0</v>
      </c>
      <c r="I24">
        <f t="shared" si="1"/>
        <v>0</v>
      </c>
      <c r="J24">
        <f t="shared" si="2"/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</v>
      </c>
      <c r="AR24">
        <v>0</v>
      </c>
      <c r="AS24">
        <v>0</v>
      </c>
    </row>
    <row r="25" spans="1:45" x14ac:dyDescent="0.2">
      <c r="A25" t="s">
        <v>42</v>
      </c>
      <c r="B25">
        <v>2015</v>
      </c>
      <c r="C25">
        <v>0</v>
      </c>
      <c r="D25">
        <f>187.62/10</f>
        <v>18.762</v>
      </c>
      <c r="E25" s="15">
        <v>664</v>
      </c>
      <c r="F25">
        <v>15.8010471</v>
      </c>
      <c r="G25">
        <v>14</v>
      </c>
      <c r="H25">
        <f t="shared" si="0"/>
        <v>0</v>
      </c>
      <c r="I25">
        <f t="shared" si="1"/>
        <v>0</v>
      </c>
      <c r="J25">
        <f t="shared" si="2"/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</row>
    <row r="26" spans="1:45" x14ac:dyDescent="0.2">
      <c r="A26" t="s">
        <v>42</v>
      </c>
      <c r="B26">
        <v>2016</v>
      </c>
      <c r="C26">
        <v>0</v>
      </c>
      <c r="D26">
        <f>193.5/12</f>
        <v>16.125</v>
      </c>
      <c r="E26" s="15">
        <v>622</v>
      </c>
      <c r="F26">
        <v>26.890052399999998</v>
      </c>
      <c r="G26">
        <v>13</v>
      </c>
      <c r="H26">
        <f t="shared" si="0"/>
        <v>0</v>
      </c>
      <c r="I26">
        <f t="shared" si="1"/>
        <v>0</v>
      </c>
      <c r="J26">
        <f t="shared" si="2"/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</v>
      </c>
      <c r="AR26">
        <v>0</v>
      </c>
      <c r="AS26">
        <v>0</v>
      </c>
    </row>
    <row r="27" spans="1:45" x14ac:dyDescent="0.2">
      <c r="A27" t="s">
        <v>42</v>
      </c>
      <c r="B27">
        <v>2017</v>
      </c>
      <c r="C27">
        <v>0</v>
      </c>
      <c r="D27">
        <f>285.75/10</f>
        <v>28.574999999999999</v>
      </c>
      <c r="E27" s="15">
        <v>644</v>
      </c>
      <c r="F27">
        <v>26.890052399999998</v>
      </c>
      <c r="G27">
        <v>13</v>
      </c>
      <c r="H27">
        <f t="shared" si="0"/>
        <v>0</v>
      </c>
      <c r="I27">
        <f t="shared" si="1"/>
        <v>0</v>
      </c>
      <c r="J27">
        <f t="shared" si="2"/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</row>
    <row r="28" spans="1:45" x14ac:dyDescent="0.2">
      <c r="A28" t="s">
        <v>42</v>
      </c>
      <c r="B28">
        <v>2018</v>
      </c>
      <c r="C28">
        <v>0</v>
      </c>
      <c r="D28">
        <f>70.73/5</f>
        <v>14.146000000000001</v>
      </c>
      <c r="E28" s="15">
        <v>604</v>
      </c>
      <c r="F28">
        <v>26.890052399999998</v>
      </c>
      <c r="G28">
        <v>15</v>
      </c>
      <c r="H28">
        <f t="shared" si="0"/>
        <v>0</v>
      </c>
      <c r="I28">
        <f t="shared" si="1"/>
        <v>0</v>
      </c>
      <c r="J28">
        <f t="shared" si="2"/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</row>
    <row r="29" spans="1:45" x14ac:dyDescent="0.2">
      <c r="A29" t="s">
        <v>42</v>
      </c>
      <c r="B29">
        <v>2019</v>
      </c>
      <c r="C29">
        <v>0</v>
      </c>
      <c r="D29">
        <f>143.57/7</f>
        <v>20.509999999999998</v>
      </c>
      <c r="E29" s="15">
        <v>681</v>
      </c>
      <c r="F29">
        <v>48.167539300000001</v>
      </c>
      <c r="G29">
        <v>15</v>
      </c>
      <c r="H29">
        <f t="shared" si="0"/>
        <v>0</v>
      </c>
      <c r="I29">
        <f t="shared" si="1"/>
        <v>0</v>
      </c>
      <c r="J29">
        <f t="shared" si="2"/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</row>
    <row r="30" spans="1:45" x14ac:dyDescent="0.2">
      <c r="A30" t="s">
        <v>45</v>
      </c>
      <c r="B30">
        <v>1992</v>
      </c>
      <c r="C30">
        <v>1</v>
      </c>
      <c r="D30">
        <f>3.74/4</f>
        <v>0.93500000000000005</v>
      </c>
      <c r="E30" s="15">
        <v>268</v>
      </c>
      <c r="F30">
        <v>1</v>
      </c>
      <c r="G30">
        <v>3</v>
      </c>
      <c r="H30">
        <f>E30*C30</f>
        <v>268</v>
      </c>
      <c r="I30">
        <f t="shared" si="1"/>
        <v>1</v>
      </c>
      <c r="J30">
        <f t="shared" si="2"/>
        <v>3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</row>
    <row r="31" spans="1:45" x14ac:dyDescent="0.2">
      <c r="A31" t="s">
        <v>45</v>
      </c>
      <c r="B31">
        <v>1993</v>
      </c>
      <c r="C31">
        <v>1</v>
      </c>
      <c r="D31">
        <f>7.2/4</f>
        <v>1.8</v>
      </c>
      <c r="E31" s="15">
        <v>266</v>
      </c>
      <c r="F31">
        <v>1</v>
      </c>
      <c r="G31">
        <v>7</v>
      </c>
      <c r="H31">
        <f t="shared" ref="H31:H94" si="3">E31*C31</f>
        <v>266</v>
      </c>
      <c r="I31">
        <f t="shared" si="1"/>
        <v>1</v>
      </c>
      <c r="J31">
        <f t="shared" si="2"/>
        <v>7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">
      <c r="A32" t="s">
        <v>45</v>
      </c>
      <c r="B32">
        <v>1994</v>
      </c>
      <c r="C32">
        <v>1</v>
      </c>
      <c r="D32">
        <f>10.85/6</f>
        <v>1.8083333333333333</v>
      </c>
      <c r="E32" s="15">
        <v>315</v>
      </c>
      <c r="F32">
        <v>1</v>
      </c>
      <c r="G32">
        <v>8</v>
      </c>
      <c r="H32">
        <f t="shared" si="3"/>
        <v>315</v>
      </c>
      <c r="I32">
        <f t="shared" si="1"/>
        <v>1</v>
      </c>
      <c r="J32">
        <f t="shared" si="2"/>
        <v>8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</row>
    <row r="33" spans="1:45" x14ac:dyDescent="0.2">
      <c r="A33" t="s">
        <v>45</v>
      </c>
      <c r="B33">
        <v>1995</v>
      </c>
      <c r="C33">
        <v>1</v>
      </c>
      <c r="D33">
        <f>17.33/3</f>
        <v>5.7766666666666664</v>
      </c>
      <c r="E33" s="15">
        <v>312</v>
      </c>
      <c r="F33">
        <v>1</v>
      </c>
      <c r="G33">
        <v>11</v>
      </c>
      <c r="H33">
        <f t="shared" si="3"/>
        <v>312</v>
      </c>
      <c r="I33">
        <f t="shared" si="1"/>
        <v>1</v>
      </c>
      <c r="J33">
        <f t="shared" si="2"/>
        <v>11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</row>
    <row r="34" spans="1:45" x14ac:dyDescent="0.2">
      <c r="A34" t="s">
        <v>45</v>
      </c>
      <c r="B34">
        <v>1996</v>
      </c>
      <c r="C34">
        <v>1</v>
      </c>
      <c r="D34">
        <f>3.15/3</f>
        <v>1.05</v>
      </c>
      <c r="E34" s="15">
        <v>318</v>
      </c>
      <c r="F34">
        <v>3.5075834000000001</v>
      </c>
      <c r="G34">
        <v>9</v>
      </c>
      <c r="H34">
        <f t="shared" si="3"/>
        <v>318</v>
      </c>
      <c r="I34">
        <f t="shared" si="1"/>
        <v>3.5075834000000001</v>
      </c>
      <c r="J34">
        <f t="shared" si="2"/>
        <v>9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">
      <c r="A35" t="s">
        <v>45</v>
      </c>
      <c r="B35">
        <v>1997</v>
      </c>
      <c r="C35">
        <v>0</v>
      </c>
      <c r="D35">
        <f>16.7/6</f>
        <v>2.7833333333333332</v>
      </c>
      <c r="E35" s="15">
        <v>327</v>
      </c>
      <c r="F35">
        <v>3.5075834000000001</v>
      </c>
      <c r="G35">
        <v>9</v>
      </c>
      <c r="H35">
        <f t="shared" si="3"/>
        <v>0</v>
      </c>
      <c r="I35">
        <f t="shared" si="1"/>
        <v>0</v>
      </c>
      <c r="J35">
        <f t="shared" si="2"/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2">
      <c r="A36" t="s">
        <v>45</v>
      </c>
      <c r="B36">
        <v>1998</v>
      </c>
      <c r="C36">
        <v>0</v>
      </c>
      <c r="D36">
        <f>12.14/7</f>
        <v>1.7342857142857144</v>
      </c>
      <c r="E36" s="15">
        <v>391</v>
      </c>
      <c r="F36">
        <v>3.5075834000000001</v>
      </c>
      <c r="G36">
        <v>10</v>
      </c>
      <c r="H36">
        <f t="shared" si="3"/>
        <v>0</v>
      </c>
      <c r="I36">
        <f t="shared" si="1"/>
        <v>0</v>
      </c>
      <c r="J36">
        <f t="shared" si="2"/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</row>
    <row r="37" spans="1:45" x14ac:dyDescent="0.2">
      <c r="A37" t="s">
        <v>45</v>
      </c>
      <c r="B37">
        <v>1999</v>
      </c>
      <c r="C37">
        <v>0</v>
      </c>
      <c r="D37">
        <f>49.05/8</f>
        <v>6.1312499999999996</v>
      </c>
      <c r="E37" s="15">
        <v>454</v>
      </c>
      <c r="F37">
        <v>3.5075834000000001</v>
      </c>
      <c r="G37">
        <v>10</v>
      </c>
      <c r="H37">
        <f t="shared" si="3"/>
        <v>0</v>
      </c>
      <c r="I37">
        <f t="shared" si="1"/>
        <v>0</v>
      </c>
      <c r="J37">
        <f t="shared" si="2"/>
        <v>0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 x14ac:dyDescent="0.2">
      <c r="A38" t="s">
        <v>45</v>
      </c>
      <c r="B38">
        <v>2000</v>
      </c>
      <c r="C38">
        <v>0</v>
      </c>
      <c r="D38">
        <f>30.6/10</f>
        <v>3.06</v>
      </c>
      <c r="E38" s="15">
        <v>479</v>
      </c>
      <c r="F38">
        <v>3.5075834000000001</v>
      </c>
      <c r="G38">
        <v>11</v>
      </c>
      <c r="H38">
        <f t="shared" si="3"/>
        <v>0</v>
      </c>
      <c r="I38">
        <f t="shared" si="1"/>
        <v>0</v>
      </c>
      <c r="J38">
        <f t="shared" si="2"/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</row>
    <row r="39" spans="1:45" x14ac:dyDescent="0.2">
      <c r="A39" t="s">
        <v>45</v>
      </c>
      <c r="B39">
        <v>2001</v>
      </c>
      <c r="C39">
        <v>0</v>
      </c>
      <c r="D39">
        <f>28.41/6</f>
        <v>4.7350000000000003</v>
      </c>
      <c r="E39" s="15">
        <v>481</v>
      </c>
      <c r="F39">
        <v>6.2827225100000001</v>
      </c>
      <c r="G39">
        <v>13</v>
      </c>
      <c r="H39">
        <f t="shared" si="3"/>
        <v>0</v>
      </c>
      <c r="I39">
        <f t="shared" si="1"/>
        <v>0</v>
      </c>
      <c r="J39">
        <f t="shared" si="2"/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5" x14ac:dyDescent="0.2">
      <c r="A40" t="s">
        <v>45</v>
      </c>
      <c r="B40">
        <v>2002</v>
      </c>
      <c r="C40">
        <v>0</v>
      </c>
      <c r="D40">
        <f>28.35/6</f>
        <v>4.7250000000000005</v>
      </c>
      <c r="E40" s="15">
        <v>516</v>
      </c>
      <c r="F40">
        <v>6.2827225100000001</v>
      </c>
      <c r="G40">
        <v>13</v>
      </c>
      <c r="H40">
        <f t="shared" si="3"/>
        <v>0</v>
      </c>
      <c r="I40">
        <f t="shared" si="1"/>
        <v>0</v>
      </c>
      <c r="J40">
        <f t="shared" si="2"/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</row>
    <row r="41" spans="1:45" x14ac:dyDescent="0.2">
      <c r="A41" t="s">
        <v>45</v>
      </c>
      <c r="B41">
        <v>2003</v>
      </c>
      <c r="C41">
        <v>0</v>
      </c>
      <c r="D41">
        <f>14.09/7</f>
        <v>2.0128571428571429</v>
      </c>
      <c r="E41" s="15">
        <v>511</v>
      </c>
      <c r="F41">
        <v>6.2827225100000001</v>
      </c>
      <c r="G41">
        <v>13</v>
      </c>
      <c r="H41">
        <f t="shared" si="3"/>
        <v>0</v>
      </c>
      <c r="I41">
        <f t="shared" si="1"/>
        <v>0</v>
      </c>
      <c r="J41">
        <f t="shared" si="2"/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 x14ac:dyDescent="0.2">
      <c r="A42" t="s">
        <v>45</v>
      </c>
      <c r="B42">
        <v>2004</v>
      </c>
      <c r="C42">
        <v>0</v>
      </c>
      <c r="D42">
        <f>52.56/8</f>
        <v>6.57</v>
      </c>
      <c r="E42" s="15">
        <v>589</v>
      </c>
      <c r="F42">
        <v>5.3612565400000003</v>
      </c>
      <c r="G42">
        <v>14</v>
      </c>
      <c r="H42">
        <f t="shared" si="3"/>
        <v>0</v>
      </c>
      <c r="I42">
        <f t="shared" si="1"/>
        <v>0</v>
      </c>
      <c r="J42">
        <f t="shared" si="2"/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</row>
    <row r="43" spans="1:45" x14ac:dyDescent="0.2">
      <c r="A43" t="s">
        <v>45</v>
      </c>
      <c r="B43">
        <v>2005</v>
      </c>
      <c r="C43">
        <v>0</v>
      </c>
      <c r="D43">
        <f>39.65/14</f>
        <v>2.8321428571428569</v>
      </c>
      <c r="E43" s="15">
        <v>567</v>
      </c>
      <c r="F43">
        <v>5.3612565400000003</v>
      </c>
      <c r="G43">
        <v>14</v>
      </c>
      <c r="H43">
        <f t="shared" si="3"/>
        <v>0</v>
      </c>
      <c r="I43">
        <f t="shared" si="1"/>
        <v>0</v>
      </c>
      <c r="J43">
        <f t="shared" si="2"/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2">
      <c r="A44" t="s">
        <v>45</v>
      </c>
      <c r="B44">
        <v>2006</v>
      </c>
      <c r="C44">
        <v>0</v>
      </c>
      <c r="D44">
        <f>41.4/11</f>
        <v>3.7636363636363637</v>
      </c>
      <c r="E44" s="15">
        <v>596</v>
      </c>
      <c r="F44">
        <v>5.3612565400000003</v>
      </c>
      <c r="G44">
        <v>13</v>
      </c>
      <c r="H44">
        <f t="shared" si="3"/>
        <v>0</v>
      </c>
      <c r="I44">
        <f t="shared" si="1"/>
        <v>0</v>
      </c>
      <c r="J44">
        <f t="shared" si="2"/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 x14ac:dyDescent="0.2">
      <c r="A45" t="s">
        <v>45</v>
      </c>
      <c r="B45">
        <v>2007</v>
      </c>
      <c r="C45">
        <v>0</v>
      </c>
      <c r="D45">
        <f>81.63/13</f>
        <v>6.2792307692307689</v>
      </c>
      <c r="E45" s="15">
        <v>574</v>
      </c>
      <c r="F45">
        <v>8.9319371699999994</v>
      </c>
      <c r="G45">
        <v>14</v>
      </c>
      <c r="H45">
        <f t="shared" si="3"/>
        <v>0</v>
      </c>
      <c r="I45">
        <f t="shared" si="1"/>
        <v>0</v>
      </c>
      <c r="J45">
        <f t="shared" si="2"/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</row>
    <row r="46" spans="1:45" x14ac:dyDescent="0.2">
      <c r="A46" t="s">
        <v>45</v>
      </c>
      <c r="B46">
        <v>2008</v>
      </c>
      <c r="C46">
        <v>0</v>
      </c>
      <c r="D46">
        <f>64.31/9</f>
        <v>7.1455555555555561</v>
      </c>
      <c r="E46" s="15">
        <v>590</v>
      </c>
      <c r="F46">
        <v>8.9319371699999994</v>
      </c>
      <c r="G46">
        <v>15</v>
      </c>
      <c r="H46">
        <f t="shared" si="3"/>
        <v>0</v>
      </c>
      <c r="I46">
        <f t="shared" si="1"/>
        <v>0</v>
      </c>
      <c r="J46">
        <f t="shared" si="2"/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</row>
    <row r="47" spans="1:45" x14ac:dyDescent="0.2">
      <c r="A47" t="s">
        <v>45</v>
      </c>
      <c r="B47">
        <v>2009</v>
      </c>
      <c r="C47">
        <v>0</v>
      </c>
      <c r="D47">
        <f>39.15/4</f>
        <v>9.7874999999999996</v>
      </c>
      <c r="E47" s="15">
        <v>591</v>
      </c>
      <c r="F47">
        <v>8.9319371699999994</v>
      </c>
      <c r="G47">
        <v>15</v>
      </c>
      <c r="H47">
        <f t="shared" si="3"/>
        <v>0</v>
      </c>
      <c r="I47">
        <f t="shared" si="1"/>
        <v>0</v>
      </c>
      <c r="J47">
        <f t="shared" si="2"/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</row>
    <row r="48" spans="1:45" x14ac:dyDescent="0.2">
      <c r="A48" t="s">
        <v>45</v>
      </c>
      <c r="B48">
        <v>2010</v>
      </c>
      <c r="C48">
        <v>0</v>
      </c>
      <c r="D48">
        <f>87.95/10</f>
        <v>8.7949999999999999</v>
      </c>
      <c r="E48" s="15">
        <v>604</v>
      </c>
      <c r="F48">
        <v>9.2827225099999993</v>
      </c>
      <c r="G48">
        <v>15</v>
      </c>
      <c r="H48">
        <f t="shared" si="3"/>
        <v>0</v>
      </c>
      <c r="I48">
        <f t="shared" si="1"/>
        <v>0</v>
      </c>
      <c r="J48">
        <f t="shared" si="2"/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</row>
    <row r="49" spans="1:45" x14ac:dyDescent="0.2">
      <c r="A49" t="s">
        <v>45</v>
      </c>
      <c r="B49">
        <v>2011</v>
      </c>
      <c r="C49">
        <v>0</v>
      </c>
      <c r="D49">
        <f>58.79/8</f>
        <v>7.3487499999999999</v>
      </c>
      <c r="E49" s="15">
        <v>599</v>
      </c>
      <c r="F49">
        <v>9.2827225099999993</v>
      </c>
      <c r="G49">
        <v>15</v>
      </c>
      <c r="H49">
        <f t="shared" si="3"/>
        <v>0</v>
      </c>
      <c r="I49">
        <f t="shared" si="1"/>
        <v>0</v>
      </c>
      <c r="J49">
        <f t="shared" si="2"/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</row>
    <row r="50" spans="1:45" x14ac:dyDescent="0.2">
      <c r="A50" t="s">
        <v>45</v>
      </c>
      <c r="B50">
        <v>2012</v>
      </c>
      <c r="C50">
        <v>0</v>
      </c>
      <c r="D50">
        <f>63.54/7</f>
        <v>9.0771428571428565</v>
      </c>
      <c r="E50" s="15">
        <v>524</v>
      </c>
      <c r="F50">
        <v>9.2827225099999993</v>
      </c>
      <c r="G50">
        <v>15</v>
      </c>
      <c r="H50">
        <f t="shared" si="3"/>
        <v>0</v>
      </c>
      <c r="I50">
        <f t="shared" si="1"/>
        <v>0</v>
      </c>
      <c r="J50">
        <f t="shared" si="2"/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</row>
    <row r="51" spans="1:45" x14ac:dyDescent="0.2">
      <c r="A51" t="s">
        <v>45</v>
      </c>
      <c r="B51">
        <v>2013</v>
      </c>
      <c r="C51">
        <v>0</v>
      </c>
      <c r="D51">
        <f>52.29/8</f>
        <v>6.5362499999999999</v>
      </c>
      <c r="E51" s="15">
        <v>557</v>
      </c>
      <c r="F51">
        <v>15.8010471</v>
      </c>
      <c r="G51">
        <v>14</v>
      </c>
      <c r="H51">
        <f t="shared" si="3"/>
        <v>0</v>
      </c>
      <c r="I51">
        <f t="shared" si="1"/>
        <v>0</v>
      </c>
      <c r="J51">
        <f t="shared" si="2"/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45" x14ac:dyDescent="0.2">
      <c r="A52" t="s">
        <v>45</v>
      </c>
      <c r="B52">
        <v>2014</v>
      </c>
      <c r="C52">
        <v>0</v>
      </c>
      <c r="D52">
        <f>136.29/11</f>
        <v>12.389999999999999</v>
      </c>
      <c r="E52" s="15">
        <v>667</v>
      </c>
      <c r="F52">
        <v>15.8010471</v>
      </c>
      <c r="G52">
        <v>14</v>
      </c>
      <c r="H52">
        <f t="shared" si="3"/>
        <v>0</v>
      </c>
      <c r="I52">
        <f t="shared" si="1"/>
        <v>0</v>
      </c>
      <c r="J52">
        <f t="shared" si="2"/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</row>
    <row r="53" spans="1:45" x14ac:dyDescent="0.2">
      <c r="A53" t="s">
        <v>45</v>
      </c>
      <c r="B53">
        <v>2015</v>
      </c>
      <c r="C53">
        <v>0</v>
      </c>
      <c r="D53">
        <f>113.85/10</f>
        <v>11.385</v>
      </c>
      <c r="E53" s="15">
        <v>664</v>
      </c>
      <c r="F53">
        <v>15.8010471</v>
      </c>
      <c r="G53">
        <v>14</v>
      </c>
      <c r="H53">
        <f t="shared" si="3"/>
        <v>0</v>
      </c>
      <c r="I53">
        <f t="shared" si="1"/>
        <v>0</v>
      </c>
      <c r="J53">
        <f t="shared" si="2"/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</row>
    <row r="54" spans="1:45" x14ac:dyDescent="0.2">
      <c r="A54" t="s">
        <v>45</v>
      </c>
      <c r="B54">
        <v>2016</v>
      </c>
      <c r="C54">
        <v>0</v>
      </c>
      <c r="D54">
        <f>71.91/6</f>
        <v>11.984999999999999</v>
      </c>
      <c r="E54" s="15">
        <v>622</v>
      </c>
      <c r="F54">
        <v>26.890052399999998</v>
      </c>
      <c r="G54">
        <v>13</v>
      </c>
      <c r="H54">
        <f t="shared" si="3"/>
        <v>0</v>
      </c>
      <c r="I54">
        <f t="shared" si="1"/>
        <v>0</v>
      </c>
      <c r="J54">
        <f t="shared" si="2"/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</row>
    <row r="55" spans="1:45" x14ac:dyDescent="0.2">
      <c r="A55" t="s">
        <v>45</v>
      </c>
      <c r="B55">
        <v>2017</v>
      </c>
      <c r="C55">
        <v>0</v>
      </c>
      <c r="D55">
        <f>156.29/5</f>
        <v>31.257999999999999</v>
      </c>
      <c r="E55" s="15">
        <v>644</v>
      </c>
      <c r="F55">
        <v>26.890052399999998</v>
      </c>
      <c r="G55">
        <v>13</v>
      </c>
      <c r="H55">
        <f t="shared" si="3"/>
        <v>0</v>
      </c>
      <c r="I55">
        <f t="shared" si="1"/>
        <v>0</v>
      </c>
      <c r="J55">
        <f t="shared" si="2"/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0</v>
      </c>
      <c r="AS55">
        <v>0</v>
      </c>
    </row>
    <row r="56" spans="1:45" x14ac:dyDescent="0.2">
      <c r="A56" t="s">
        <v>45</v>
      </c>
      <c r="B56">
        <v>2018</v>
      </c>
      <c r="C56">
        <v>0</v>
      </c>
      <c r="D56">
        <f>163.98/4</f>
        <v>40.994999999999997</v>
      </c>
      <c r="E56" s="15">
        <v>604</v>
      </c>
      <c r="F56">
        <v>26.890052399999998</v>
      </c>
      <c r="G56">
        <v>15</v>
      </c>
      <c r="H56">
        <f t="shared" si="3"/>
        <v>0</v>
      </c>
      <c r="I56">
        <f t="shared" si="1"/>
        <v>0</v>
      </c>
      <c r="J56">
        <f t="shared" si="2"/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</row>
    <row r="57" spans="1:45" x14ac:dyDescent="0.2">
      <c r="A57" t="s">
        <v>45</v>
      </c>
      <c r="B57">
        <v>2019</v>
      </c>
      <c r="C57">
        <v>0</v>
      </c>
      <c r="D57">
        <f>9.36/4</f>
        <v>2.34</v>
      </c>
      <c r="E57" s="15">
        <v>681</v>
      </c>
      <c r="F57">
        <v>48.167539300000001</v>
      </c>
      <c r="G57">
        <v>15</v>
      </c>
      <c r="H57">
        <f t="shared" si="3"/>
        <v>0</v>
      </c>
      <c r="I57">
        <f t="shared" si="1"/>
        <v>0</v>
      </c>
      <c r="J57">
        <f t="shared" si="2"/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</v>
      </c>
    </row>
    <row r="58" spans="1:45" x14ac:dyDescent="0.2">
      <c r="A58" t="s">
        <v>46</v>
      </c>
      <c r="B58">
        <v>1992</v>
      </c>
      <c r="C58">
        <v>1</v>
      </c>
      <c r="D58">
        <f>2.63/12</f>
        <v>0.21916666666666665</v>
      </c>
      <c r="E58" s="15">
        <v>268</v>
      </c>
      <c r="F58">
        <v>1</v>
      </c>
      <c r="G58">
        <v>3</v>
      </c>
      <c r="H58">
        <f t="shared" si="3"/>
        <v>268</v>
      </c>
      <c r="I58">
        <f t="shared" si="1"/>
        <v>1</v>
      </c>
      <c r="J58">
        <f t="shared" si="2"/>
        <v>3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</row>
    <row r="59" spans="1:45" x14ac:dyDescent="0.2">
      <c r="A59" t="s">
        <v>46</v>
      </c>
      <c r="B59">
        <v>1993</v>
      </c>
      <c r="C59">
        <v>1</v>
      </c>
      <c r="D59">
        <f>3.46/5</f>
        <v>0.69199999999999995</v>
      </c>
      <c r="E59" s="15">
        <v>266</v>
      </c>
      <c r="F59">
        <v>1</v>
      </c>
      <c r="G59">
        <v>7</v>
      </c>
      <c r="H59">
        <f t="shared" si="3"/>
        <v>266</v>
      </c>
      <c r="I59">
        <f t="shared" si="1"/>
        <v>1</v>
      </c>
      <c r="J59">
        <f t="shared" si="2"/>
        <v>7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5" x14ac:dyDescent="0.2">
      <c r="A60" t="s">
        <v>46</v>
      </c>
      <c r="B60">
        <v>1994</v>
      </c>
      <c r="C60">
        <v>1</v>
      </c>
      <c r="D60">
        <f>5.52/4</f>
        <v>1.38</v>
      </c>
      <c r="E60" s="15">
        <v>315</v>
      </c>
      <c r="F60">
        <v>1</v>
      </c>
      <c r="G60">
        <v>8</v>
      </c>
      <c r="H60">
        <f t="shared" si="3"/>
        <v>315</v>
      </c>
      <c r="I60">
        <f t="shared" si="1"/>
        <v>1</v>
      </c>
      <c r="J60">
        <f t="shared" si="2"/>
        <v>8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</row>
    <row r="61" spans="1:45" x14ac:dyDescent="0.2">
      <c r="A61" t="s">
        <v>46</v>
      </c>
      <c r="B61">
        <v>1995</v>
      </c>
      <c r="C61">
        <v>1</v>
      </c>
      <c r="D61">
        <f>1.71/4</f>
        <v>0.42749999999999999</v>
      </c>
      <c r="E61" s="15">
        <v>312</v>
      </c>
      <c r="F61">
        <v>1</v>
      </c>
      <c r="G61">
        <v>11</v>
      </c>
      <c r="H61">
        <f t="shared" si="3"/>
        <v>312</v>
      </c>
      <c r="I61">
        <f t="shared" si="1"/>
        <v>1</v>
      </c>
      <c r="J61">
        <f t="shared" si="2"/>
        <v>11</v>
      </c>
      <c r="K61">
        <v>0</v>
      </c>
      <c r="L61">
        <v>0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5" x14ac:dyDescent="0.2">
      <c r="A62" t="s">
        <v>46</v>
      </c>
      <c r="B62">
        <v>1996</v>
      </c>
      <c r="C62">
        <v>1</v>
      </c>
      <c r="D62">
        <f>14.01/11</f>
        <v>1.2736363636363637</v>
      </c>
      <c r="E62" s="15">
        <v>318</v>
      </c>
      <c r="F62">
        <v>3.5075834000000001</v>
      </c>
      <c r="G62">
        <v>9</v>
      </c>
      <c r="H62">
        <f t="shared" si="3"/>
        <v>318</v>
      </c>
      <c r="I62">
        <f t="shared" si="1"/>
        <v>3.5075834000000001</v>
      </c>
      <c r="J62">
        <f t="shared" si="2"/>
        <v>9</v>
      </c>
      <c r="K62">
        <v>0</v>
      </c>
      <c r="L62">
        <v>0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 x14ac:dyDescent="0.2">
      <c r="A63" t="s">
        <v>46</v>
      </c>
      <c r="B63">
        <v>1997</v>
      </c>
      <c r="C63">
        <v>0</v>
      </c>
      <c r="D63">
        <f>16.02/6</f>
        <v>2.67</v>
      </c>
      <c r="E63" s="15">
        <v>327</v>
      </c>
      <c r="F63">
        <v>3.5075834000000001</v>
      </c>
      <c r="G63">
        <v>9</v>
      </c>
      <c r="H63">
        <f t="shared" si="3"/>
        <v>0</v>
      </c>
      <c r="I63">
        <f t="shared" si="1"/>
        <v>0</v>
      </c>
      <c r="J63">
        <f t="shared" si="2"/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5" x14ac:dyDescent="0.2">
      <c r="A64" t="s">
        <v>46</v>
      </c>
      <c r="B64">
        <v>1998</v>
      </c>
      <c r="C64">
        <v>0</v>
      </c>
      <c r="D64">
        <f>17.37/8</f>
        <v>2.1712500000000001</v>
      </c>
      <c r="E64" s="15">
        <v>391</v>
      </c>
      <c r="F64">
        <v>3.5075834000000001</v>
      </c>
      <c r="G64">
        <v>10</v>
      </c>
      <c r="H64">
        <f t="shared" si="3"/>
        <v>0</v>
      </c>
      <c r="I64">
        <f t="shared" si="1"/>
        <v>0</v>
      </c>
      <c r="J64">
        <f t="shared" si="2"/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5" x14ac:dyDescent="0.2">
      <c r="A65" t="s">
        <v>46</v>
      </c>
      <c r="B65">
        <v>1999</v>
      </c>
      <c r="C65">
        <v>0</v>
      </c>
      <c r="D65">
        <f>23.72/9</f>
        <v>2.6355555555555554</v>
      </c>
      <c r="E65" s="15">
        <v>454</v>
      </c>
      <c r="F65">
        <v>3.5075834000000001</v>
      </c>
      <c r="G65">
        <v>10</v>
      </c>
      <c r="H65">
        <f t="shared" si="3"/>
        <v>0</v>
      </c>
      <c r="I65">
        <f t="shared" si="1"/>
        <v>0</v>
      </c>
      <c r="J65">
        <f t="shared" si="2"/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5" x14ac:dyDescent="0.2">
      <c r="A66" t="s">
        <v>46</v>
      </c>
      <c r="B66">
        <v>2000</v>
      </c>
      <c r="C66">
        <v>0</v>
      </c>
      <c r="D66">
        <f>47.15/13</f>
        <v>3.6269230769230769</v>
      </c>
      <c r="E66" s="15">
        <v>479</v>
      </c>
      <c r="F66">
        <v>3.5075834000000001</v>
      </c>
      <c r="G66">
        <v>11</v>
      </c>
      <c r="H66">
        <f t="shared" si="3"/>
        <v>0</v>
      </c>
      <c r="I66">
        <f t="shared" si="1"/>
        <v>0</v>
      </c>
      <c r="J66">
        <f t="shared" si="2"/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5" x14ac:dyDescent="0.2">
      <c r="A67" t="s">
        <v>46</v>
      </c>
      <c r="B67">
        <v>2001</v>
      </c>
      <c r="C67">
        <v>0</v>
      </c>
      <c r="D67">
        <f>44.73/4</f>
        <v>11.182499999999999</v>
      </c>
      <c r="E67" s="15">
        <v>481</v>
      </c>
      <c r="F67">
        <v>6.2827225100000001</v>
      </c>
      <c r="G67">
        <v>13</v>
      </c>
      <c r="H67">
        <f t="shared" si="3"/>
        <v>0</v>
      </c>
      <c r="I67">
        <f t="shared" ref="I67:I130" si="4">F67*C67</f>
        <v>0</v>
      </c>
      <c r="J67">
        <f t="shared" ref="J67:J130" si="5">G67*C67</f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5" x14ac:dyDescent="0.2">
      <c r="A68" t="s">
        <v>46</v>
      </c>
      <c r="B68">
        <v>2002</v>
      </c>
      <c r="C68">
        <v>0</v>
      </c>
      <c r="D68">
        <v>0</v>
      </c>
      <c r="E68" s="15">
        <v>516</v>
      </c>
      <c r="F68">
        <v>6.2827225100000001</v>
      </c>
      <c r="G68">
        <v>13</v>
      </c>
      <c r="H68">
        <f t="shared" si="3"/>
        <v>0</v>
      </c>
      <c r="I68">
        <f t="shared" si="4"/>
        <v>0</v>
      </c>
      <c r="J68">
        <f t="shared" si="5"/>
        <v>0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</row>
    <row r="69" spans="1:45" x14ac:dyDescent="0.2">
      <c r="A69" t="s">
        <v>46</v>
      </c>
      <c r="B69">
        <v>2003</v>
      </c>
      <c r="C69">
        <v>0</v>
      </c>
      <c r="D69">
        <f>153/16</f>
        <v>9.5625</v>
      </c>
      <c r="E69" s="15">
        <v>511</v>
      </c>
      <c r="F69">
        <v>6.2827225100000001</v>
      </c>
      <c r="G69">
        <v>13</v>
      </c>
      <c r="H69">
        <f t="shared" si="3"/>
        <v>0</v>
      </c>
      <c r="I69">
        <f t="shared" si="4"/>
        <v>0</v>
      </c>
      <c r="J69">
        <f t="shared" si="5"/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</row>
    <row r="70" spans="1:45" x14ac:dyDescent="0.2">
      <c r="A70" t="s">
        <v>46</v>
      </c>
      <c r="B70">
        <v>2004</v>
      </c>
      <c r="C70">
        <v>0</v>
      </c>
      <c r="D70">
        <f>149.76/11</f>
        <v>13.614545454545453</v>
      </c>
      <c r="E70" s="15">
        <v>589</v>
      </c>
      <c r="F70">
        <v>5.3612565400000003</v>
      </c>
      <c r="G70">
        <v>14</v>
      </c>
      <c r="H70">
        <f t="shared" si="3"/>
        <v>0</v>
      </c>
      <c r="I70">
        <f t="shared" si="4"/>
        <v>0</v>
      </c>
      <c r="J70">
        <f t="shared" si="5"/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5" x14ac:dyDescent="0.2">
      <c r="A71" t="s">
        <v>46</v>
      </c>
      <c r="B71">
        <v>2005</v>
      </c>
      <c r="C71">
        <v>0</v>
      </c>
      <c r="D71">
        <f>82.35/6</f>
        <v>13.725</v>
      </c>
      <c r="E71" s="15">
        <v>567</v>
      </c>
      <c r="F71">
        <v>5.3612565400000003</v>
      </c>
      <c r="G71">
        <v>14</v>
      </c>
      <c r="H71">
        <f t="shared" si="3"/>
        <v>0</v>
      </c>
      <c r="I71">
        <f t="shared" si="4"/>
        <v>0</v>
      </c>
      <c r="J71">
        <f t="shared" si="5"/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</row>
    <row r="72" spans="1:45" x14ac:dyDescent="0.2">
      <c r="A72" t="s">
        <v>46</v>
      </c>
      <c r="B72">
        <v>2006</v>
      </c>
      <c r="C72">
        <v>0</v>
      </c>
      <c r="D72">
        <f>80.08/9</f>
        <v>8.8977777777777778</v>
      </c>
      <c r="E72" s="15">
        <v>596</v>
      </c>
      <c r="F72">
        <v>5.3612565400000003</v>
      </c>
      <c r="G72">
        <v>13</v>
      </c>
      <c r="H72">
        <f t="shared" si="3"/>
        <v>0</v>
      </c>
      <c r="I72">
        <f t="shared" si="4"/>
        <v>0</v>
      </c>
      <c r="J72">
        <f t="shared" si="5"/>
        <v>0</v>
      </c>
      <c r="K72">
        <v>0</v>
      </c>
      <c r="L72">
        <v>0</v>
      </c>
      <c r="M72">
        <v>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</row>
    <row r="73" spans="1:45" x14ac:dyDescent="0.2">
      <c r="A73" t="s">
        <v>46</v>
      </c>
      <c r="B73">
        <v>2007</v>
      </c>
      <c r="C73">
        <v>0</v>
      </c>
      <c r="D73">
        <f>53.1/8</f>
        <v>6.6375000000000002</v>
      </c>
      <c r="E73" s="15">
        <v>574</v>
      </c>
      <c r="F73">
        <v>8.9319371699999994</v>
      </c>
      <c r="G73">
        <v>14</v>
      </c>
      <c r="H73">
        <f t="shared" si="3"/>
        <v>0</v>
      </c>
      <c r="I73">
        <f t="shared" si="4"/>
        <v>0</v>
      </c>
      <c r="J73">
        <f t="shared" si="5"/>
        <v>0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5" x14ac:dyDescent="0.2">
      <c r="A74" t="s">
        <v>46</v>
      </c>
      <c r="B74">
        <v>2008</v>
      </c>
      <c r="C74">
        <v>0</v>
      </c>
      <c r="D74">
        <f>27.45/5</f>
        <v>5.49</v>
      </c>
      <c r="E74" s="15">
        <v>590</v>
      </c>
      <c r="F74">
        <v>8.9319371699999994</v>
      </c>
      <c r="G74">
        <v>15</v>
      </c>
      <c r="H74">
        <f t="shared" si="3"/>
        <v>0</v>
      </c>
      <c r="I74">
        <f t="shared" si="4"/>
        <v>0</v>
      </c>
      <c r="J74">
        <f t="shared" si="5"/>
        <v>0</v>
      </c>
      <c r="K74">
        <v>0</v>
      </c>
      <c r="L74">
        <v>0</v>
      </c>
      <c r="M74">
        <v>1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 x14ac:dyDescent="0.2">
      <c r="A75" t="s">
        <v>46</v>
      </c>
      <c r="B75">
        <v>2009</v>
      </c>
      <c r="C75">
        <v>0</v>
      </c>
      <c r="D75">
        <f>27/4</f>
        <v>6.75</v>
      </c>
      <c r="E75" s="15">
        <v>591</v>
      </c>
      <c r="F75">
        <v>8.9319371699999994</v>
      </c>
      <c r="G75">
        <v>15</v>
      </c>
      <c r="H75">
        <f t="shared" si="3"/>
        <v>0</v>
      </c>
      <c r="I75">
        <f t="shared" si="4"/>
        <v>0</v>
      </c>
      <c r="J75">
        <f t="shared" si="5"/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45" x14ac:dyDescent="0.2">
      <c r="A76" t="s">
        <v>46</v>
      </c>
      <c r="B76">
        <v>2010</v>
      </c>
      <c r="C76">
        <v>0</v>
      </c>
      <c r="D76">
        <f>109.35/7</f>
        <v>15.62142857142857</v>
      </c>
      <c r="E76" s="15">
        <v>604</v>
      </c>
      <c r="F76">
        <v>9.2827225099999993</v>
      </c>
      <c r="G76">
        <v>15</v>
      </c>
      <c r="H76">
        <f t="shared" si="3"/>
        <v>0</v>
      </c>
      <c r="I76">
        <f t="shared" si="4"/>
        <v>0</v>
      </c>
      <c r="J76">
        <f t="shared" si="5"/>
        <v>0</v>
      </c>
      <c r="K76">
        <v>0</v>
      </c>
      <c r="L76">
        <v>0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</row>
    <row r="77" spans="1:45" x14ac:dyDescent="0.2">
      <c r="A77" t="s">
        <v>46</v>
      </c>
      <c r="B77">
        <v>2011</v>
      </c>
      <c r="C77">
        <v>0</v>
      </c>
      <c r="D77">
        <f>86.81/13</f>
        <v>6.6776923076923076</v>
      </c>
      <c r="E77" s="15">
        <v>599</v>
      </c>
      <c r="F77">
        <v>9.2827225099999993</v>
      </c>
      <c r="G77">
        <v>15</v>
      </c>
      <c r="H77">
        <f t="shared" si="3"/>
        <v>0</v>
      </c>
      <c r="I77">
        <f t="shared" si="4"/>
        <v>0</v>
      </c>
      <c r="J77">
        <f t="shared" si="5"/>
        <v>0</v>
      </c>
      <c r="K77">
        <v>0</v>
      </c>
      <c r="L77">
        <v>0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</row>
    <row r="78" spans="1:45" x14ac:dyDescent="0.2">
      <c r="A78" t="s">
        <v>46</v>
      </c>
      <c r="B78">
        <v>2012</v>
      </c>
      <c r="C78">
        <v>0</v>
      </c>
      <c r="D78">
        <f>98.73/9</f>
        <v>10.97</v>
      </c>
      <c r="E78" s="15">
        <v>524</v>
      </c>
      <c r="F78">
        <v>9.2827225099999993</v>
      </c>
      <c r="G78">
        <v>15</v>
      </c>
      <c r="H78">
        <f t="shared" si="3"/>
        <v>0</v>
      </c>
      <c r="I78">
        <f t="shared" si="4"/>
        <v>0</v>
      </c>
      <c r="J78">
        <f t="shared" si="5"/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5" x14ac:dyDescent="0.2">
      <c r="A79" t="s">
        <v>46</v>
      </c>
      <c r="B79">
        <v>2013</v>
      </c>
      <c r="C79">
        <v>0</v>
      </c>
      <c r="D79">
        <f>117.32/11</f>
        <v>10.665454545454544</v>
      </c>
      <c r="E79" s="15">
        <v>557</v>
      </c>
      <c r="F79">
        <v>15.8010471</v>
      </c>
      <c r="G79">
        <v>14</v>
      </c>
      <c r="H79">
        <f t="shared" si="3"/>
        <v>0</v>
      </c>
      <c r="I79">
        <f t="shared" si="4"/>
        <v>0</v>
      </c>
      <c r="J79">
        <f t="shared" si="5"/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5" x14ac:dyDescent="0.2">
      <c r="A80" t="s">
        <v>46</v>
      </c>
      <c r="B80">
        <v>2014</v>
      </c>
      <c r="C80">
        <v>0</v>
      </c>
      <c r="D80">
        <f>123.93/7</f>
        <v>17.704285714285714</v>
      </c>
      <c r="E80" s="15">
        <v>667</v>
      </c>
      <c r="F80">
        <v>15.8010471</v>
      </c>
      <c r="G80">
        <v>14</v>
      </c>
      <c r="H80">
        <f t="shared" si="3"/>
        <v>0</v>
      </c>
      <c r="I80">
        <f t="shared" si="4"/>
        <v>0</v>
      </c>
      <c r="J80">
        <f t="shared" si="5"/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5" x14ac:dyDescent="0.2">
      <c r="A81" t="s">
        <v>46</v>
      </c>
      <c r="B81">
        <v>2015</v>
      </c>
      <c r="C81">
        <v>0</v>
      </c>
      <c r="D81">
        <f>86.85/11</f>
        <v>7.8954545454545446</v>
      </c>
      <c r="E81" s="15">
        <v>664</v>
      </c>
      <c r="F81">
        <v>15.8010471</v>
      </c>
      <c r="G81">
        <v>14</v>
      </c>
      <c r="H81">
        <f t="shared" si="3"/>
        <v>0</v>
      </c>
      <c r="I81">
        <f t="shared" si="4"/>
        <v>0</v>
      </c>
      <c r="J81">
        <f t="shared" si="5"/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</row>
    <row r="82" spans="1:45" x14ac:dyDescent="0.2">
      <c r="A82" t="s">
        <v>46</v>
      </c>
      <c r="B82">
        <v>2016</v>
      </c>
      <c r="C82">
        <v>0</v>
      </c>
      <c r="D82">
        <f>119.52/6</f>
        <v>19.919999999999998</v>
      </c>
      <c r="E82" s="15">
        <v>622</v>
      </c>
      <c r="F82">
        <v>26.890052399999998</v>
      </c>
      <c r="G82">
        <v>13</v>
      </c>
      <c r="H82">
        <f t="shared" si="3"/>
        <v>0</v>
      </c>
      <c r="I82">
        <f t="shared" si="4"/>
        <v>0</v>
      </c>
      <c r="J82">
        <f t="shared" si="5"/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</row>
    <row r="83" spans="1:45" x14ac:dyDescent="0.2">
      <c r="A83" t="s">
        <v>46</v>
      </c>
      <c r="B83">
        <v>2017</v>
      </c>
      <c r="C83">
        <v>0</v>
      </c>
      <c r="D83">
        <f>234.45/10</f>
        <v>23.445</v>
      </c>
      <c r="E83" s="15">
        <v>644</v>
      </c>
      <c r="F83">
        <v>26.890052399999998</v>
      </c>
      <c r="G83">
        <v>13</v>
      </c>
      <c r="H83">
        <f t="shared" si="3"/>
        <v>0</v>
      </c>
      <c r="I83">
        <f t="shared" si="4"/>
        <v>0</v>
      </c>
      <c r="J83">
        <f t="shared" si="5"/>
        <v>0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</row>
    <row r="84" spans="1:45" x14ac:dyDescent="0.2">
      <c r="A84" t="s">
        <v>46</v>
      </c>
      <c r="B84">
        <v>2018</v>
      </c>
      <c r="C84">
        <v>0</v>
      </c>
      <c r="D84">
        <f>187.92/6</f>
        <v>31.319999999999997</v>
      </c>
      <c r="E84" s="15">
        <v>604</v>
      </c>
      <c r="F84">
        <v>26.890052399999998</v>
      </c>
      <c r="G84">
        <v>15</v>
      </c>
      <c r="H84">
        <f t="shared" si="3"/>
        <v>0</v>
      </c>
      <c r="I84">
        <f t="shared" si="4"/>
        <v>0</v>
      </c>
      <c r="J84">
        <f t="shared" si="5"/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</row>
    <row r="85" spans="1:45" x14ac:dyDescent="0.2">
      <c r="A85" t="s">
        <v>46</v>
      </c>
      <c r="B85">
        <v>2019</v>
      </c>
      <c r="C85">
        <v>0</v>
      </c>
      <c r="D85">
        <v>40.5</v>
      </c>
      <c r="E85" s="15">
        <v>681</v>
      </c>
      <c r="F85">
        <v>48.167539300000001</v>
      </c>
      <c r="G85">
        <v>15</v>
      </c>
      <c r="H85">
        <f t="shared" si="3"/>
        <v>0</v>
      </c>
      <c r="I85">
        <f t="shared" si="4"/>
        <v>0</v>
      </c>
      <c r="J85">
        <f t="shared" si="5"/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</v>
      </c>
    </row>
    <row r="86" spans="1:45" x14ac:dyDescent="0.2">
      <c r="A86" t="s">
        <v>47</v>
      </c>
      <c r="B86">
        <v>1992</v>
      </c>
      <c r="C86">
        <v>1</v>
      </c>
      <c r="D86">
        <f>6.82/5</f>
        <v>1.3640000000000001</v>
      </c>
      <c r="E86" s="15">
        <v>268</v>
      </c>
      <c r="F86">
        <v>1</v>
      </c>
      <c r="G86">
        <v>3</v>
      </c>
      <c r="H86">
        <f t="shared" si="3"/>
        <v>268</v>
      </c>
      <c r="I86">
        <f t="shared" si="4"/>
        <v>1</v>
      </c>
      <c r="J86">
        <f t="shared" si="5"/>
        <v>3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</row>
    <row r="87" spans="1:45" x14ac:dyDescent="0.2">
      <c r="A87" t="s">
        <v>47</v>
      </c>
      <c r="B87">
        <v>1993</v>
      </c>
      <c r="C87">
        <v>1</v>
      </c>
      <c r="D87">
        <f>3.98/7</f>
        <v>0.56857142857142862</v>
      </c>
      <c r="E87" s="15">
        <v>266</v>
      </c>
      <c r="F87">
        <v>1</v>
      </c>
      <c r="G87">
        <v>7</v>
      </c>
      <c r="H87">
        <f t="shared" si="3"/>
        <v>266</v>
      </c>
      <c r="I87">
        <f t="shared" si="4"/>
        <v>1</v>
      </c>
      <c r="J87">
        <f t="shared" si="5"/>
        <v>7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</row>
    <row r="88" spans="1:45" x14ac:dyDescent="0.2">
      <c r="A88" t="s">
        <v>47</v>
      </c>
      <c r="B88">
        <v>1994</v>
      </c>
      <c r="C88">
        <v>1</v>
      </c>
      <c r="D88">
        <f>8.42/4</f>
        <v>2.105</v>
      </c>
      <c r="E88" s="15">
        <v>315</v>
      </c>
      <c r="F88">
        <v>1</v>
      </c>
      <c r="G88">
        <v>8</v>
      </c>
      <c r="H88">
        <f t="shared" si="3"/>
        <v>315</v>
      </c>
      <c r="I88">
        <f t="shared" si="4"/>
        <v>1</v>
      </c>
      <c r="J88">
        <f t="shared" si="5"/>
        <v>8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</row>
    <row r="89" spans="1:45" x14ac:dyDescent="0.2">
      <c r="A89" t="s">
        <v>47</v>
      </c>
      <c r="B89">
        <v>1995</v>
      </c>
      <c r="C89">
        <v>1</v>
      </c>
      <c r="D89">
        <f>12.03/8</f>
        <v>1.5037499999999999</v>
      </c>
      <c r="E89" s="15">
        <v>312</v>
      </c>
      <c r="F89">
        <v>1</v>
      </c>
      <c r="G89">
        <v>11</v>
      </c>
      <c r="H89">
        <f t="shared" si="3"/>
        <v>312</v>
      </c>
      <c r="I89">
        <f t="shared" si="4"/>
        <v>1</v>
      </c>
      <c r="J89">
        <f t="shared" si="5"/>
        <v>11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</row>
    <row r="90" spans="1:45" x14ac:dyDescent="0.2">
      <c r="A90" t="s">
        <v>47</v>
      </c>
      <c r="B90">
        <v>1996</v>
      </c>
      <c r="C90">
        <v>1</v>
      </c>
      <c r="D90">
        <f>7.43/5</f>
        <v>1.486</v>
      </c>
      <c r="E90" s="15">
        <v>318</v>
      </c>
      <c r="F90">
        <v>3.5075834000000001</v>
      </c>
      <c r="G90">
        <v>9</v>
      </c>
      <c r="H90">
        <f t="shared" si="3"/>
        <v>318</v>
      </c>
      <c r="I90">
        <f t="shared" si="4"/>
        <v>3.5075834000000001</v>
      </c>
      <c r="J90">
        <f t="shared" si="5"/>
        <v>9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</row>
    <row r="91" spans="1:45" x14ac:dyDescent="0.2">
      <c r="A91" t="s">
        <v>47</v>
      </c>
      <c r="B91">
        <v>1997</v>
      </c>
      <c r="C91">
        <v>0</v>
      </c>
      <c r="D91">
        <f>15.93/7</f>
        <v>2.2757142857142858</v>
      </c>
      <c r="E91" s="15">
        <v>327</v>
      </c>
      <c r="F91">
        <v>3.5075834000000001</v>
      </c>
      <c r="G91">
        <v>9</v>
      </c>
      <c r="H91">
        <f t="shared" si="3"/>
        <v>0</v>
      </c>
      <c r="I91">
        <f t="shared" si="4"/>
        <v>0</v>
      </c>
      <c r="J91">
        <f t="shared" si="5"/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5" x14ac:dyDescent="0.2">
      <c r="A92" t="s">
        <v>47</v>
      </c>
      <c r="B92">
        <v>1998</v>
      </c>
      <c r="C92">
        <v>0</v>
      </c>
      <c r="D92">
        <f>8.8/6</f>
        <v>1.4666666666666668</v>
      </c>
      <c r="E92" s="15">
        <v>391</v>
      </c>
      <c r="F92">
        <v>3.5075834000000001</v>
      </c>
      <c r="G92">
        <v>10</v>
      </c>
      <c r="H92">
        <f t="shared" si="3"/>
        <v>0</v>
      </c>
      <c r="I92">
        <f t="shared" si="4"/>
        <v>0</v>
      </c>
      <c r="J92">
        <f t="shared" si="5"/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</row>
    <row r="93" spans="1:45" x14ac:dyDescent="0.2">
      <c r="A93" t="s">
        <v>47</v>
      </c>
      <c r="B93">
        <v>1999</v>
      </c>
      <c r="C93">
        <v>0</v>
      </c>
      <c r="D93">
        <f>15.3/9</f>
        <v>1.7000000000000002</v>
      </c>
      <c r="E93" s="15">
        <v>454</v>
      </c>
      <c r="F93">
        <v>3.5075834000000001</v>
      </c>
      <c r="G93">
        <v>10</v>
      </c>
      <c r="H93">
        <f t="shared" si="3"/>
        <v>0</v>
      </c>
      <c r="I93">
        <f t="shared" si="4"/>
        <v>0</v>
      </c>
      <c r="J93">
        <f t="shared" si="5"/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</row>
    <row r="94" spans="1:45" x14ac:dyDescent="0.2">
      <c r="A94" t="s">
        <v>47</v>
      </c>
      <c r="B94">
        <v>2000</v>
      </c>
      <c r="C94">
        <v>0</v>
      </c>
      <c r="D94">
        <f>23.17/5</f>
        <v>4.6340000000000003</v>
      </c>
      <c r="E94" s="15">
        <v>479</v>
      </c>
      <c r="F94">
        <v>3.5075834000000001</v>
      </c>
      <c r="G94">
        <v>11</v>
      </c>
      <c r="H94">
        <f t="shared" si="3"/>
        <v>0</v>
      </c>
      <c r="I94">
        <f t="shared" si="4"/>
        <v>0</v>
      </c>
      <c r="J94">
        <f t="shared" si="5"/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</row>
    <row r="95" spans="1:45" x14ac:dyDescent="0.2">
      <c r="A95" t="s">
        <v>47</v>
      </c>
      <c r="B95">
        <v>2001</v>
      </c>
      <c r="C95">
        <v>0</v>
      </c>
      <c r="D95">
        <f>25.25/7</f>
        <v>3.6071428571428572</v>
      </c>
      <c r="E95" s="15">
        <v>481</v>
      </c>
      <c r="F95">
        <v>6.2827225100000001</v>
      </c>
      <c r="G95">
        <v>13</v>
      </c>
      <c r="H95">
        <f t="shared" ref="H95:H158" si="6">E95*C95</f>
        <v>0</v>
      </c>
      <c r="I95">
        <f t="shared" si="4"/>
        <v>0</v>
      </c>
      <c r="J95">
        <f t="shared" si="5"/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</row>
    <row r="96" spans="1:45" x14ac:dyDescent="0.2">
      <c r="A96" t="s">
        <v>47</v>
      </c>
      <c r="B96">
        <v>2002</v>
      </c>
      <c r="C96">
        <v>0</v>
      </c>
      <c r="D96">
        <f>9.45/8</f>
        <v>1.1812499999999999</v>
      </c>
      <c r="E96" s="15">
        <v>516</v>
      </c>
      <c r="F96">
        <v>6.2827225100000001</v>
      </c>
      <c r="G96">
        <v>13</v>
      </c>
      <c r="H96">
        <f t="shared" si="6"/>
        <v>0</v>
      </c>
      <c r="I96">
        <f t="shared" si="4"/>
        <v>0</v>
      </c>
      <c r="J96">
        <f t="shared" si="5"/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</row>
    <row r="97" spans="1:45" x14ac:dyDescent="0.2">
      <c r="A97" t="s">
        <v>47</v>
      </c>
      <c r="B97">
        <v>2003</v>
      </c>
      <c r="C97">
        <v>0</v>
      </c>
      <c r="D97">
        <f>26.78/8</f>
        <v>3.3475000000000001</v>
      </c>
      <c r="E97" s="15">
        <v>511</v>
      </c>
      <c r="F97">
        <v>6.2827225100000001</v>
      </c>
      <c r="G97">
        <v>13</v>
      </c>
      <c r="H97">
        <f t="shared" si="6"/>
        <v>0</v>
      </c>
      <c r="I97">
        <f t="shared" si="4"/>
        <v>0</v>
      </c>
      <c r="J97">
        <f t="shared" si="5"/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</row>
    <row r="98" spans="1:45" x14ac:dyDescent="0.2">
      <c r="A98" t="s">
        <v>47</v>
      </c>
      <c r="B98">
        <v>2004</v>
      </c>
      <c r="C98">
        <v>0</v>
      </c>
      <c r="D98">
        <f>42.41/20</f>
        <v>2.1204999999999998</v>
      </c>
      <c r="E98" s="15">
        <v>589</v>
      </c>
      <c r="F98">
        <v>5.3612565400000003</v>
      </c>
      <c r="G98">
        <v>14</v>
      </c>
      <c r="H98">
        <f t="shared" si="6"/>
        <v>0</v>
      </c>
      <c r="I98">
        <f t="shared" si="4"/>
        <v>0</v>
      </c>
      <c r="J98">
        <f t="shared" si="5"/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</row>
    <row r="99" spans="1:45" x14ac:dyDescent="0.2">
      <c r="A99" t="s">
        <v>47</v>
      </c>
      <c r="B99">
        <v>2005</v>
      </c>
      <c r="C99">
        <v>0</v>
      </c>
      <c r="D99">
        <f>32.86/12</f>
        <v>2.7383333333333333</v>
      </c>
      <c r="E99" s="15">
        <v>567</v>
      </c>
      <c r="F99">
        <v>5.3612565400000003</v>
      </c>
      <c r="G99">
        <v>14</v>
      </c>
      <c r="H99">
        <f t="shared" si="6"/>
        <v>0</v>
      </c>
      <c r="I99">
        <f t="shared" si="4"/>
        <v>0</v>
      </c>
      <c r="J99">
        <f t="shared" si="5"/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</row>
    <row r="100" spans="1:45" x14ac:dyDescent="0.2">
      <c r="A100" t="s">
        <v>47</v>
      </c>
      <c r="B100">
        <v>2006</v>
      </c>
      <c r="C100">
        <v>0</v>
      </c>
      <c r="D100">
        <f>54.9/12</f>
        <v>4.5750000000000002</v>
      </c>
      <c r="E100" s="15">
        <v>596</v>
      </c>
      <c r="F100">
        <v>5.3612565400000003</v>
      </c>
      <c r="G100">
        <v>13</v>
      </c>
      <c r="H100">
        <f t="shared" si="6"/>
        <v>0</v>
      </c>
      <c r="I100">
        <f t="shared" si="4"/>
        <v>0</v>
      </c>
      <c r="J100">
        <f t="shared" si="5"/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</row>
    <row r="101" spans="1:45" x14ac:dyDescent="0.2">
      <c r="A101" t="s">
        <v>47</v>
      </c>
      <c r="B101">
        <v>2007</v>
      </c>
      <c r="C101">
        <v>0</v>
      </c>
      <c r="D101">
        <f>84.74/10</f>
        <v>8.4740000000000002</v>
      </c>
      <c r="E101" s="15">
        <v>574</v>
      </c>
      <c r="F101">
        <v>8.9319371699999994</v>
      </c>
      <c r="G101">
        <v>14</v>
      </c>
      <c r="H101">
        <f t="shared" si="6"/>
        <v>0</v>
      </c>
      <c r="I101">
        <f t="shared" si="4"/>
        <v>0</v>
      </c>
      <c r="J101">
        <f t="shared" si="5"/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</row>
    <row r="102" spans="1:45" x14ac:dyDescent="0.2">
      <c r="A102" t="s">
        <v>47</v>
      </c>
      <c r="B102">
        <v>2008</v>
      </c>
      <c r="C102">
        <v>0</v>
      </c>
      <c r="D102">
        <f>129.56/14</f>
        <v>9.2542857142857144</v>
      </c>
      <c r="E102" s="15">
        <v>590</v>
      </c>
      <c r="F102">
        <v>8.9319371699999994</v>
      </c>
      <c r="G102">
        <v>15</v>
      </c>
      <c r="H102">
        <f t="shared" si="6"/>
        <v>0</v>
      </c>
      <c r="I102">
        <f t="shared" si="4"/>
        <v>0</v>
      </c>
      <c r="J102">
        <f t="shared" si="5"/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</row>
    <row r="103" spans="1:45" x14ac:dyDescent="0.2">
      <c r="A103" t="s">
        <v>47</v>
      </c>
      <c r="B103">
        <v>2009</v>
      </c>
      <c r="C103">
        <v>0</v>
      </c>
      <c r="D103">
        <f>36.27/8</f>
        <v>4.5337500000000004</v>
      </c>
      <c r="E103" s="15">
        <v>591</v>
      </c>
      <c r="F103">
        <v>8.9319371699999994</v>
      </c>
      <c r="G103">
        <v>15</v>
      </c>
      <c r="H103">
        <f t="shared" si="6"/>
        <v>0</v>
      </c>
      <c r="I103">
        <f t="shared" si="4"/>
        <v>0</v>
      </c>
      <c r="J103">
        <f t="shared" si="5"/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</row>
    <row r="104" spans="1:45" x14ac:dyDescent="0.2">
      <c r="A104" t="s">
        <v>47</v>
      </c>
      <c r="B104">
        <v>2010</v>
      </c>
      <c r="C104">
        <v>0</v>
      </c>
      <c r="D104">
        <f>23.94/6</f>
        <v>3.99</v>
      </c>
      <c r="E104" s="15">
        <v>604</v>
      </c>
      <c r="F104">
        <v>9.2827225099999993</v>
      </c>
      <c r="G104">
        <v>15</v>
      </c>
      <c r="H104">
        <f t="shared" si="6"/>
        <v>0</v>
      </c>
      <c r="I104">
        <f t="shared" si="4"/>
        <v>0</v>
      </c>
      <c r="J104">
        <f t="shared" si="5"/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</row>
    <row r="105" spans="1:45" x14ac:dyDescent="0.2">
      <c r="A105" t="s">
        <v>47</v>
      </c>
      <c r="B105">
        <v>2011</v>
      </c>
      <c r="C105">
        <v>0</v>
      </c>
      <c r="D105">
        <f>8.1/7</f>
        <v>1.157142857142857</v>
      </c>
      <c r="E105" s="15">
        <v>599</v>
      </c>
      <c r="F105">
        <v>9.2827225099999993</v>
      </c>
      <c r="G105">
        <v>15</v>
      </c>
      <c r="H105">
        <f t="shared" si="6"/>
        <v>0</v>
      </c>
      <c r="I105">
        <f t="shared" si="4"/>
        <v>0</v>
      </c>
      <c r="J105">
        <f t="shared" si="5"/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</row>
    <row r="106" spans="1:45" x14ac:dyDescent="0.2">
      <c r="A106" t="s">
        <v>47</v>
      </c>
      <c r="B106">
        <v>2012</v>
      </c>
      <c r="C106">
        <v>0</v>
      </c>
      <c r="D106">
        <f>65.93/9</f>
        <v>7.3255555555555567</v>
      </c>
      <c r="E106" s="15">
        <v>524</v>
      </c>
      <c r="F106">
        <v>9.2827225099999993</v>
      </c>
      <c r="G106">
        <v>15</v>
      </c>
      <c r="H106">
        <f t="shared" si="6"/>
        <v>0</v>
      </c>
      <c r="I106">
        <f t="shared" si="4"/>
        <v>0</v>
      </c>
      <c r="J106">
        <f t="shared" si="5"/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</row>
    <row r="107" spans="1:45" x14ac:dyDescent="0.2">
      <c r="A107" t="s">
        <v>47</v>
      </c>
      <c r="B107">
        <v>2013</v>
      </c>
      <c r="C107">
        <v>0</v>
      </c>
      <c r="D107">
        <f>110.3/7</f>
        <v>15.757142857142856</v>
      </c>
      <c r="E107" s="15">
        <v>557</v>
      </c>
      <c r="F107">
        <v>15.8010471</v>
      </c>
      <c r="G107">
        <v>14</v>
      </c>
      <c r="H107">
        <f t="shared" si="6"/>
        <v>0</v>
      </c>
      <c r="I107">
        <f t="shared" si="4"/>
        <v>0</v>
      </c>
      <c r="J107">
        <f t="shared" si="5"/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</row>
    <row r="108" spans="1:45" x14ac:dyDescent="0.2">
      <c r="A108" t="s">
        <v>47</v>
      </c>
      <c r="B108">
        <v>2014</v>
      </c>
      <c r="C108">
        <v>0</v>
      </c>
      <c r="D108">
        <f>43.63/7</f>
        <v>6.2328571428571431</v>
      </c>
      <c r="E108" s="15">
        <v>667</v>
      </c>
      <c r="F108">
        <v>15.8010471</v>
      </c>
      <c r="G108">
        <v>14</v>
      </c>
      <c r="H108">
        <f t="shared" si="6"/>
        <v>0</v>
      </c>
      <c r="I108">
        <f t="shared" si="4"/>
        <v>0</v>
      </c>
      <c r="J108">
        <f t="shared" si="5"/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</row>
    <row r="109" spans="1:45" x14ac:dyDescent="0.2">
      <c r="A109" t="s">
        <v>47</v>
      </c>
      <c r="B109">
        <v>2015</v>
      </c>
      <c r="C109">
        <v>0</v>
      </c>
      <c r="D109">
        <f>63.9/5</f>
        <v>12.78</v>
      </c>
      <c r="E109" s="15">
        <v>664</v>
      </c>
      <c r="F109">
        <v>15.8010471</v>
      </c>
      <c r="G109">
        <v>14</v>
      </c>
      <c r="H109">
        <f t="shared" si="6"/>
        <v>0</v>
      </c>
      <c r="I109">
        <f t="shared" si="4"/>
        <v>0</v>
      </c>
      <c r="J109">
        <f t="shared" si="5"/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0</v>
      </c>
      <c r="AS109">
        <v>0</v>
      </c>
    </row>
    <row r="110" spans="1:45" x14ac:dyDescent="0.2">
      <c r="A110" t="s">
        <v>47</v>
      </c>
      <c r="B110">
        <v>2016</v>
      </c>
      <c r="C110">
        <v>0</v>
      </c>
      <c r="D110">
        <f>75.15/5</f>
        <v>15.030000000000001</v>
      </c>
      <c r="E110" s="15">
        <v>622</v>
      </c>
      <c r="F110">
        <v>26.890052399999998</v>
      </c>
      <c r="G110">
        <v>13</v>
      </c>
      <c r="H110">
        <f t="shared" si="6"/>
        <v>0</v>
      </c>
      <c r="I110">
        <f t="shared" si="4"/>
        <v>0</v>
      </c>
      <c r="J110">
        <f t="shared" si="5"/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</row>
    <row r="111" spans="1:45" x14ac:dyDescent="0.2">
      <c r="A111" t="s">
        <v>47</v>
      </c>
      <c r="B111">
        <v>2017</v>
      </c>
      <c r="C111">
        <v>0</v>
      </c>
      <c r="D111">
        <f>111.15/6</f>
        <v>18.525000000000002</v>
      </c>
      <c r="E111" s="15">
        <v>644</v>
      </c>
      <c r="F111">
        <v>26.890052399999998</v>
      </c>
      <c r="G111">
        <v>13</v>
      </c>
      <c r="H111">
        <f t="shared" si="6"/>
        <v>0</v>
      </c>
      <c r="I111">
        <f t="shared" si="4"/>
        <v>0</v>
      </c>
      <c r="J111">
        <f t="shared" si="5"/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</v>
      </c>
      <c r="AR111">
        <v>0</v>
      </c>
      <c r="AS111">
        <v>0</v>
      </c>
    </row>
    <row r="112" spans="1:45" x14ac:dyDescent="0.2">
      <c r="A112" t="s">
        <v>47</v>
      </c>
      <c r="B112">
        <v>2018</v>
      </c>
      <c r="C112">
        <v>0</v>
      </c>
      <c r="D112">
        <v>0</v>
      </c>
      <c r="E112" s="15">
        <v>604</v>
      </c>
      <c r="F112">
        <v>26.890052399999998</v>
      </c>
      <c r="G112">
        <v>15</v>
      </c>
      <c r="H112">
        <f t="shared" si="6"/>
        <v>0</v>
      </c>
      <c r="I112">
        <f t="shared" si="4"/>
        <v>0</v>
      </c>
      <c r="J112">
        <f t="shared" si="5"/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</row>
    <row r="113" spans="1:45" x14ac:dyDescent="0.2">
      <c r="A113" t="s">
        <v>47</v>
      </c>
      <c r="B113">
        <v>2019</v>
      </c>
      <c r="C113">
        <v>0</v>
      </c>
      <c r="D113">
        <f>133.65/7</f>
        <v>19.092857142857145</v>
      </c>
      <c r="E113" s="15">
        <v>681</v>
      </c>
      <c r="F113">
        <v>48.167539300000001</v>
      </c>
      <c r="G113">
        <v>15</v>
      </c>
      <c r="H113">
        <f t="shared" si="6"/>
        <v>0</v>
      </c>
      <c r="I113">
        <f t="shared" si="4"/>
        <v>0</v>
      </c>
      <c r="J113">
        <f t="shared" si="5"/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</v>
      </c>
    </row>
    <row r="114" spans="1:45" x14ac:dyDescent="0.2">
      <c r="A114" t="s">
        <v>48</v>
      </c>
      <c r="B114">
        <v>1992</v>
      </c>
      <c r="C114">
        <v>1</v>
      </c>
      <c r="D114">
        <f>4.14/2</f>
        <v>2.0699999999999998</v>
      </c>
      <c r="E114" s="15">
        <v>268</v>
      </c>
      <c r="F114">
        <v>1</v>
      </c>
      <c r="G114">
        <v>3</v>
      </c>
      <c r="H114">
        <f t="shared" si="6"/>
        <v>268</v>
      </c>
      <c r="I114">
        <f t="shared" si="4"/>
        <v>1</v>
      </c>
      <c r="J114">
        <f t="shared" si="5"/>
        <v>3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</row>
    <row r="115" spans="1:45" x14ac:dyDescent="0.2">
      <c r="A115" t="s">
        <v>48</v>
      </c>
      <c r="B115">
        <v>1993</v>
      </c>
      <c r="C115">
        <v>1</v>
      </c>
      <c r="D115">
        <v>1.1499999999999999</v>
      </c>
      <c r="E115" s="15">
        <v>266</v>
      </c>
      <c r="F115">
        <v>1</v>
      </c>
      <c r="G115">
        <v>7</v>
      </c>
      <c r="H115">
        <f t="shared" si="6"/>
        <v>266</v>
      </c>
      <c r="I115">
        <f t="shared" si="4"/>
        <v>1</v>
      </c>
      <c r="J115">
        <f t="shared" si="5"/>
        <v>7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</row>
    <row r="116" spans="1:45" x14ac:dyDescent="0.2">
      <c r="A116" t="s">
        <v>48</v>
      </c>
      <c r="B116">
        <v>1994</v>
      </c>
      <c r="C116">
        <v>1</v>
      </c>
      <c r="D116">
        <f>6.46/6</f>
        <v>1.0766666666666667</v>
      </c>
      <c r="E116" s="15">
        <v>315</v>
      </c>
      <c r="F116">
        <v>1</v>
      </c>
      <c r="G116">
        <v>8</v>
      </c>
      <c r="H116">
        <f t="shared" si="6"/>
        <v>315</v>
      </c>
      <c r="I116">
        <f t="shared" si="4"/>
        <v>1</v>
      </c>
      <c r="J116">
        <f t="shared" si="5"/>
        <v>8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</row>
    <row r="117" spans="1:45" x14ac:dyDescent="0.2">
      <c r="A117" t="s">
        <v>48</v>
      </c>
      <c r="B117">
        <v>1995</v>
      </c>
      <c r="C117">
        <v>1</v>
      </c>
      <c r="D117">
        <f>16.52/3</f>
        <v>5.5066666666666668</v>
      </c>
      <c r="E117" s="15">
        <v>312</v>
      </c>
      <c r="F117">
        <v>1</v>
      </c>
      <c r="G117">
        <v>11</v>
      </c>
      <c r="H117">
        <f t="shared" si="6"/>
        <v>312</v>
      </c>
      <c r="I117">
        <f t="shared" si="4"/>
        <v>1</v>
      </c>
      <c r="J117">
        <f t="shared" si="5"/>
        <v>11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</row>
    <row r="118" spans="1:45" x14ac:dyDescent="0.2">
      <c r="A118" t="s">
        <v>48</v>
      </c>
      <c r="B118">
        <v>1996</v>
      </c>
      <c r="C118">
        <v>1</v>
      </c>
      <c r="D118">
        <f>5.5/4</f>
        <v>1.375</v>
      </c>
      <c r="E118" s="15">
        <v>318</v>
      </c>
      <c r="F118">
        <v>3.5075834000000001</v>
      </c>
      <c r="G118">
        <v>9</v>
      </c>
      <c r="H118">
        <f t="shared" si="6"/>
        <v>318</v>
      </c>
      <c r="I118">
        <f t="shared" si="4"/>
        <v>3.5075834000000001</v>
      </c>
      <c r="J118">
        <f t="shared" si="5"/>
        <v>9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</row>
    <row r="119" spans="1:45" x14ac:dyDescent="0.2">
      <c r="A119" t="s">
        <v>48</v>
      </c>
      <c r="B119">
        <v>1997</v>
      </c>
      <c r="C119">
        <v>0</v>
      </c>
      <c r="D119">
        <f>19.82/10</f>
        <v>1.982</v>
      </c>
      <c r="E119" s="15">
        <v>327</v>
      </c>
      <c r="F119">
        <v>3.5075834000000001</v>
      </c>
      <c r="G119">
        <v>9</v>
      </c>
      <c r="H119">
        <f t="shared" si="6"/>
        <v>0</v>
      </c>
      <c r="I119">
        <f t="shared" si="4"/>
        <v>0</v>
      </c>
      <c r="J119">
        <f t="shared" si="5"/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</row>
    <row r="120" spans="1:45" x14ac:dyDescent="0.2">
      <c r="A120" t="s">
        <v>48</v>
      </c>
      <c r="B120">
        <v>1998</v>
      </c>
      <c r="C120">
        <v>0</v>
      </c>
      <c r="D120">
        <f>14.36/6</f>
        <v>2.3933333333333331</v>
      </c>
      <c r="E120" s="15">
        <v>391</v>
      </c>
      <c r="F120">
        <v>3.5075834000000001</v>
      </c>
      <c r="G120">
        <v>10</v>
      </c>
      <c r="H120">
        <f t="shared" si="6"/>
        <v>0</v>
      </c>
      <c r="I120">
        <f t="shared" si="4"/>
        <v>0</v>
      </c>
      <c r="J120">
        <f t="shared" si="5"/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</row>
    <row r="121" spans="1:45" x14ac:dyDescent="0.2">
      <c r="A121" t="s">
        <v>48</v>
      </c>
      <c r="B121">
        <v>1999</v>
      </c>
      <c r="C121">
        <v>0</v>
      </c>
      <c r="D121">
        <f>22.86/5</f>
        <v>4.5720000000000001</v>
      </c>
      <c r="E121" s="15">
        <v>454</v>
      </c>
      <c r="F121">
        <v>3.5075834000000001</v>
      </c>
      <c r="G121">
        <v>10</v>
      </c>
      <c r="H121">
        <f t="shared" si="6"/>
        <v>0</v>
      </c>
      <c r="I121">
        <f t="shared" si="4"/>
        <v>0</v>
      </c>
      <c r="J121">
        <f t="shared" si="5"/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</row>
    <row r="122" spans="1:45" x14ac:dyDescent="0.2">
      <c r="A122" t="s">
        <v>48</v>
      </c>
      <c r="B122">
        <v>2000</v>
      </c>
      <c r="C122">
        <v>0</v>
      </c>
      <c r="D122">
        <f>50.67/8</f>
        <v>6.3337500000000002</v>
      </c>
      <c r="E122" s="15">
        <v>479</v>
      </c>
      <c r="F122">
        <v>3.5075834000000001</v>
      </c>
      <c r="G122">
        <v>11</v>
      </c>
      <c r="H122">
        <f t="shared" si="6"/>
        <v>0</v>
      </c>
      <c r="I122">
        <f t="shared" si="4"/>
        <v>0</v>
      </c>
      <c r="J122">
        <f t="shared" si="5"/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</row>
    <row r="123" spans="1:45" x14ac:dyDescent="0.2">
      <c r="A123" t="s">
        <v>48</v>
      </c>
      <c r="B123">
        <v>2001</v>
      </c>
      <c r="C123">
        <v>0</v>
      </c>
      <c r="D123">
        <f>29.42/9</f>
        <v>3.2688888888888892</v>
      </c>
      <c r="E123" s="15">
        <v>481</v>
      </c>
      <c r="F123">
        <v>6.2827225100000001</v>
      </c>
      <c r="G123">
        <v>13</v>
      </c>
      <c r="H123">
        <f t="shared" si="6"/>
        <v>0</v>
      </c>
      <c r="I123">
        <f t="shared" si="4"/>
        <v>0</v>
      </c>
      <c r="J123">
        <f t="shared" si="5"/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</row>
    <row r="124" spans="1:45" x14ac:dyDescent="0.2">
      <c r="A124" t="s">
        <v>48</v>
      </c>
      <c r="B124">
        <v>2002</v>
      </c>
      <c r="C124">
        <v>0</v>
      </c>
      <c r="D124">
        <f>11.54/4</f>
        <v>2.8849999999999998</v>
      </c>
      <c r="E124" s="15">
        <v>516</v>
      </c>
      <c r="F124">
        <v>6.2827225100000001</v>
      </c>
      <c r="G124">
        <v>13</v>
      </c>
      <c r="H124">
        <f t="shared" si="6"/>
        <v>0</v>
      </c>
      <c r="I124">
        <f t="shared" si="4"/>
        <v>0</v>
      </c>
      <c r="J124">
        <f t="shared" si="5"/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</row>
    <row r="125" spans="1:45" x14ac:dyDescent="0.2">
      <c r="A125" t="s">
        <v>48</v>
      </c>
      <c r="B125">
        <v>2003</v>
      </c>
      <c r="C125">
        <v>0</v>
      </c>
      <c r="D125">
        <f>24.68/6</f>
        <v>4.1133333333333333</v>
      </c>
      <c r="E125" s="15">
        <v>511</v>
      </c>
      <c r="F125">
        <v>6.2827225100000001</v>
      </c>
      <c r="G125">
        <v>13</v>
      </c>
      <c r="H125">
        <f t="shared" si="6"/>
        <v>0</v>
      </c>
      <c r="I125">
        <f t="shared" si="4"/>
        <v>0</v>
      </c>
      <c r="J125">
        <f t="shared" si="5"/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</row>
    <row r="126" spans="1:45" x14ac:dyDescent="0.2">
      <c r="A126" t="s">
        <v>48</v>
      </c>
      <c r="B126">
        <v>2004</v>
      </c>
      <c r="C126">
        <v>0</v>
      </c>
      <c r="D126">
        <f>11.23/5</f>
        <v>2.246</v>
      </c>
      <c r="E126" s="15">
        <v>589</v>
      </c>
      <c r="F126">
        <v>5.3612565400000003</v>
      </c>
      <c r="G126">
        <v>14</v>
      </c>
      <c r="H126">
        <f t="shared" si="6"/>
        <v>0</v>
      </c>
      <c r="I126">
        <f t="shared" si="4"/>
        <v>0</v>
      </c>
      <c r="J126">
        <f t="shared" si="5"/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</row>
    <row r="127" spans="1:45" x14ac:dyDescent="0.2">
      <c r="A127" t="s">
        <v>48</v>
      </c>
      <c r="B127">
        <v>2005</v>
      </c>
      <c r="C127">
        <v>0</v>
      </c>
      <c r="D127">
        <f>41.4/8</f>
        <v>5.1749999999999998</v>
      </c>
      <c r="E127" s="15">
        <v>567</v>
      </c>
      <c r="F127">
        <v>5.3612565400000003</v>
      </c>
      <c r="G127">
        <v>14</v>
      </c>
      <c r="H127">
        <f t="shared" si="6"/>
        <v>0</v>
      </c>
      <c r="I127">
        <f t="shared" si="4"/>
        <v>0</v>
      </c>
      <c r="J127">
        <f t="shared" si="5"/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</row>
    <row r="128" spans="1:45" x14ac:dyDescent="0.2">
      <c r="A128" t="s">
        <v>48</v>
      </c>
      <c r="B128">
        <v>2006</v>
      </c>
      <c r="C128">
        <v>0</v>
      </c>
      <c r="D128">
        <f>13.5/5</f>
        <v>2.7</v>
      </c>
      <c r="E128" s="15">
        <v>596</v>
      </c>
      <c r="F128">
        <v>5.3612565400000003</v>
      </c>
      <c r="G128">
        <v>13</v>
      </c>
      <c r="H128">
        <f t="shared" si="6"/>
        <v>0</v>
      </c>
      <c r="I128">
        <f t="shared" si="4"/>
        <v>0</v>
      </c>
      <c r="J128">
        <f t="shared" si="5"/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</row>
    <row r="129" spans="1:45" x14ac:dyDescent="0.2">
      <c r="A129" t="s">
        <v>48</v>
      </c>
      <c r="B129">
        <v>2007</v>
      </c>
      <c r="C129">
        <v>0</v>
      </c>
      <c r="D129">
        <f>27.86/5</f>
        <v>5.5720000000000001</v>
      </c>
      <c r="E129" s="15">
        <v>574</v>
      </c>
      <c r="F129">
        <v>8.9319371699999994</v>
      </c>
      <c r="G129">
        <v>14</v>
      </c>
      <c r="H129">
        <f t="shared" si="6"/>
        <v>0</v>
      </c>
      <c r="I129">
        <f t="shared" si="4"/>
        <v>0</v>
      </c>
      <c r="J129">
        <f t="shared" si="5"/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</row>
    <row r="130" spans="1:45" x14ac:dyDescent="0.2">
      <c r="A130" t="s">
        <v>48</v>
      </c>
      <c r="B130">
        <v>2008</v>
      </c>
      <c r="C130">
        <v>0</v>
      </c>
      <c r="D130">
        <f>36.14/5</f>
        <v>7.2279999999999998</v>
      </c>
      <c r="E130" s="15">
        <v>590</v>
      </c>
      <c r="F130">
        <v>8.9319371699999994</v>
      </c>
      <c r="G130">
        <v>15</v>
      </c>
      <c r="H130">
        <f t="shared" si="6"/>
        <v>0</v>
      </c>
      <c r="I130">
        <f t="shared" si="4"/>
        <v>0</v>
      </c>
      <c r="J130">
        <f t="shared" si="5"/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</row>
    <row r="131" spans="1:45" x14ac:dyDescent="0.2">
      <c r="A131" t="s">
        <v>48</v>
      </c>
      <c r="B131">
        <v>2009</v>
      </c>
      <c r="C131">
        <v>0</v>
      </c>
      <c r="D131">
        <f>10.8/2</f>
        <v>5.4</v>
      </c>
      <c r="E131" s="15">
        <v>591</v>
      </c>
      <c r="F131">
        <v>8.9319371699999994</v>
      </c>
      <c r="G131">
        <v>15</v>
      </c>
      <c r="H131">
        <f t="shared" si="6"/>
        <v>0</v>
      </c>
      <c r="I131">
        <f t="shared" ref="I131:I194" si="7">F131*C131</f>
        <v>0</v>
      </c>
      <c r="J131">
        <f t="shared" ref="J131:J194" si="8">G131*C131</f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</row>
    <row r="132" spans="1:45" x14ac:dyDescent="0.2">
      <c r="A132" t="s">
        <v>48</v>
      </c>
      <c r="B132">
        <v>2010</v>
      </c>
      <c r="C132">
        <v>0</v>
      </c>
      <c r="D132">
        <f>20.7/6</f>
        <v>3.4499999999999997</v>
      </c>
      <c r="E132" s="15">
        <v>604</v>
      </c>
      <c r="F132">
        <v>9.2827225099999993</v>
      </c>
      <c r="G132">
        <v>15</v>
      </c>
      <c r="H132">
        <f t="shared" si="6"/>
        <v>0</v>
      </c>
      <c r="I132">
        <f t="shared" si="7"/>
        <v>0</v>
      </c>
      <c r="J132">
        <f t="shared" si="8"/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</row>
    <row r="133" spans="1:45" x14ac:dyDescent="0.2">
      <c r="A133" t="s">
        <v>48</v>
      </c>
      <c r="B133">
        <v>2011</v>
      </c>
      <c r="C133">
        <v>0</v>
      </c>
      <c r="D133">
        <f>58.93/11</f>
        <v>5.3572727272727274</v>
      </c>
      <c r="E133" s="15">
        <v>599</v>
      </c>
      <c r="F133">
        <v>9.2827225099999993</v>
      </c>
      <c r="G133">
        <v>15</v>
      </c>
      <c r="H133">
        <f t="shared" si="6"/>
        <v>0</v>
      </c>
      <c r="I133">
        <f t="shared" si="7"/>
        <v>0</v>
      </c>
      <c r="J133">
        <f t="shared" si="8"/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</row>
    <row r="134" spans="1:45" x14ac:dyDescent="0.2">
      <c r="A134" t="s">
        <v>48</v>
      </c>
      <c r="B134">
        <v>2012</v>
      </c>
      <c r="C134">
        <v>0</v>
      </c>
      <c r="D134">
        <f>50.4/4</f>
        <v>12.6</v>
      </c>
      <c r="E134" s="15">
        <v>524</v>
      </c>
      <c r="F134">
        <v>9.2827225099999993</v>
      </c>
      <c r="G134">
        <v>15</v>
      </c>
      <c r="H134">
        <f t="shared" si="6"/>
        <v>0</v>
      </c>
      <c r="I134">
        <f t="shared" si="7"/>
        <v>0</v>
      </c>
      <c r="J134">
        <f t="shared" si="8"/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</row>
    <row r="135" spans="1:45" x14ac:dyDescent="0.2">
      <c r="A135" t="s">
        <v>48</v>
      </c>
      <c r="B135">
        <v>2013</v>
      </c>
      <c r="C135">
        <v>0</v>
      </c>
      <c r="D135">
        <f>44.33/6</f>
        <v>7.3883333333333328</v>
      </c>
      <c r="E135" s="15">
        <v>557</v>
      </c>
      <c r="F135">
        <v>15.8010471</v>
      </c>
      <c r="G135">
        <v>14</v>
      </c>
      <c r="H135">
        <f t="shared" si="6"/>
        <v>0</v>
      </c>
      <c r="I135">
        <f t="shared" si="7"/>
        <v>0</v>
      </c>
      <c r="J135">
        <f t="shared" si="8"/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</row>
    <row r="136" spans="1:45" x14ac:dyDescent="0.2">
      <c r="A136" t="s">
        <v>48</v>
      </c>
      <c r="B136">
        <v>2014</v>
      </c>
      <c r="C136">
        <v>0</v>
      </c>
      <c r="D136">
        <f>107.08/7</f>
        <v>15.297142857142857</v>
      </c>
      <c r="E136" s="15">
        <v>667</v>
      </c>
      <c r="F136">
        <v>15.8010471</v>
      </c>
      <c r="G136">
        <v>14</v>
      </c>
      <c r="H136">
        <f t="shared" si="6"/>
        <v>0</v>
      </c>
      <c r="I136">
        <f t="shared" si="7"/>
        <v>0</v>
      </c>
      <c r="J136">
        <f t="shared" si="8"/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</row>
    <row r="137" spans="1:45" x14ac:dyDescent="0.2">
      <c r="A137" t="s">
        <v>48</v>
      </c>
      <c r="B137">
        <v>2015</v>
      </c>
      <c r="C137">
        <v>0</v>
      </c>
      <c r="D137">
        <f>23.85/2</f>
        <v>11.925000000000001</v>
      </c>
      <c r="E137" s="15">
        <v>664</v>
      </c>
      <c r="F137">
        <v>15.8010471</v>
      </c>
      <c r="G137">
        <v>14</v>
      </c>
      <c r="H137">
        <f t="shared" si="6"/>
        <v>0</v>
      </c>
      <c r="I137">
        <f t="shared" si="7"/>
        <v>0</v>
      </c>
      <c r="J137">
        <f t="shared" si="8"/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1</v>
      </c>
      <c r="AP137">
        <v>0</v>
      </c>
      <c r="AQ137">
        <v>0</v>
      </c>
      <c r="AR137">
        <v>0</v>
      </c>
      <c r="AS137">
        <v>0</v>
      </c>
    </row>
    <row r="138" spans="1:45" x14ac:dyDescent="0.2">
      <c r="A138" t="s">
        <v>48</v>
      </c>
      <c r="B138">
        <v>2016</v>
      </c>
      <c r="C138">
        <v>0</v>
      </c>
      <c r="D138">
        <f>101.7/5</f>
        <v>20.34</v>
      </c>
      <c r="E138" s="15">
        <v>622</v>
      </c>
      <c r="F138">
        <v>26.890052399999998</v>
      </c>
      <c r="G138">
        <v>13</v>
      </c>
      <c r="H138">
        <f t="shared" si="6"/>
        <v>0</v>
      </c>
      <c r="I138">
        <f t="shared" si="7"/>
        <v>0</v>
      </c>
      <c r="J138">
        <f t="shared" si="8"/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</row>
    <row r="139" spans="1:45" x14ac:dyDescent="0.2">
      <c r="A139" t="s">
        <v>48</v>
      </c>
      <c r="B139">
        <v>2017</v>
      </c>
      <c r="C139">
        <v>0</v>
      </c>
      <c r="D139">
        <f>137.57/5</f>
        <v>27.513999999999999</v>
      </c>
      <c r="E139" s="15">
        <v>644</v>
      </c>
      <c r="F139">
        <v>26.890052399999998</v>
      </c>
      <c r="G139">
        <v>13</v>
      </c>
      <c r="H139">
        <f t="shared" si="6"/>
        <v>0</v>
      </c>
      <c r="I139">
        <f t="shared" si="7"/>
        <v>0</v>
      </c>
      <c r="J139">
        <f t="shared" si="8"/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v>0</v>
      </c>
      <c r="AS139">
        <v>0</v>
      </c>
    </row>
    <row r="140" spans="1:45" x14ac:dyDescent="0.2">
      <c r="A140" t="s">
        <v>48</v>
      </c>
      <c r="B140">
        <v>2018</v>
      </c>
      <c r="C140">
        <v>0</v>
      </c>
      <c r="D140">
        <f>72.14/6</f>
        <v>12.023333333333333</v>
      </c>
      <c r="E140" s="15">
        <v>604</v>
      </c>
      <c r="F140">
        <v>26.890052399999998</v>
      </c>
      <c r="G140">
        <v>15</v>
      </c>
      <c r="H140">
        <f t="shared" si="6"/>
        <v>0</v>
      </c>
      <c r="I140">
        <f t="shared" si="7"/>
        <v>0</v>
      </c>
      <c r="J140">
        <f t="shared" si="8"/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0</v>
      </c>
    </row>
    <row r="141" spans="1:45" x14ac:dyDescent="0.2">
      <c r="A141" t="s">
        <v>48</v>
      </c>
      <c r="B141">
        <v>2019</v>
      </c>
      <c r="C141">
        <v>0</v>
      </c>
      <c r="D141">
        <f>144.72/8</f>
        <v>18.09</v>
      </c>
      <c r="E141" s="15">
        <v>681</v>
      </c>
      <c r="F141">
        <v>48.167539300000001</v>
      </c>
      <c r="G141">
        <v>15</v>
      </c>
      <c r="H141">
        <f t="shared" si="6"/>
        <v>0</v>
      </c>
      <c r="I141">
        <f t="shared" si="7"/>
        <v>0</v>
      </c>
      <c r="J141">
        <f t="shared" si="8"/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1</v>
      </c>
    </row>
    <row r="142" spans="1:45" x14ac:dyDescent="0.2">
      <c r="A142" t="s">
        <v>49</v>
      </c>
      <c r="B142">
        <v>1992</v>
      </c>
      <c r="C142">
        <v>1</v>
      </c>
      <c r="D142">
        <f>3.17/6</f>
        <v>0.52833333333333332</v>
      </c>
      <c r="E142" s="15">
        <v>268</v>
      </c>
      <c r="F142">
        <v>1</v>
      </c>
      <c r="G142">
        <v>3</v>
      </c>
      <c r="H142">
        <f t="shared" si="6"/>
        <v>268</v>
      </c>
      <c r="I142">
        <f t="shared" si="7"/>
        <v>1</v>
      </c>
      <c r="J142">
        <f t="shared" si="8"/>
        <v>3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</row>
    <row r="143" spans="1:45" x14ac:dyDescent="0.2">
      <c r="A143" t="s">
        <v>49</v>
      </c>
      <c r="B143">
        <v>1993</v>
      </c>
      <c r="C143">
        <v>1</v>
      </c>
      <c r="D143">
        <v>7.65</v>
      </c>
      <c r="E143" s="15">
        <v>266</v>
      </c>
      <c r="F143">
        <v>1</v>
      </c>
      <c r="G143">
        <v>7</v>
      </c>
      <c r="H143">
        <f t="shared" si="6"/>
        <v>266</v>
      </c>
      <c r="I143">
        <f t="shared" si="7"/>
        <v>1</v>
      </c>
      <c r="J143">
        <f t="shared" si="8"/>
        <v>7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</row>
    <row r="144" spans="1:45" x14ac:dyDescent="0.2">
      <c r="A144" t="s">
        <v>49</v>
      </c>
      <c r="B144">
        <v>1994</v>
      </c>
      <c r="C144">
        <v>1</v>
      </c>
      <c r="D144">
        <f>10.64/3</f>
        <v>3.5466666666666669</v>
      </c>
      <c r="E144" s="15">
        <v>315</v>
      </c>
      <c r="F144">
        <v>1</v>
      </c>
      <c r="G144">
        <v>8</v>
      </c>
      <c r="H144">
        <f t="shared" si="6"/>
        <v>315</v>
      </c>
      <c r="I144">
        <f t="shared" si="7"/>
        <v>1</v>
      </c>
      <c r="J144">
        <f t="shared" si="8"/>
        <v>8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</row>
    <row r="145" spans="1:45" x14ac:dyDescent="0.2">
      <c r="A145" t="s">
        <v>49</v>
      </c>
      <c r="B145">
        <v>1995</v>
      </c>
      <c r="C145">
        <v>1</v>
      </c>
      <c r="D145">
        <f>0.518/2</f>
        <v>0.25900000000000001</v>
      </c>
      <c r="E145" s="15">
        <v>312</v>
      </c>
      <c r="F145">
        <v>1</v>
      </c>
      <c r="G145">
        <v>11</v>
      </c>
      <c r="H145">
        <f t="shared" si="6"/>
        <v>312</v>
      </c>
      <c r="I145">
        <f t="shared" si="7"/>
        <v>1</v>
      </c>
      <c r="J145">
        <f t="shared" si="8"/>
        <v>11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</row>
    <row r="146" spans="1:45" x14ac:dyDescent="0.2">
      <c r="A146" t="s">
        <v>49</v>
      </c>
      <c r="B146">
        <v>1996</v>
      </c>
      <c r="C146">
        <v>1</v>
      </c>
      <c r="D146">
        <f>10.1/5</f>
        <v>2.02</v>
      </c>
      <c r="E146" s="15">
        <v>318</v>
      </c>
      <c r="F146">
        <v>3.5075834000000001</v>
      </c>
      <c r="G146">
        <v>9</v>
      </c>
      <c r="H146">
        <f t="shared" si="6"/>
        <v>318</v>
      </c>
      <c r="I146">
        <f t="shared" si="7"/>
        <v>3.5075834000000001</v>
      </c>
      <c r="J146">
        <f t="shared" si="8"/>
        <v>9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</row>
    <row r="147" spans="1:45" x14ac:dyDescent="0.2">
      <c r="A147" t="s">
        <v>49</v>
      </c>
      <c r="B147">
        <v>1997</v>
      </c>
      <c r="C147">
        <v>0</v>
      </c>
      <c r="D147">
        <f>12.2/4</f>
        <v>3.05</v>
      </c>
      <c r="E147" s="15">
        <v>327</v>
      </c>
      <c r="F147">
        <v>3.5075834000000001</v>
      </c>
      <c r="G147">
        <v>9</v>
      </c>
      <c r="H147">
        <f t="shared" si="6"/>
        <v>0</v>
      </c>
      <c r="I147">
        <f t="shared" si="7"/>
        <v>0</v>
      </c>
      <c r="J147">
        <f t="shared" si="8"/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</row>
    <row r="148" spans="1:45" x14ac:dyDescent="0.2">
      <c r="A148" t="s">
        <v>49</v>
      </c>
      <c r="B148">
        <v>1998</v>
      </c>
      <c r="C148">
        <v>0</v>
      </c>
      <c r="D148">
        <f>40.28/4</f>
        <v>10.07</v>
      </c>
      <c r="E148" s="15">
        <v>391</v>
      </c>
      <c r="F148">
        <v>3.5075834000000001</v>
      </c>
      <c r="G148">
        <v>10</v>
      </c>
      <c r="H148">
        <f t="shared" si="6"/>
        <v>0</v>
      </c>
      <c r="I148">
        <f t="shared" si="7"/>
        <v>0</v>
      </c>
      <c r="J148">
        <f t="shared" si="8"/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</row>
    <row r="149" spans="1:45" x14ac:dyDescent="0.2">
      <c r="A149" t="s">
        <v>49</v>
      </c>
      <c r="B149">
        <v>1999</v>
      </c>
      <c r="C149">
        <v>0</v>
      </c>
      <c r="D149">
        <f>7.16/5</f>
        <v>1.4319999999999999</v>
      </c>
      <c r="E149" s="15">
        <v>454</v>
      </c>
      <c r="F149">
        <v>3.5075834000000001</v>
      </c>
      <c r="G149">
        <v>10</v>
      </c>
      <c r="H149">
        <f t="shared" si="6"/>
        <v>0</v>
      </c>
      <c r="I149">
        <f t="shared" si="7"/>
        <v>0</v>
      </c>
      <c r="J149">
        <f t="shared" si="8"/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</row>
    <row r="150" spans="1:45" x14ac:dyDescent="0.2">
      <c r="A150" t="s">
        <v>49</v>
      </c>
      <c r="B150">
        <v>2000</v>
      </c>
      <c r="C150">
        <v>0</v>
      </c>
      <c r="D150">
        <f>10.53/2</f>
        <v>5.2649999999999997</v>
      </c>
      <c r="E150" s="15">
        <v>479</v>
      </c>
      <c r="F150">
        <v>3.5075834000000001</v>
      </c>
      <c r="G150">
        <v>11</v>
      </c>
      <c r="H150">
        <f t="shared" si="6"/>
        <v>0</v>
      </c>
      <c r="I150">
        <f t="shared" si="7"/>
        <v>0</v>
      </c>
      <c r="J150">
        <f t="shared" si="8"/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</row>
    <row r="151" spans="1:45" x14ac:dyDescent="0.2">
      <c r="A151" t="s">
        <v>49</v>
      </c>
      <c r="B151">
        <v>2001</v>
      </c>
      <c r="C151">
        <v>0</v>
      </c>
      <c r="D151">
        <f>77.27/8</f>
        <v>9.6587499999999995</v>
      </c>
      <c r="E151" s="15">
        <v>481</v>
      </c>
      <c r="F151">
        <v>6.2827225100000001</v>
      </c>
      <c r="G151">
        <v>13</v>
      </c>
      <c r="H151">
        <f t="shared" si="6"/>
        <v>0</v>
      </c>
      <c r="I151">
        <f t="shared" si="7"/>
        <v>0</v>
      </c>
      <c r="J151">
        <f t="shared" si="8"/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</row>
    <row r="152" spans="1:45" x14ac:dyDescent="0.2">
      <c r="A152" t="s">
        <v>49</v>
      </c>
      <c r="B152">
        <v>2002</v>
      </c>
      <c r="C152">
        <v>0</v>
      </c>
      <c r="D152">
        <f>43.68/4</f>
        <v>10.92</v>
      </c>
      <c r="E152" s="15">
        <v>516</v>
      </c>
      <c r="F152">
        <v>6.2827225100000001</v>
      </c>
      <c r="G152">
        <v>13</v>
      </c>
      <c r="H152">
        <f t="shared" si="6"/>
        <v>0</v>
      </c>
      <c r="I152">
        <f t="shared" si="7"/>
        <v>0</v>
      </c>
      <c r="J152">
        <f t="shared" si="8"/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</row>
    <row r="153" spans="1:45" x14ac:dyDescent="0.2">
      <c r="A153" t="s">
        <v>49</v>
      </c>
      <c r="B153">
        <v>2003</v>
      </c>
      <c r="C153">
        <v>0</v>
      </c>
      <c r="D153">
        <f>50.87/8</f>
        <v>6.3587499999999997</v>
      </c>
      <c r="E153" s="15">
        <v>511</v>
      </c>
      <c r="F153">
        <v>6.2827225100000001</v>
      </c>
      <c r="G153">
        <v>13</v>
      </c>
      <c r="H153">
        <f t="shared" si="6"/>
        <v>0</v>
      </c>
      <c r="I153">
        <f t="shared" si="7"/>
        <v>0</v>
      </c>
      <c r="J153">
        <f t="shared" si="8"/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</row>
    <row r="154" spans="1:45" x14ac:dyDescent="0.2">
      <c r="A154" t="s">
        <v>49</v>
      </c>
      <c r="B154">
        <v>2004</v>
      </c>
      <c r="C154">
        <v>0</v>
      </c>
      <c r="D154">
        <f>55.13/5</f>
        <v>11.026</v>
      </c>
      <c r="E154" s="15">
        <v>589</v>
      </c>
      <c r="F154">
        <v>5.3612565400000003</v>
      </c>
      <c r="G154">
        <v>14</v>
      </c>
      <c r="H154">
        <f t="shared" si="6"/>
        <v>0</v>
      </c>
      <c r="I154">
        <f t="shared" si="7"/>
        <v>0</v>
      </c>
      <c r="J154">
        <f t="shared" si="8"/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</row>
    <row r="155" spans="1:45" x14ac:dyDescent="0.2">
      <c r="A155" t="s">
        <v>49</v>
      </c>
      <c r="B155">
        <v>2005</v>
      </c>
      <c r="C155">
        <v>0</v>
      </c>
      <c r="D155">
        <f>28.62/5</f>
        <v>5.7240000000000002</v>
      </c>
      <c r="E155" s="15">
        <v>567</v>
      </c>
      <c r="F155">
        <v>5.3612565400000003</v>
      </c>
      <c r="G155">
        <v>14</v>
      </c>
      <c r="H155">
        <f t="shared" si="6"/>
        <v>0</v>
      </c>
      <c r="I155">
        <f t="shared" si="7"/>
        <v>0</v>
      </c>
      <c r="J155">
        <f t="shared" si="8"/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</row>
    <row r="156" spans="1:45" x14ac:dyDescent="0.2">
      <c r="A156" t="s">
        <v>49</v>
      </c>
      <c r="B156">
        <v>2006</v>
      </c>
      <c r="C156">
        <v>0</v>
      </c>
      <c r="D156">
        <f>24.48/3</f>
        <v>8.16</v>
      </c>
      <c r="E156" s="15">
        <v>596</v>
      </c>
      <c r="F156">
        <v>5.3612565400000003</v>
      </c>
      <c r="G156">
        <v>13</v>
      </c>
      <c r="H156">
        <f t="shared" si="6"/>
        <v>0</v>
      </c>
      <c r="I156">
        <f t="shared" si="7"/>
        <v>0</v>
      </c>
      <c r="J156">
        <f t="shared" si="8"/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</row>
    <row r="157" spans="1:45" x14ac:dyDescent="0.2">
      <c r="A157" t="s">
        <v>49</v>
      </c>
      <c r="B157">
        <v>2007</v>
      </c>
      <c r="C157">
        <v>0</v>
      </c>
      <c r="D157">
        <f>95.85/8</f>
        <v>11.981249999999999</v>
      </c>
      <c r="E157" s="15">
        <v>574</v>
      </c>
      <c r="F157">
        <v>8.9319371699999994</v>
      </c>
      <c r="G157">
        <v>14</v>
      </c>
      <c r="H157">
        <f t="shared" si="6"/>
        <v>0</v>
      </c>
      <c r="I157">
        <f t="shared" si="7"/>
        <v>0</v>
      </c>
      <c r="J157">
        <f t="shared" si="8"/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</row>
    <row r="158" spans="1:45" x14ac:dyDescent="0.2">
      <c r="A158" t="s">
        <v>49</v>
      </c>
      <c r="B158">
        <v>2008</v>
      </c>
      <c r="C158">
        <v>0</v>
      </c>
      <c r="D158">
        <f>40.73/4</f>
        <v>10.182499999999999</v>
      </c>
      <c r="E158" s="15">
        <v>590</v>
      </c>
      <c r="F158">
        <v>8.9319371699999994</v>
      </c>
      <c r="G158">
        <v>15</v>
      </c>
      <c r="H158">
        <f t="shared" si="6"/>
        <v>0</v>
      </c>
      <c r="I158">
        <f t="shared" si="7"/>
        <v>0</v>
      </c>
      <c r="J158">
        <f t="shared" si="8"/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</row>
    <row r="159" spans="1:45" x14ac:dyDescent="0.2">
      <c r="A159" t="s">
        <v>49</v>
      </c>
      <c r="B159">
        <v>2009</v>
      </c>
      <c r="C159">
        <v>0</v>
      </c>
      <c r="D159">
        <f>24.57/4</f>
        <v>6.1425000000000001</v>
      </c>
      <c r="E159" s="15">
        <v>591</v>
      </c>
      <c r="F159">
        <v>8.9319371699999994</v>
      </c>
      <c r="G159">
        <v>15</v>
      </c>
      <c r="H159">
        <f t="shared" ref="H159:H197" si="9">E159*C159</f>
        <v>0</v>
      </c>
      <c r="I159">
        <f t="shared" si="7"/>
        <v>0</v>
      </c>
      <c r="J159">
        <f t="shared" si="8"/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1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</row>
    <row r="160" spans="1:45" x14ac:dyDescent="0.2">
      <c r="A160" t="s">
        <v>49</v>
      </c>
      <c r="B160">
        <v>2010</v>
      </c>
      <c r="C160">
        <v>0</v>
      </c>
      <c r="D160">
        <f>26.37/4</f>
        <v>6.5925000000000002</v>
      </c>
      <c r="E160" s="15">
        <v>604</v>
      </c>
      <c r="F160">
        <v>9.2827225099999993</v>
      </c>
      <c r="G160">
        <v>15</v>
      </c>
      <c r="H160">
        <f t="shared" si="9"/>
        <v>0</v>
      </c>
      <c r="I160">
        <f t="shared" si="7"/>
        <v>0</v>
      </c>
      <c r="J160">
        <f t="shared" si="8"/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</row>
    <row r="161" spans="1:45" x14ac:dyDescent="0.2">
      <c r="A161" t="s">
        <v>49</v>
      </c>
      <c r="B161">
        <v>2011</v>
      </c>
      <c r="C161">
        <v>0</v>
      </c>
      <c r="D161">
        <f>56.07/5</f>
        <v>11.214</v>
      </c>
      <c r="E161" s="15">
        <v>599</v>
      </c>
      <c r="F161">
        <v>9.2827225099999993</v>
      </c>
      <c r="G161">
        <v>15</v>
      </c>
      <c r="H161">
        <f t="shared" si="9"/>
        <v>0</v>
      </c>
      <c r="I161">
        <f t="shared" si="7"/>
        <v>0</v>
      </c>
      <c r="J161">
        <f t="shared" si="8"/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</row>
    <row r="162" spans="1:45" x14ac:dyDescent="0.2">
      <c r="A162" t="s">
        <v>49</v>
      </c>
      <c r="B162">
        <v>2012</v>
      </c>
      <c r="C162">
        <v>0</v>
      </c>
      <c r="D162">
        <f>68.81/6</f>
        <v>11.468333333333334</v>
      </c>
      <c r="E162" s="15">
        <v>524</v>
      </c>
      <c r="F162">
        <v>9.2827225099999993</v>
      </c>
      <c r="G162">
        <v>15</v>
      </c>
      <c r="H162">
        <f t="shared" si="9"/>
        <v>0</v>
      </c>
      <c r="I162">
        <f t="shared" si="7"/>
        <v>0</v>
      </c>
      <c r="J162">
        <f t="shared" si="8"/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</row>
    <row r="163" spans="1:45" x14ac:dyDescent="0.2">
      <c r="A163" t="s">
        <v>49</v>
      </c>
      <c r="B163">
        <v>2013</v>
      </c>
      <c r="C163">
        <v>0</v>
      </c>
      <c r="D163">
        <f>69.42/2</f>
        <v>34.71</v>
      </c>
      <c r="E163" s="15">
        <v>557</v>
      </c>
      <c r="F163">
        <v>15.8010471</v>
      </c>
      <c r="G163">
        <v>14</v>
      </c>
      <c r="H163">
        <f t="shared" si="9"/>
        <v>0</v>
      </c>
      <c r="I163">
        <f t="shared" si="7"/>
        <v>0</v>
      </c>
      <c r="J163">
        <f t="shared" si="8"/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</row>
    <row r="164" spans="1:45" x14ac:dyDescent="0.2">
      <c r="A164" t="s">
        <v>49</v>
      </c>
      <c r="B164">
        <v>2014</v>
      </c>
      <c r="C164">
        <v>0</v>
      </c>
      <c r="D164">
        <f>175.82/9</f>
        <v>19.535555555555554</v>
      </c>
      <c r="E164" s="15">
        <v>667</v>
      </c>
      <c r="F164">
        <v>15.8010471</v>
      </c>
      <c r="G164">
        <v>14</v>
      </c>
      <c r="H164">
        <f t="shared" si="9"/>
        <v>0</v>
      </c>
      <c r="I164">
        <f t="shared" si="7"/>
        <v>0</v>
      </c>
      <c r="J164">
        <f t="shared" si="8"/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1</v>
      </c>
      <c r="AO164">
        <v>0</v>
      </c>
      <c r="AP164">
        <v>0</v>
      </c>
      <c r="AQ164">
        <v>0</v>
      </c>
      <c r="AR164">
        <v>0</v>
      </c>
      <c r="AS164">
        <v>0</v>
      </c>
    </row>
    <row r="165" spans="1:45" x14ac:dyDescent="0.2">
      <c r="A165" t="s">
        <v>49</v>
      </c>
      <c r="B165">
        <v>2015</v>
      </c>
      <c r="C165">
        <v>0</v>
      </c>
      <c r="D165">
        <f>140.4/6</f>
        <v>23.400000000000002</v>
      </c>
      <c r="E165" s="15">
        <v>664</v>
      </c>
      <c r="F165">
        <v>15.8010471</v>
      </c>
      <c r="G165">
        <v>14</v>
      </c>
      <c r="H165">
        <f t="shared" si="9"/>
        <v>0</v>
      </c>
      <c r="I165">
        <f t="shared" si="7"/>
        <v>0</v>
      </c>
      <c r="J165">
        <f t="shared" si="8"/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1</v>
      </c>
      <c r="AP165">
        <v>0</v>
      </c>
      <c r="AQ165">
        <v>0</v>
      </c>
      <c r="AR165">
        <v>0</v>
      </c>
      <c r="AS165">
        <v>0</v>
      </c>
    </row>
    <row r="166" spans="1:45" x14ac:dyDescent="0.2">
      <c r="A166" t="s">
        <v>49</v>
      </c>
      <c r="B166">
        <v>2016</v>
      </c>
      <c r="C166">
        <v>0</v>
      </c>
      <c r="D166">
        <f>166.5/4</f>
        <v>41.625</v>
      </c>
      <c r="E166" s="15">
        <v>622</v>
      </c>
      <c r="F166">
        <v>26.890052399999998</v>
      </c>
      <c r="G166">
        <v>13</v>
      </c>
      <c r="H166">
        <f t="shared" si="9"/>
        <v>0</v>
      </c>
      <c r="I166">
        <f t="shared" si="7"/>
        <v>0</v>
      </c>
      <c r="J166">
        <f t="shared" si="8"/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</v>
      </c>
      <c r="AQ166">
        <v>0</v>
      </c>
      <c r="AR166">
        <v>0</v>
      </c>
      <c r="AS166">
        <v>0</v>
      </c>
    </row>
    <row r="167" spans="1:45" x14ac:dyDescent="0.2">
      <c r="A167" t="s">
        <v>49</v>
      </c>
      <c r="B167">
        <v>2017</v>
      </c>
      <c r="C167">
        <v>0</v>
      </c>
      <c r="D167">
        <f>178.56/4</f>
        <v>44.64</v>
      </c>
      <c r="E167" s="15">
        <v>644</v>
      </c>
      <c r="F167">
        <v>26.890052399999998</v>
      </c>
      <c r="G167">
        <v>13</v>
      </c>
      <c r="H167">
        <f t="shared" si="9"/>
        <v>0</v>
      </c>
      <c r="I167">
        <f t="shared" si="7"/>
        <v>0</v>
      </c>
      <c r="J167">
        <f t="shared" si="8"/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1</v>
      </c>
      <c r="AR167">
        <v>0</v>
      </c>
      <c r="AS167">
        <v>0</v>
      </c>
    </row>
    <row r="168" spans="1:45" x14ac:dyDescent="0.2">
      <c r="A168" t="s">
        <v>49</v>
      </c>
      <c r="B168">
        <v>2018</v>
      </c>
      <c r="C168">
        <v>0</v>
      </c>
      <c r="D168">
        <f>74.43/3</f>
        <v>24.810000000000002</v>
      </c>
      <c r="E168" s="15">
        <v>604</v>
      </c>
      <c r="F168">
        <v>26.890052399999998</v>
      </c>
      <c r="G168">
        <v>15</v>
      </c>
      <c r="H168">
        <f t="shared" si="9"/>
        <v>0</v>
      </c>
      <c r="I168">
        <f t="shared" si="7"/>
        <v>0</v>
      </c>
      <c r="J168">
        <f t="shared" si="8"/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0</v>
      </c>
    </row>
    <row r="169" spans="1:45" x14ac:dyDescent="0.2">
      <c r="A169" t="s">
        <v>49</v>
      </c>
      <c r="B169">
        <v>2019</v>
      </c>
      <c r="C169">
        <v>0</v>
      </c>
      <c r="D169">
        <f>211.32/5</f>
        <v>42.263999999999996</v>
      </c>
      <c r="E169" s="15">
        <v>681</v>
      </c>
      <c r="F169">
        <v>48.167539300000001</v>
      </c>
      <c r="G169">
        <v>15</v>
      </c>
      <c r="H169">
        <f t="shared" si="9"/>
        <v>0</v>
      </c>
      <c r="I169">
        <f t="shared" si="7"/>
        <v>0</v>
      </c>
      <c r="J169">
        <f t="shared" si="8"/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1</v>
      </c>
    </row>
    <row r="170" spans="1:45" x14ac:dyDescent="0.2">
      <c r="A170" t="s">
        <v>50</v>
      </c>
      <c r="B170">
        <v>1992</v>
      </c>
      <c r="C170">
        <v>1</v>
      </c>
      <c r="D170">
        <f>0.633/3</f>
        <v>0.21099999999999999</v>
      </c>
      <c r="E170" s="15">
        <v>268</v>
      </c>
      <c r="F170">
        <v>1</v>
      </c>
      <c r="G170">
        <v>3</v>
      </c>
      <c r="H170">
        <f t="shared" si="9"/>
        <v>268</v>
      </c>
      <c r="I170">
        <f t="shared" si="7"/>
        <v>1</v>
      </c>
      <c r="J170">
        <f t="shared" si="8"/>
        <v>3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</row>
    <row r="171" spans="1:45" x14ac:dyDescent="0.2">
      <c r="A171" t="s">
        <v>50</v>
      </c>
      <c r="B171">
        <v>1993</v>
      </c>
      <c r="C171">
        <v>1</v>
      </c>
      <c r="D171">
        <f>3.65/7</f>
        <v>0.52142857142857146</v>
      </c>
      <c r="E171" s="15">
        <v>266</v>
      </c>
      <c r="F171">
        <v>1</v>
      </c>
      <c r="G171">
        <v>7</v>
      </c>
      <c r="H171">
        <f t="shared" si="9"/>
        <v>266</v>
      </c>
      <c r="I171">
        <f t="shared" si="7"/>
        <v>1</v>
      </c>
      <c r="J171">
        <f t="shared" si="8"/>
        <v>7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</row>
    <row r="172" spans="1:45" x14ac:dyDescent="0.2">
      <c r="A172" t="s">
        <v>50</v>
      </c>
      <c r="B172">
        <v>1994</v>
      </c>
      <c r="C172">
        <v>1</v>
      </c>
      <c r="D172">
        <f>11.14/7</f>
        <v>1.5914285714285714</v>
      </c>
      <c r="E172" s="15">
        <v>315</v>
      </c>
      <c r="F172">
        <v>1</v>
      </c>
      <c r="G172">
        <v>8</v>
      </c>
      <c r="H172">
        <f t="shared" si="9"/>
        <v>315</v>
      </c>
      <c r="I172">
        <f t="shared" si="7"/>
        <v>1</v>
      </c>
      <c r="J172">
        <f t="shared" si="8"/>
        <v>8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</row>
    <row r="173" spans="1:45" x14ac:dyDescent="0.2">
      <c r="A173" t="s">
        <v>50</v>
      </c>
      <c r="B173">
        <v>1995</v>
      </c>
      <c r="C173">
        <v>1</v>
      </c>
      <c r="D173">
        <f>15.28/5</f>
        <v>3.056</v>
      </c>
      <c r="E173" s="15">
        <v>312</v>
      </c>
      <c r="F173">
        <v>1</v>
      </c>
      <c r="G173">
        <v>11</v>
      </c>
      <c r="H173">
        <f t="shared" si="9"/>
        <v>312</v>
      </c>
      <c r="I173">
        <f t="shared" si="7"/>
        <v>1</v>
      </c>
      <c r="J173">
        <f t="shared" si="8"/>
        <v>11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</row>
    <row r="174" spans="1:45" x14ac:dyDescent="0.2">
      <c r="A174" t="s">
        <v>50</v>
      </c>
      <c r="B174">
        <v>1996</v>
      </c>
      <c r="C174">
        <v>1</v>
      </c>
      <c r="D174">
        <f>9.68/4</f>
        <v>2.42</v>
      </c>
      <c r="E174" s="15">
        <v>318</v>
      </c>
      <c r="F174">
        <v>3.5075834000000001</v>
      </c>
      <c r="G174">
        <v>9</v>
      </c>
      <c r="H174">
        <f t="shared" si="9"/>
        <v>318</v>
      </c>
      <c r="I174">
        <f t="shared" si="7"/>
        <v>3.5075834000000001</v>
      </c>
      <c r="J174">
        <f t="shared" si="8"/>
        <v>9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</row>
    <row r="175" spans="1:45" x14ac:dyDescent="0.2">
      <c r="A175" t="s">
        <v>50</v>
      </c>
      <c r="B175">
        <v>1997</v>
      </c>
      <c r="C175">
        <v>0</v>
      </c>
      <c r="D175">
        <f>7.49/14</f>
        <v>0.53500000000000003</v>
      </c>
      <c r="E175" s="15">
        <v>327</v>
      </c>
      <c r="F175">
        <v>3.5075834000000001</v>
      </c>
      <c r="G175">
        <v>9</v>
      </c>
      <c r="H175">
        <f t="shared" si="9"/>
        <v>0</v>
      </c>
      <c r="I175">
        <f t="shared" si="7"/>
        <v>0</v>
      </c>
      <c r="J175">
        <f t="shared" si="8"/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</row>
    <row r="176" spans="1:45" x14ac:dyDescent="0.2">
      <c r="A176" t="s">
        <v>50</v>
      </c>
      <c r="B176">
        <v>1998</v>
      </c>
      <c r="C176">
        <v>0</v>
      </c>
      <c r="D176">
        <f>26.69/11</f>
        <v>2.4263636363636363</v>
      </c>
      <c r="E176" s="15">
        <v>391</v>
      </c>
      <c r="F176">
        <v>3.5075834000000001</v>
      </c>
      <c r="G176">
        <v>10</v>
      </c>
      <c r="H176">
        <f t="shared" si="9"/>
        <v>0</v>
      </c>
      <c r="I176">
        <f t="shared" si="7"/>
        <v>0</v>
      </c>
      <c r="J176">
        <f t="shared" si="8"/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</row>
    <row r="177" spans="1:45" x14ac:dyDescent="0.2">
      <c r="A177" t="s">
        <v>50</v>
      </c>
      <c r="B177">
        <v>1999</v>
      </c>
      <c r="C177">
        <v>0</v>
      </c>
      <c r="D177">
        <f>6.84/7</f>
        <v>0.97714285714285709</v>
      </c>
      <c r="E177" s="15">
        <v>454</v>
      </c>
      <c r="F177">
        <v>3.5075834000000001</v>
      </c>
      <c r="G177">
        <v>10</v>
      </c>
      <c r="H177">
        <f t="shared" si="9"/>
        <v>0</v>
      </c>
      <c r="I177">
        <f t="shared" si="7"/>
        <v>0</v>
      </c>
      <c r="J177">
        <f t="shared" si="8"/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</row>
    <row r="178" spans="1:45" x14ac:dyDescent="0.2">
      <c r="A178" t="s">
        <v>50</v>
      </c>
      <c r="B178">
        <v>2000</v>
      </c>
      <c r="C178">
        <v>0</v>
      </c>
      <c r="D178">
        <f>31.03/12</f>
        <v>2.5858333333333334</v>
      </c>
      <c r="E178" s="15">
        <v>479</v>
      </c>
      <c r="F178">
        <v>3.5075834000000001</v>
      </c>
      <c r="G178">
        <v>11</v>
      </c>
      <c r="H178">
        <f t="shared" si="9"/>
        <v>0</v>
      </c>
      <c r="I178">
        <f t="shared" si="7"/>
        <v>0</v>
      </c>
      <c r="J178">
        <f t="shared" si="8"/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</row>
    <row r="179" spans="1:45" x14ac:dyDescent="0.2">
      <c r="A179" t="s">
        <v>50</v>
      </c>
      <c r="B179">
        <v>2001</v>
      </c>
      <c r="C179">
        <v>0</v>
      </c>
      <c r="D179">
        <f>9.45/5</f>
        <v>1.89</v>
      </c>
      <c r="E179" s="15">
        <v>481</v>
      </c>
      <c r="F179">
        <v>6.2827225100000001</v>
      </c>
      <c r="G179">
        <v>13</v>
      </c>
      <c r="H179">
        <f t="shared" si="9"/>
        <v>0</v>
      </c>
      <c r="I179">
        <f t="shared" si="7"/>
        <v>0</v>
      </c>
      <c r="J179">
        <f t="shared" si="8"/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</row>
    <row r="180" spans="1:45" x14ac:dyDescent="0.2">
      <c r="A180" t="s">
        <v>50</v>
      </c>
      <c r="B180">
        <v>2002</v>
      </c>
      <c r="C180">
        <v>0</v>
      </c>
      <c r="D180">
        <f>12.35/9</f>
        <v>1.3722222222222222</v>
      </c>
      <c r="E180" s="15">
        <v>516</v>
      </c>
      <c r="F180">
        <v>6.2827225100000001</v>
      </c>
      <c r="G180">
        <v>13</v>
      </c>
      <c r="H180">
        <f t="shared" si="9"/>
        <v>0</v>
      </c>
      <c r="I180">
        <f t="shared" si="7"/>
        <v>0</v>
      </c>
      <c r="J180">
        <f t="shared" si="8"/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</row>
    <row r="181" spans="1:45" x14ac:dyDescent="0.2">
      <c r="A181" t="s">
        <v>50</v>
      </c>
      <c r="B181">
        <v>2003</v>
      </c>
      <c r="C181">
        <v>0</v>
      </c>
      <c r="D181">
        <f>9.06/7</f>
        <v>1.2942857142857143</v>
      </c>
      <c r="E181" s="15">
        <v>511</v>
      </c>
      <c r="F181">
        <v>6.2827225100000001</v>
      </c>
      <c r="G181">
        <v>13</v>
      </c>
      <c r="H181">
        <f t="shared" si="9"/>
        <v>0</v>
      </c>
      <c r="I181">
        <f t="shared" si="7"/>
        <v>0</v>
      </c>
      <c r="J181">
        <f t="shared" si="8"/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5" x14ac:dyDescent="0.2">
      <c r="A182" t="s">
        <v>50</v>
      </c>
      <c r="B182">
        <v>2004</v>
      </c>
      <c r="C182">
        <v>0</v>
      </c>
      <c r="D182">
        <f>10.69/6</f>
        <v>1.7816666666666665</v>
      </c>
      <c r="E182" s="15">
        <v>589</v>
      </c>
      <c r="F182">
        <v>5.3612565400000003</v>
      </c>
      <c r="G182">
        <v>14</v>
      </c>
      <c r="H182">
        <f t="shared" si="9"/>
        <v>0</v>
      </c>
      <c r="I182">
        <f t="shared" si="7"/>
        <v>0</v>
      </c>
      <c r="J182">
        <f t="shared" si="8"/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</row>
    <row r="183" spans="1:45" x14ac:dyDescent="0.2">
      <c r="A183" t="s">
        <v>50</v>
      </c>
      <c r="B183">
        <v>2005</v>
      </c>
      <c r="C183">
        <v>0</v>
      </c>
      <c r="D183">
        <f>29.27/11</f>
        <v>2.6609090909090907</v>
      </c>
      <c r="E183" s="15">
        <v>567</v>
      </c>
      <c r="F183">
        <v>5.3612565400000003</v>
      </c>
      <c r="G183">
        <v>14</v>
      </c>
      <c r="H183">
        <f t="shared" si="9"/>
        <v>0</v>
      </c>
      <c r="I183">
        <f t="shared" si="7"/>
        <v>0</v>
      </c>
      <c r="J183">
        <f t="shared" si="8"/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</row>
    <row r="184" spans="1:45" x14ac:dyDescent="0.2">
      <c r="A184" t="s">
        <v>50</v>
      </c>
      <c r="B184">
        <v>2006</v>
      </c>
      <c r="C184">
        <v>0</v>
      </c>
      <c r="D184">
        <f>16.11/4</f>
        <v>4.0274999999999999</v>
      </c>
      <c r="E184" s="15">
        <v>596</v>
      </c>
      <c r="F184">
        <v>5.3612565400000003</v>
      </c>
      <c r="G184">
        <v>13</v>
      </c>
      <c r="H184">
        <f t="shared" si="9"/>
        <v>0</v>
      </c>
      <c r="I184">
        <f t="shared" si="7"/>
        <v>0</v>
      </c>
      <c r="J184">
        <f t="shared" si="8"/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</row>
    <row r="185" spans="1:45" x14ac:dyDescent="0.2">
      <c r="A185" t="s">
        <v>50</v>
      </c>
      <c r="B185">
        <v>2007</v>
      </c>
      <c r="C185">
        <v>0</v>
      </c>
      <c r="D185">
        <f>33.8/11</f>
        <v>3.0727272727272723</v>
      </c>
      <c r="E185" s="15">
        <v>574</v>
      </c>
      <c r="F185">
        <v>8.9319371699999994</v>
      </c>
      <c r="G185">
        <v>14</v>
      </c>
      <c r="H185">
        <f t="shared" si="9"/>
        <v>0</v>
      </c>
      <c r="I185">
        <f t="shared" si="7"/>
        <v>0</v>
      </c>
      <c r="J185">
        <f t="shared" si="8"/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1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</row>
    <row r="186" spans="1:45" x14ac:dyDescent="0.2">
      <c r="A186" t="s">
        <v>50</v>
      </c>
      <c r="B186">
        <v>2008</v>
      </c>
      <c r="C186">
        <v>0</v>
      </c>
      <c r="D186">
        <f>22.57/8</f>
        <v>2.82125</v>
      </c>
      <c r="E186" s="15">
        <v>590</v>
      </c>
      <c r="F186">
        <v>8.9319371699999994</v>
      </c>
      <c r="G186">
        <v>15</v>
      </c>
      <c r="H186">
        <f t="shared" si="9"/>
        <v>0</v>
      </c>
      <c r="I186">
        <f t="shared" si="7"/>
        <v>0</v>
      </c>
      <c r="J186">
        <f t="shared" si="8"/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</row>
    <row r="187" spans="1:45" x14ac:dyDescent="0.2">
      <c r="A187" t="s">
        <v>50</v>
      </c>
      <c r="B187">
        <v>2009</v>
      </c>
      <c r="C187">
        <v>0</v>
      </c>
      <c r="D187">
        <f>20.97/7</f>
        <v>2.9957142857142856</v>
      </c>
      <c r="E187" s="15">
        <v>591</v>
      </c>
      <c r="F187">
        <v>8.9319371699999994</v>
      </c>
      <c r="G187">
        <v>15</v>
      </c>
      <c r="H187">
        <f t="shared" si="9"/>
        <v>0</v>
      </c>
      <c r="I187">
        <f t="shared" si="7"/>
        <v>0</v>
      </c>
      <c r="J187">
        <f t="shared" si="8"/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</row>
    <row r="188" spans="1:45" x14ac:dyDescent="0.2">
      <c r="A188" t="s">
        <v>50</v>
      </c>
      <c r="B188">
        <v>2010</v>
      </c>
      <c r="C188">
        <v>0</v>
      </c>
      <c r="D188">
        <f>1.53/4</f>
        <v>0.38250000000000001</v>
      </c>
      <c r="E188" s="15">
        <v>604</v>
      </c>
      <c r="F188">
        <v>9.2827225099999993</v>
      </c>
      <c r="G188">
        <v>15</v>
      </c>
      <c r="H188">
        <f t="shared" si="9"/>
        <v>0</v>
      </c>
      <c r="I188">
        <f t="shared" si="7"/>
        <v>0</v>
      </c>
      <c r="J188">
        <f t="shared" si="8"/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</row>
    <row r="189" spans="1:45" x14ac:dyDescent="0.2">
      <c r="A189" t="s">
        <v>50</v>
      </c>
      <c r="B189">
        <v>2011</v>
      </c>
      <c r="C189">
        <v>0</v>
      </c>
      <c r="D189">
        <f>6.48/9</f>
        <v>0.72000000000000008</v>
      </c>
      <c r="E189" s="15">
        <v>599</v>
      </c>
      <c r="F189">
        <v>9.2827225099999993</v>
      </c>
      <c r="G189">
        <v>15</v>
      </c>
      <c r="H189">
        <f t="shared" si="9"/>
        <v>0</v>
      </c>
      <c r="I189">
        <f t="shared" si="7"/>
        <v>0</v>
      </c>
      <c r="J189">
        <f t="shared" si="8"/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</row>
    <row r="190" spans="1:45" x14ac:dyDescent="0.2">
      <c r="A190" t="s">
        <v>50</v>
      </c>
      <c r="B190">
        <v>2012</v>
      </c>
      <c r="C190">
        <v>0</v>
      </c>
      <c r="D190">
        <f>19.49/8</f>
        <v>2.4362499999999998</v>
      </c>
      <c r="E190" s="15">
        <v>524</v>
      </c>
      <c r="F190">
        <v>9.2827225099999993</v>
      </c>
      <c r="G190">
        <v>15</v>
      </c>
      <c r="H190">
        <f t="shared" si="9"/>
        <v>0</v>
      </c>
      <c r="I190">
        <f t="shared" si="7"/>
        <v>0</v>
      </c>
      <c r="J190">
        <f t="shared" si="8"/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</row>
    <row r="191" spans="1:45" x14ac:dyDescent="0.2">
      <c r="A191" t="s">
        <v>50</v>
      </c>
      <c r="B191">
        <v>2013</v>
      </c>
      <c r="C191">
        <v>0</v>
      </c>
      <c r="D191">
        <f>28.62/9</f>
        <v>3.18</v>
      </c>
      <c r="E191" s="15">
        <v>557</v>
      </c>
      <c r="F191">
        <v>15.8010471</v>
      </c>
      <c r="G191">
        <v>14</v>
      </c>
      <c r="H191">
        <f t="shared" si="9"/>
        <v>0</v>
      </c>
      <c r="I191">
        <f t="shared" si="7"/>
        <v>0</v>
      </c>
      <c r="J191">
        <f t="shared" si="8"/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</row>
    <row r="192" spans="1:45" x14ac:dyDescent="0.2">
      <c r="A192" t="s">
        <v>50</v>
      </c>
      <c r="B192">
        <v>2014</v>
      </c>
      <c r="C192">
        <v>0</v>
      </c>
      <c r="D192">
        <f>36.14/7</f>
        <v>5.1628571428571428</v>
      </c>
      <c r="E192" s="15">
        <v>667</v>
      </c>
      <c r="F192">
        <v>15.8010471</v>
      </c>
      <c r="G192">
        <v>14</v>
      </c>
      <c r="H192">
        <f t="shared" si="9"/>
        <v>0</v>
      </c>
      <c r="I192">
        <f t="shared" si="7"/>
        <v>0</v>
      </c>
      <c r="J192">
        <f t="shared" si="8"/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0</v>
      </c>
      <c r="AS192">
        <v>0</v>
      </c>
    </row>
    <row r="193" spans="1:45" x14ac:dyDescent="0.2">
      <c r="A193" t="s">
        <v>50</v>
      </c>
      <c r="B193">
        <v>2015</v>
      </c>
      <c r="C193">
        <v>0</v>
      </c>
      <c r="D193">
        <f>44.01/9</f>
        <v>4.8899999999999997</v>
      </c>
      <c r="E193" s="15">
        <v>664</v>
      </c>
      <c r="F193">
        <v>15.8010471</v>
      </c>
      <c r="G193">
        <v>14</v>
      </c>
      <c r="H193">
        <f t="shared" si="9"/>
        <v>0</v>
      </c>
      <c r="I193">
        <f t="shared" si="7"/>
        <v>0</v>
      </c>
      <c r="J193">
        <f t="shared" si="8"/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0</v>
      </c>
      <c r="AQ193">
        <v>0</v>
      </c>
      <c r="AR193">
        <v>0</v>
      </c>
      <c r="AS193">
        <v>0</v>
      </c>
    </row>
    <row r="194" spans="1:45" x14ac:dyDescent="0.2">
      <c r="A194" t="s">
        <v>50</v>
      </c>
      <c r="B194">
        <v>2016</v>
      </c>
      <c r="C194">
        <v>0</v>
      </c>
      <c r="D194">
        <f>77.48/8</f>
        <v>9.6850000000000005</v>
      </c>
      <c r="E194" s="15">
        <v>622</v>
      </c>
      <c r="F194">
        <v>26.890052399999998</v>
      </c>
      <c r="G194">
        <v>13</v>
      </c>
      <c r="H194">
        <f t="shared" si="9"/>
        <v>0</v>
      </c>
      <c r="I194">
        <f t="shared" si="7"/>
        <v>0</v>
      </c>
      <c r="J194">
        <f t="shared" si="8"/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</v>
      </c>
      <c r="AQ194">
        <v>0</v>
      </c>
      <c r="AR194">
        <v>0</v>
      </c>
      <c r="AS194">
        <v>0</v>
      </c>
    </row>
    <row r="195" spans="1:45" x14ac:dyDescent="0.2">
      <c r="A195" t="s">
        <v>50</v>
      </c>
      <c r="B195">
        <v>2017</v>
      </c>
      <c r="C195">
        <v>0</v>
      </c>
      <c r="D195">
        <f>182.88/12</f>
        <v>15.24</v>
      </c>
      <c r="E195" s="15">
        <v>644</v>
      </c>
      <c r="F195">
        <v>26.890052399999998</v>
      </c>
      <c r="G195">
        <v>13</v>
      </c>
      <c r="H195">
        <f t="shared" si="9"/>
        <v>0</v>
      </c>
      <c r="I195">
        <f t="shared" ref="I195:I196" si="10">F195*C195</f>
        <v>0</v>
      </c>
      <c r="J195">
        <f t="shared" ref="J195:J197" si="11">G195*C195</f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v>0</v>
      </c>
      <c r="AS195">
        <v>0</v>
      </c>
    </row>
    <row r="196" spans="1:45" x14ac:dyDescent="0.2">
      <c r="A196" t="s">
        <v>50</v>
      </c>
      <c r="B196">
        <v>2018</v>
      </c>
      <c r="C196">
        <v>0</v>
      </c>
      <c r="D196">
        <f>89.82/6</f>
        <v>14.969999999999999</v>
      </c>
      <c r="E196" s="15">
        <v>604</v>
      </c>
      <c r="F196">
        <v>26.890052399999998</v>
      </c>
      <c r="G196">
        <v>15</v>
      </c>
      <c r="H196">
        <f t="shared" si="9"/>
        <v>0</v>
      </c>
      <c r="I196">
        <f t="shared" si="10"/>
        <v>0</v>
      </c>
      <c r="J196">
        <f t="shared" si="11"/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</row>
    <row r="197" spans="1:45" x14ac:dyDescent="0.2">
      <c r="A197" t="s">
        <v>50</v>
      </c>
      <c r="B197">
        <v>2019</v>
      </c>
      <c r="C197">
        <v>0</v>
      </c>
      <c r="D197">
        <f>108.9/8</f>
        <v>13.612500000000001</v>
      </c>
      <c r="E197" s="15">
        <v>681</v>
      </c>
      <c r="F197">
        <v>48.167539300000001</v>
      </c>
      <c r="G197">
        <v>15</v>
      </c>
      <c r="H197">
        <f t="shared" si="9"/>
        <v>0</v>
      </c>
      <c r="I197">
        <f>F197*C197</f>
        <v>0</v>
      </c>
      <c r="J197">
        <f t="shared" si="11"/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</v>
      </c>
    </row>
    <row r="198" spans="1:45" x14ac:dyDescent="0.2">
      <c r="A198" t="s">
        <v>51</v>
      </c>
      <c r="B198">
        <v>1992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</row>
    <row r="199" spans="1:45" x14ac:dyDescent="0.2">
      <c r="A199" t="s">
        <v>51</v>
      </c>
      <c r="B199">
        <v>1993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45" x14ac:dyDescent="0.2">
      <c r="A200" t="s">
        <v>51</v>
      </c>
      <c r="B200">
        <v>1994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45" x14ac:dyDescent="0.2">
      <c r="A201" t="s">
        <v>51</v>
      </c>
      <c r="B201">
        <v>1995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45" x14ac:dyDescent="0.2">
      <c r="A202" t="s">
        <v>51</v>
      </c>
      <c r="B202">
        <v>1996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45" x14ac:dyDescent="0.2">
      <c r="A203" t="s">
        <v>51</v>
      </c>
      <c r="B203">
        <v>1997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45" x14ac:dyDescent="0.2">
      <c r="A204" t="s">
        <v>51</v>
      </c>
      <c r="B204">
        <v>1998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45" x14ac:dyDescent="0.2">
      <c r="A205" t="s">
        <v>51</v>
      </c>
      <c r="B205">
        <v>1999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45" x14ac:dyDescent="0.2">
      <c r="A206" t="s">
        <v>51</v>
      </c>
      <c r="B206">
        <v>2000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45" x14ac:dyDescent="0.2">
      <c r="A207" t="s">
        <v>51</v>
      </c>
      <c r="B207">
        <v>2001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45" x14ac:dyDescent="0.2">
      <c r="A208" t="s">
        <v>51</v>
      </c>
      <c r="B208">
        <v>2002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2">
      <c r="A209" t="s">
        <v>51</v>
      </c>
      <c r="B209">
        <v>2003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2">
      <c r="A210" t="s">
        <v>51</v>
      </c>
      <c r="B210">
        <v>2004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2">
      <c r="A211" t="s">
        <v>51</v>
      </c>
      <c r="B211">
        <v>2005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x14ac:dyDescent="0.2">
      <c r="A212" t="s">
        <v>51</v>
      </c>
      <c r="B212">
        <v>2006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x14ac:dyDescent="0.2">
      <c r="A213" t="s">
        <v>51</v>
      </c>
      <c r="B213">
        <v>2007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2">
      <c r="A214" t="s">
        <v>51</v>
      </c>
      <c r="B214">
        <v>2008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x14ac:dyDescent="0.2">
      <c r="A215" t="s">
        <v>51</v>
      </c>
      <c r="B215">
        <v>2009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2">
      <c r="A216" t="s">
        <v>51</v>
      </c>
      <c r="B216">
        <v>2010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x14ac:dyDescent="0.2">
      <c r="A217" t="s">
        <v>51</v>
      </c>
      <c r="B217">
        <v>2011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x14ac:dyDescent="0.2">
      <c r="A218" t="s">
        <v>51</v>
      </c>
      <c r="B218">
        <v>2012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2">
      <c r="A219" t="s">
        <v>51</v>
      </c>
      <c r="B219">
        <v>2013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2">
      <c r="A220" t="s">
        <v>51</v>
      </c>
      <c r="B220">
        <v>2014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x14ac:dyDescent="0.2">
      <c r="A221" t="s">
        <v>51</v>
      </c>
      <c r="B221">
        <v>2015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2">
      <c r="A222" t="s">
        <v>51</v>
      </c>
      <c r="B222">
        <v>2016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2">
      <c r="A223" t="s">
        <v>51</v>
      </c>
      <c r="B223">
        <v>2017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x14ac:dyDescent="0.2">
      <c r="A224" t="s">
        <v>51</v>
      </c>
      <c r="B224">
        <v>2018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2">
      <c r="A225" t="s">
        <v>51</v>
      </c>
      <c r="B225">
        <v>2019</v>
      </c>
      <c r="D225">
        <f>268.65/8</f>
        <v>33.581249999999997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2">
      <c r="A226" t="s">
        <v>52</v>
      </c>
      <c r="B226">
        <v>1992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</v>
      </c>
    </row>
    <row r="227" spans="1:18" x14ac:dyDescent="0.2">
      <c r="A227" t="s">
        <v>52</v>
      </c>
      <c r="B227">
        <v>1993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2">
      <c r="A228" t="s">
        <v>52</v>
      </c>
      <c r="B228">
        <v>1994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x14ac:dyDescent="0.2">
      <c r="A229" t="s">
        <v>52</v>
      </c>
      <c r="B229">
        <v>1995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x14ac:dyDescent="0.2">
      <c r="A230" t="s">
        <v>52</v>
      </c>
      <c r="B230">
        <v>1996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x14ac:dyDescent="0.2">
      <c r="A231" t="s">
        <v>52</v>
      </c>
      <c r="B231">
        <v>1997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2">
      <c r="A232" t="s">
        <v>52</v>
      </c>
      <c r="B232">
        <v>1998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2">
      <c r="A233" t="s">
        <v>52</v>
      </c>
      <c r="B233">
        <v>1999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2">
      <c r="A234" t="s">
        <v>52</v>
      </c>
      <c r="B234">
        <v>2000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x14ac:dyDescent="0.2">
      <c r="A235" t="s">
        <v>52</v>
      </c>
      <c r="B235">
        <v>2001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2">
      <c r="A236" t="s">
        <v>52</v>
      </c>
      <c r="B236">
        <v>2002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x14ac:dyDescent="0.2">
      <c r="A237" t="s">
        <v>52</v>
      </c>
      <c r="B237">
        <v>2003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x14ac:dyDescent="0.2">
      <c r="A238" t="s">
        <v>52</v>
      </c>
      <c r="B238">
        <v>2004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x14ac:dyDescent="0.2">
      <c r="A239" t="s">
        <v>52</v>
      </c>
      <c r="B239">
        <v>2005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x14ac:dyDescent="0.2">
      <c r="A240" t="s">
        <v>52</v>
      </c>
      <c r="B240">
        <v>2006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x14ac:dyDescent="0.2">
      <c r="A241" t="s">
        <v>52</v>
      </c>
      <c r="B241">
        <v>2007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x14ac:dyDescent="0.2">
      <c r="A242" t="s">
        <v>52</v>
      </c>
      <c r="B242">
        <v>2008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x14ac:dyDescent="0.2">
      <c r="A243" t="s">
        <v>52</v>
      </c>
      <c r="B243">
        <v>2009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x14ac:dyDescent="0.2">
      <c r="A244" t="s">
        <v>52</v>
      </c>
      <c r="B244">
        <v>2010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x14ac:dyDescent="0.2">
      <c r="A245" t="s">
        <v>52</v>
      </c>
      <c r="B245">
        <v>2011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2">
      <c r="A246" t="s">
        <v>52</v>
      </c>
      <c r="B246">
        <v>2012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x14ac:dyDescent="0.2">
      <c r="A247" t="s">
        <v>52</v>
      </c>
      <c r="B247">
        <v>2013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2">
      <c r="A248" t="s">
        <v>52</v>
      </c>
      <c r="B248">
        <v>2014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2">
      <c r="A249" t="s">
        <v>52</v>
      </c>
      <c r="B249">
        <v>2015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x14ac:dyDescent="0.2">
      <c r="A250" t="s">
        <v>52</v>
      </c>
      <c r="B250">
        <v>2016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x14ac:dyDescent="0.2">
      <c r="A251" t="s">
        <v>52</v>
      </c>
      <c r="B251">
        <v>2017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x14ac:dyDescent="0.2">
      <c r="A252" t="s">
        <v>52</v>
      </c>
      <c r="B252">
        <v>2018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x14ac:dyDescent="0.2">
      <c r="A253" t="s">
        <v>52</v>
      </c>
      <c r="B253">
        <v>2019</v>
      </c>
      <c r="D253">
        <f>319.95/9</f>
        <v>35.549999999999997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x14ac:dyDescent="0.2">
      <c r="A254" t="s">
        <v>53</v>
      </c>
      <c r="B254">
        <v>1992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</row>
    <row r="255" spans="1:18" x14ac:dyDescent="0.2">
      <c r="A255" t="s">
        <v>53</v>
      </c>
      <c r="B255">
        <v>1993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x14ac:dyDescent="0.2">
      <c r="A256" t="s">
        <v>53</v>
      </c>
      <c r="B256">
        <v>1994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x14ac:dyDescent="0.2">
      <c r="A257" t="s">
        <v>53</v>
      </c>
      <c r="B257">
        <v>1995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x14ac:dyDescent="0.2">
      <c r="A258" t="s">
        <v>53</v>
      </c>
      <c r="B258">
        <v>1996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x14ac:dyDescent="0.2">
      <c r="A259" t="s">
        <v>53</v>
      </c>
      <c r="B259">
        <v>1997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x14ac:dyDescent="0.2">
      <c r="A260" t="s">
        <v>53</v>
      </c>
      <c r="B260">
        <v>1998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x14ac:dyDescent="0.2">
      <c r="A261" t="s">
        <v>53</v>
      </c>
      <c r="B261">
        <v>1999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x14ac:dyDescent="0.2">
      <c r="A262" t="s">
        <v>53</v>
      </c>
      <c r="B262">
        <v>2000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2">
      <c r="A263" t="s">
        <v>53</v>
      </c>
      <c r="B263">
        <v>2001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x14ac:dyDescent="0.2">
      <c r="A264" t="s">
        <v>53</v>
      </c>
      <c r="B264">
        <v>2002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x14ac:dyDescent="0.2">
      <c r="A265" t="s">
        <v>53</v>
      </c>
      <c r="B265">
        <v>2003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2">
      <c r="A266" t="s">
        <v>53</v>
      </c>
      <c r="B266">
        <v>2004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x14ac:dyDescent="0.2">
      <c r="A267" t="s">
        <v>53</v>
      </c>
      <c r="B267">
        <v>2005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x14ac:dyDescent="0.2">
      <c r="A268" t="s">
        <v>53</v>
      </c>
      <c r="B268">
        <v>2006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x14ac:dyDescent="0.2">
      <c r="A269" t="s">
        <v>53</v>
      </c>
      <c r="B269">
        <v>2007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x14ac:dyDescent="0.2">
      <c r="A270" t="s">
        <v>53</v>
      </c>
      <c r="B270">
        <v>2008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x14ac:dyDescent="0.2">
      <c r="A271" t="s">
        <v>53</v>
      </c>
      <c r="B271">
        <v>2009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x14ac:dyDescent="0.2">
      <c r="A272" t="s">
        <v>53</v>
      </c>
      <c r="B272">
        <v>2010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x14ac:dyDescent="0.2">
      <c r="A273" t="s">
        <v>53</v>
      </c>
      <c r="B273">
        <v>2011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x14ac:dyDescent="0.2">
      <c r="A274" t="s">
        <v>53</v>
      </c>
      <c r="B274">
        <v>2012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x14ac:dyDescent="0.2">
      <c r="A275" t="s">
        <v>53</v>
      </c>
      <c r="B275">
        <v>2013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x14ac:dyDescent="0.2">
      <c r="A276" t="s">
        <v>53</v>
      </c>
      <c r="B276">
        <v>2014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x14ac:dyDescent="0.2">
      <c r="A277" t="s">
        <v>53</v>
      </c>
      <c r="B277">
        <v>2015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x14ac:dyDescent="0.2">
      <c r="A278" t="s">
        <v>53</v>
      </c>
      <c r="B278">
        <v>2016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x14ac:dyDescent="0.2">
      <c r="A279" t="s">
        <v>53</v>
      </c>
      <c r="B279">
        <v>2017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x14ac:dyDescent="0.2">
      <c r="A280" t="s">
        <v>53</v>
      </c>
      <c r="B280">
        <v>2018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2">
      <c r="A281" t="s">
        <v>53</v>
      </c>
      <c r="B281">
        <v>2019</v>
      </c>
      <c r="D281">
        <f>222.62/10</f>
        <v>22.262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">
      <c r="A282" t="s">
        <v>54</v>
      </c>
      <c r="B282">
        <v>1992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8" x14ac:dyDescent="0.2">
      <c r="A283" t="s">
        <v>54</v>
      </c>
      <c r="B283">
        <v>1993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</row>
    <row r="284" spans="1:18" x14ac:dyDescent="0.2">
      <c r="A284" t="s">
        <v>54</v>
      </c>
      <c r="B284">
        <v>1994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">
      <c r="A285" t="s">
        <v>54</v>
      </c>
      <c r="B285">
        <v>1995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">
      <c r="A286" t="s">
        <v>54</v>
      </c>
      <c r="B286">
        <v>1996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">
      <c r="A287" t="s">
        <v>54</v>
      </c>
      <c r="B287">
        <v>1997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">
      <c r="A288" t="s">
        <v>54</v>
      </c>
      <c r="B288">
        <v>1998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">
      <c r="A289" t="s">
        <v>54</v>
      </c>
      <c r="B289">
        <v>1999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">
      <c r="A290" t="s">
        <v>54</v>
      </c>
      <c r="B290">
        <v>2000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">
      <c r="A291" t="s">
        <v>54</v>
      </c>
      <c r="B291">
        <v>2001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">
      <c r="A292" t="s">
        <v>54</v>
      </c>
      <c r="B292">
        <v>2002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2">
      <c r="A293" t="s">
        <v>54</v>
      </c>
      <c r="B293">
        <v>2003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2">
      <c r="A294" t="s">
        <v>54</v>
      </c>
      <c r="B294">
        <v>2004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">
      <c r="A295" t="s">
        <v>54</v>
      </c>
      <c r="B295">
        <v>2005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2">
      <c r="A296" t="s">
        <v>54</v>
      </c>
      <c r="B296">
        <v>2006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">
      <c r="A297" t="s">
        <v>54</v>
      </c>
      <c r="B297">
        <v>2007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">
      <c r="A298" t="s">
        <v>54</v>
      </c>
      <c r="B298">
        <v>2008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2">
      <c r="A299" t="s">
        <v>54</v>
      </c>
      <c r="B299">
        <v>2009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2">
      <c r="A300" t="s">
        <v>54</v>
      </c>
      <c r="B300">
        <v>2010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">
      <c r="A301" t="s">
        <v>54</v>
      </c>
      <c r="B301">
        <v>2011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2">
      <c r="A302" t="s">
        <v>54</v>
      </c>
      <c r="B302">
        <v>2012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">
      <c r="A303" t="s">
        <v>54</v>
      </c>
      <c r="B303">
        <v>2013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2">
      <c r="A304" t="s">
        <v>54</v>
      </c>
      <c r="B304">
        <v>2014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">
      <c r="A305" t="s">
        <v>54</v>
      </c>
      <c r="B305">
        <v>2015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">
      <c r="A306" t="s">
        <v>54</v>
      </c>
      <c r="B306">
        <v>2016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2">
      <c r="A307" t="s">
        <v>54</v>
      </c>
      <c r="B307">
        <v>2017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">
      <c r="A308" t="s">
        <v>54</v>
      </c>
      <c r="B308">
        <v>2018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">
      <c r="A309" t="s">
        <v>54</v>
      </c>
      <c r="B309">
        <v>2019</v>
      </c>
      <c r="D309">
        <f>160.86/17</f>
        <v>9.4623529411764711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2">
      <c r="A310" t="s">
        <v>55</v>
      </c>
      <c r="B310">
        <v>1992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</v>
      </c>
    </row>
    <row r="311" spans="1:18" x14ac:dyDescent="0.2">
      <c r="A311" t="s">
        <v>55</v>
      </c>
      <c r="B311">
        <v>1993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">
      <c r="A312" t="s">
        <v>55</v>
      </c>
      <c r="B312">
        <v>1994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">
      <c r="A313" t="s">
        <v>55</v>
      </c>
      <c r="B313">
        <v>1995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">
      <c r="A314" t="s">
        <v>55</v>
      </c>
      <c r="B314">
        <v>1996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">
      <c r="A315" t="s">
        <v>55</v>
      </c>
      <c r="B315">
        <v>1997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2">
      <c r="A316" t="s">
        <v>55</v>
      </c>
      <c r="B316">
        <v>1998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2">
      <c r="A317" t="s">
        <v>55</v>
      </c>
      <c r="B317">
        <v>1999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">
      <c r="A318" t="s">
        <v>55</v>
      </c>
      <c r="B318">
        <v>2000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2">
      <c r="A319" t="s">
        <v>55</v>
      </c>
      <c r="B319">
        <v>2001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2">
      <c r="A320" t="s">
        <v>55</v>
      </c>
      <c r="B320">
        <v>2002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">
      <c r="A321" t="s">
        <v>55</v>
      </c>
      <c r="B321">
        <v>2003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">
      <c r="A322" t="s">
        <v>55</v>
      </c>
      <c r="B322">
        <v>2004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">
      <c r="A323" t="s">
        <v>55</v>
      </c>
      <c r="B323">
        <v>2005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2">
      <c r="A324" t="s">
        <v>55</v>
      </c>
      <c r="B324">
        <v>2006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">
      <c r="A325" t="s">
        <v>55</v>
      </c>
      <c r="B325">
        <v>2007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">
      <c r="A326" t="s">
        <v>55</v>
      </c>
      <c r="B326">
        <v>2008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2">
      <c r="A327" t="s">
        <v>55</v>
      </c>
      <c r="B327">
        <v>2009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2">
      <c r="A328" t="s">
        <v>55</v>
      </c>
      <c r="B328">
        <v>2010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2">
      <c r="A329" t="s">
        <v>55</v>
      </c>
      <c r="B329">
        <v>2011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2">
      <c r="A330" t="s">
        <v>55</v>
      </c>
      <c r="B330">
        <v>2012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2">
      <c r="A331" t="s">
        <v>55</v>
      </c>
      <c r="B331">
        <v>2013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2">
      <c r="A332" t="s">
        <v>55</v>
      </c>
      <c r="B332">
        <v>2014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">
      <c r="A333" t="s">
        <v>55</v>
      </c>
      <c r="B333">
        <v>2015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2">
      <c r="A334" t="s">
        <v>55</v>
      </c>
      <c r="B334">
        <v>2016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2">
      <c r="A335" t="s">
        <v>55</v>
      </c>
      <c r="B335">
        <v>2017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">
      <c r="A336" t="s">
        <v>55</v>
      </c>
      <c r="B336">
        <v>2018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">
      <c r="A337" t="s">
        <v>55</v>
      </c>
      <c r="B337">
        <v>2019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2">
      <c r="A338" t="s">
        <v>56</v>
      </c>
      <c r="B338">
        <v>1992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</row>
    <row r="339" spans="1:18" x14ac:dyDescent="0.2">
      <c r="A339" t="s">
        <v>56</v>
      </c>
      <c r="B339">
        <v>1993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2">
      <c r="A340" t="s">
        <v>56</v>
      </c>
      <c r="B340">
        <v>1994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">
      <c r="A341" t="s">
        <v>56</v>
      </c>
      <c r="B341">
        <v>1995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">
      <c r="A342" t="s">
        <v>56</v>
      </c>
      <c r="B342">
        <v>1996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2">
      <c r="A343" t="s">
        <v>56</v>
      </c>
      <c r="B343">
        <v>1997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2">
      <c r="A344" t="s">
        <v>56</v>
      </c>
      <c r="B344">
        <v>1998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">
      <c r="A345" t="s">
        <v>56</v>
      </c>
      <c r="B345">
        <v>1999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">
      <c r="A346" t="s">
        <v>56</v>
      </c>
      <c r="B346">
        <v>2000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2">
      <c r="A347" t="s">
        <v>56</v>
      </c>
      <c r="B347">
        <v>2001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">
      <c r="A348" t="s">
        <v>56</v>
      </c>
      <c r="B348">
        <v>2002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2">
      <c r="A349" t="s">
        <v>56</v>
      </c>
      <c r="B349">
        <v>2003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">
      <c r="A350" t="s">
        <v>56</v>
      </c>
      <c r="B350">
        <v>2004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2">
      <c r="A351" t="s">
        <v>56</v>
      </c>
      <c r="B351">
        <v>2005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2">
      <c r="A352" t="s">
        <v>56</v>
      </c>
      <c r="B352">
        <v>2006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2">
      <c r="A353" t="s">
        <v>56</v>
      </c>
      <c r="B353">
        <v>2007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2">
      <c r="A354" t="s">
        <v>56</v>
      </c>
      <c r="B354">
        <v>2008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2">
      <c r="A355" t="s">
        <v>56</v>
      </c>
      <c r="B355">
        <v>2009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">
      <c r="A356" t="s">
        <v>56</v>
      </c>
      <c r="B356">
        <v>2010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">
      <c r="A357" t="s">
        <v>56</v>
      </c>
      <c r="B357">
        <v>2011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">
      <c r="A358" t="s">
        <v>56</v>
      </c>
      <c r="B358">
        <v>2012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">
      <c r="A359" t="s">
        <v>56</v>
      </c>
      <c r="B359">
        <v>2013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2">
      <c r="A360" t="s">
        <v>56</v>
      </c>
      <c r="B360">
        <v>2014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2">
      <c r="A361" t="s">
        <v>56</v>
      </c>
      <c r="B361">
        <v>2015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">
      <c r="A362" t="s">
        <v>56</v>
      </c>
      <c r="B362">
        <v>2016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">
      <c r="A363" t="s">
        <v>56</v>
      </c>
      <c r="B363">
        <v>2017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">
      <c r="A364" t="s">
        <v>56</v>
      </c>
      <c r="B364">
        <v>2018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">
      <c r="A365" t="s">
        <v>56</v>
      </c>
      <c r="B365">
        <v>2019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2">
      <c r="A366" t="s">
        <v>57</v>
      </c>
      <c r="B366">
        <v>1992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</v>
      </c>
    </row>
    <row r="367" spans="1:18" x14ac:dyDescent="0.2">
      <c r="A367" t="s">
        <v>57</v>
      </c>
      <c r="B367">
        <v>1993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">
      <c r="A368" t="s">
        <v>57</v>
      </c>
      <c r="B368">
        <v>1994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2">
      <c r="A369" t="s">
        <v>57</v>
      </c>
      <c r="B369">
        <v>1995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">
      <c r="A370" t="s">
        <v>57</v>
      </c>
      <c r="B370">
        <v>1996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">
      <c r="A371" t="s">
        <v>57</v>
      </c>
      <c r="B371">
        <v>1997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">
      <c r="A372" t="s">
        <v>57</v>
      </c>
      <c r="B372">
        <v>1998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2">
      <c r="A373" t="s">
        <v>57</v>
      </c>
      <c r="B373">
        <v>1999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">
      <c r="A374" t="s">
        <v>57</v>
      </c>
      <c r="B374">
        <v>2000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2">
      <c r="A375" t="s">
        <v>57</v>
      </c>
      <c r="B375">
        <v>2001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2">
      <c r="A376" t="s">
        <v>57</v>
      </c>
      <c r="B376">
        <v>2002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2">
      <c r="A377" t="s">
        <v>57</v>
      </c>
      <c r="B377">
        <v>2003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2">
      <c r="A378" t="s">
        <v>57</v>
      </c>
      <c r="B378">
        <v>2004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">
      <c r="A379" t="s">
        <v>57</v>
      </c>
      <c r="B379">
        <v>2005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">
      <c r="A380" t="s">
        <v>57</v>
      </c>
      <c r="B380">
        <v>2006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 x14ac:dyDescent="0.2">
      <c r="A381" t="s">
        <v>57</v>
      </c>
      <c r="B381">
        <v>2007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 x14ac:dyDescent="0.2">
      <c r="A382" t="s">
        <v>57</v>
      </c>
      <c r="B382">
        <v>2008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 x14ac:dyDescent="0.2">
      <c r="A383" t="s">
        <v>57</v>
      </c>
      <c r="B383">
        <v>2009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 x14ac:dyDescent="0.2">
      <c r="A384" t="s">
        <v>57</v>
      </c>
      <c r="B384">
        <v>2010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 x14ac:dyDescent="0.2">
      <c r="A385" t="s">
        <v>57</v>
      </c>
      <c r="B385">
        <v>2011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 x14ac:dyDescent="0.2">
      <c r="A386" t="s">
        <v>57</v>
      </c>
      <c r="B386">
        <v>2012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 x14ac:dyDescent="0.2">
      <c r="A387" t="s">
        <v>57</v>
      </c>
      <c r="B387">
        <v>2013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 x14ac:dyDescent="0.2">
      <c r="A388" t="s">
        <v>57</v>
      </c>
      <c r="B388">
        <v>2014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 x14ac:dyDescent="0.2">
      <c r="A389" t="s">
        <v>57</v>
      </c>
      <c r="B389">
        <v>2015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 x14ac:dyDescent="0.2">
      <c r="A390" t="s">
        <v>57</v>
      </c>
      <c r="B390">
        <v>2016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 x14ac:dyDescent="0.2">
      <c r="A391" t="s">
        <v>57</v>
      </c>
      <c r="B391">
        <v>2017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 x14ac:dyDescent="0.2">
      <c r="A392" t="s">
        <v>57</v>
      </c>
      <c r="B392">
        <v>2018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 x14ac:dyDescent="0.2">
      <c r="A393" t="s">
        <v>57</v>
      </c>
      <c r="B393">
        <v>2019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 x14ac:dyDescent="0.2">
      <c r="A394" t="s">
        <v>58</v>
      </c>
      <c r="B394">
        <v>1992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</row>
    <row r="395" spans="1:18" x14ac:dyDescent="0.2">
      <c r="A395" t="s">
        <v>58</v>
      </c>
      <c r="B395">
        <v>1993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 x14ac:dyDescent="0.2">
      <c r="A396" t="s">
        <v>58</v>
      </c>
      <c r="B396">
        <v>1994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 x14ac:dyDescent="0.2">
      <c r="A397" t="s">
        <v>58</v>
      </c>
      <c r="B397">
        <v>1995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 x14ac:dyDescent="0.2">
      <c r="A398" t="s">
        <v>58</v>
      </c>
      <c r="B398">
        <v>1996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 x14ac:dyDescent="0.2">
      <c r="A399" t="s">
        <v>58</v>
      </c>
      <c r="B399">
        <v>1997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 x14ac:dyDescent="0.2">
      <c r="A400" t="s">
        <v>58</v>
      </c>
      <c r="B400">
        <v>1998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 x14ac:dyDescent="0.2">
      <c r="A401" t="s">
        <v>58</v>
      </c>
      <c r="B401">
        <v>1999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 x14ac:dyDescent="0.2">
      <c r="A402" t="s">
        <v>58</v>
      </c>
      <c r="B402">
        <v>2000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 x14ac:dyDescent="0.2">
      <c r="A403" t="s">
        <v>58</v>
      </c>
      <c r="B403">
        <v>2001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 x14ac:dyDescent="0.2">
      <c r="A404" t="s">
        <v>58</v>
      </c>
      <c r="B404">
        <v>2002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 x14ac:dyDescent="0.2">
      <c r="A405" t="s">
        <v>58</v>
      </c>
      <c r="B405">
        <v>2003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x14ac:dyDescent="0.2">
      <c r="A406" t="s">
        <v>58</v>
      </c>
      <c r="B406">
        <v>2004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 x14ac:dyDescent="0.2">
      <c r="A407" t="s">
        <v>58</v>
      </c>
      <c r="B407">
        <v>2005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 x14ac:dyDescent="0.2">
      <c r="A408" t="s">
        <v>58</v>
      </c>
      <c r="B408">
        <v>2006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 x14ac:dyDescent="0.2">
      <c r="A409" t="s">
        <v>58</v>
      </c>
      <c r="B409">
        <v>2007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 x14ac:dyDescent="0.2">
      <c r="A410" t="s">
        <v>58</v>
      </c>
      <c r="B410">
        <v>2008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 x14ac:dyDescent="0.2">
      <c r="A411" t="s">
        <v>58</v>
      </c>
      <c r="B411">
        <v>2009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 x14ac:dyDescent="0.2">
      <c r="A412" t="s">
        <v>58</v>
      </c>
      <c r="B412">
        <v>2010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 x14ac:dyDescent="0.2">
      <c r="A413" t="s">
        <v>58</v>
      </c>
      <c r="B413">
        <v>2011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 x14ac:dyDescent="0.2">
      <c r="A414" t="s">
        <v>58</v>
      </c>
      <c r="B414">
        <v>2012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 x14ac:dyDescent="0.2">
      <c r="A415" t="s">
        <v>58</v>
      </c>
      <c r="B415">
        <v>2013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 x14ac:dyDescent="0.2">
      <c r="A416" t="s">
        <v>58</v>
      </c>
      <c r="B416">
        <v>2014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 x14ac:dyDescent="0.2">
      <c r="A417" t="s">
        <v>58</v>
      </c>
      <c r="B417">
        <v>2015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 x14ac:dyDescent="0.2">
      <c r="A418" t="s">
        <v>58</v>
      </c>
      <c r="B418">
        <v>2016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 x14ac:dyDescent="0.2">
      <c r="A419" t="s">
        <v>58</v>
      </c>
      <c r="B419">
        <v>2017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 x14ac:dyDescent="0.2">
      <c r="A420" t="s">
        <v>58</v>
      </c>
      <c r="B420">
        <v>2018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 x14ac:dyDescent="0.2">
      <c r="A421" t="s">
        <v>58</v>
      </c>
      <c r="B421">
        <v>2019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 x14ac:dyDescent="0.2">
      <c r="A422" t="s">
        <v>59</v>
      </c>
      <c r="B422">
        <v>1992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</row>
    <row r="423" spans="1:18" x14ac:dyDescent="0.2">
      <c r="A423" t="s">
        <v>59</v>
      </c>
      <c r="B423">
        <v>1993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 x14ac:dyDescent="0.2">
      <c r="A424" t="s">
        <v>59</v>
      </c>
      <c r="B424">
        <v>1994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2">
      <c r="A425" t="s">
        <v>59</v>
      </c>
      <c r="B425">
        <v>1995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 x14ac:dyDescent="0.2">
      <c r="A426" t="s">
        <v>59</v>
      </c>
      <c r="B426">
        <v>1996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 x14ac:dyDescent="0.2">
      <c r="A427" t="s">
        <v>59</v>
      </c>
      <c r="B427">
        <v>1997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 x14ac:dyDescent="0.2">
      <c r="A428" t="s">
        <v>59</v>
      </c>
      <c r="B428">
        <v>1998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 x14ac:dyDescent="0.2">
      <c r="A429" t="s">
        <v>59</v>
      </c>
      <c r="B429">
        <v>1999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 x14ac:dyDescent="0.2">
      <c r="A430" t="s">
        <v>59</v>
      </c>
      <c r="B430">
        <v>2000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 x14ac:dyDescent="0.2">
      <c r="A431" t="s">
        <v>59</v>
      </c>
      <c r="B431">
        <v>2001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 x14ac:dyDescent="0.2">
      <c r="A432" t="s">
        <v>59</v>
      </c>
      <c r="B432">
        <v>2002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 x14ac:dyDescent="0.2">
      <c r="A433" t="s">
        <v>59</v>
      </c>
      <c r="B433">
        <v>2003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 x14ac:dyDescent="0.2">
      <c r="A434" t="s">
        <v>59</v>
      </c>
      <c r="B434">
        <v>2004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 x14ac:dyDescent="0.2">
      <c r="A435" t="s">
        <v>59</v>
      </c>
      <c r="B435">
        <v>2005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 x14ac:dyDescent="0.2">
      <c r="A436" t="s">
        <v>59</v>
      </c>
      <c r="B436">
        <v>2006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 x14ac:dyDescent="0.2">
      <c r="A437" t="s">
        <v>59</v>
      </c>
      <c r="B437">
        <v>2007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 x14ac:dyDescent="0.2">
      <c r="A438" t="s">
        <v>59</v>
      </c>
      <c r="B438">
        <v>2008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 x14ac:dyDescent="0.2">
      <c r="A439" t="s">
        <v>59</v>
      </c>
      <c r="B439">
        <v>2009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 x14ac:dyDescent="0.2">
      <c r="A440" t="s">
        <v>59</v>
      </c>
      <c r="B440">
        <v>2010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 x14ac:dyDescent="0.2">
      <c r="A441" t="s">
        <v>59</v>
      </c>
      <c r="B441">
        <v>2011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 x14ac:dyDescent="0.2">
      <c r="A442" t="s">
        <v>59</v>
      </c>
      <c r="B442">
        <v>2012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 x14ac:dyDescent="0.2">
      <c r="A443" t="s">
        <v>59</v>
      </c>
      <c r="B443">
        <v>2013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 x14ac:dyDescent="0.2">
      <c r="A444" t="s">
        <v>59</v>
      </c>
      <c r="B444">
        <v>2014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 x14ac:dyDescent="0.2">
      <c r="A445" t="s">
        <v>59</v>
      </c>
      <c r="B445">
        <v>2015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 x14ac:dyDescent="0.2">
      <c r="A446" t="s">
        <v>59</v>
      </c>
      <c r="B446">
        <v>2016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 x14ac:dyDescent="0.2">
      <c r="A447" t="s">
        <v>59</v>
      </c>
      <c r="B447">
        <v>2017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 x14ac:dyDescent="0.2">
      <c r="A448" t="s">
        <v>59</v>
      </c>
      <c r="B448">
        <v>2018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 x14ac:dyDescent="0.2">
      <c r="A449" t="s">
        <v>59</v>
      </c>
      <c r="B449">
        <v>2019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 x14ac:dyDescent="0.2">
      <c r="A450" t="s">
        <v>60</v>
      </c>
      <c r="B450">
        <v>1992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1</v>
      </c>
    </row>
    <row r="451" spans="1:18" x14ac:dyDescent="0.2">
      <c r="A451" t="s">
        <v>60</v>
      </c>
      <c r="B451">
        <v>1993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 x14ac:dyDescent="0.2">
      <c r="A452" t="s">
        <v>60</v>
      </c>
      <c r="B452">
        <v>1994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 x14ac:dyDescent="0.2">
      <c r="A453" t="s">
        <v>60</v>
      </c>
      <c r="B453">
        <v>1995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 x14ac:dyDescent="0.2">
      <c r="A454" t="s">
        <v>60</v>
      </c>
      <c r="B454">
        <v>1996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 x14ac:dyDescent="0.2">
      <c r="A455" t="s">
        <v>60</v>
      </c>
      <c r="B455">
        <v>1997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 x14ac:dyDescent="0.2">
      <c r="A456" t="s">
        <v>60</v>
      </c>
      <c r="B456">
        <v>1998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 x14ac:dyDescent="0.2">
      <c r="A457" t="s">
        <v>60</v>
      </c>
      <c r="B457">
        <v>1999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 x14ac:dyDescent="0.2">
      <c r="A458" t="s">
        <v>60</v>
      </c>
      <c r="B458">
        <v>2000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 x14ac:dyDescent="0.2">
      <c r="A459" t="s">
        <v>60</v>
      </c>
      <c r="B459">
        <v>2001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 x14ac:dyDescent="0.2">
      <c r="A460" t="s">
        <v>60</v>
      </c>
      <c r="B460">
        <v>2002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 x14ac:dyDescent="0.2">
      <c r="A461" t="s">
        <v>60</v>
      </c>
      <c r="B461">
        <v>2003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 x14ac:dyDescent="0.2">
      <c r="A462" t="s">
        <v>60</v>
      </c>
      <c r="B462">
        <v>2004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 x14ac:dyDescent="0.2">
      <c r="A463" t="s">
        <v>60</v>
      </c>
      <c r="B463">
        <v>2005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 x14ac:dyDescent="0.2">
      <c r="A464" t="s">
        <v>60</v>
      </c>
      <c r="B464">
        <v>2006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2">
      <c r="A465" t="s">
        <v>60</v>
      </c>
      <c r="B465">
        <v>2007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 x14ac:dyDescent="0.2">
      <c r="A466" t="s">
        <v>60</v>
      </c>
      <c r="B466">
        <v>2008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 x14ac:dyDescent="0.2">
      <c r="A467" t="s">
        <v>60</v>
      </c>
      <c r="B467">
        <v>2009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 x14ac:dyDescent="0.2">
      <c r="A468" t="s">
        <v>60</v>
      </c>
      <c r="B468">
        <v>2010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 x14ac:dyDescent="0.2">
      <c r="A469" t="s">
        <v>60</v>
      </c>
      <c r="B469">
        <v>2011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 x14ac:dyDescent="0.2">
      <c r="A470" t="s">
        <v>60</v>
      </c>
      <c r="B470">
        <v>2012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 x14ac:dyDescent="0.2">
      <c r="A471" t="s">
        <v>60</v>
      </c>
      <c r="B471">
        <v>2013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 x14ac:dyDescent="0.2">
      <c r="A472" t="s">
        <v>60</v>
      </c>
      <c r="B472">
        <v>2014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 x14ac:dyDescent="0.2">
      <c r="A473" t="s">
        <v>60</v>
      </c>
      <c r="B473">
        <v>2015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 x14ac:dyDescent="0.2">
      <c r="A474" t="s">
        <v>60</v>
      </c>
      <c r="B474">
        <v>2016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 x14ac:dyDescent="0.2">
      <c r="A475" t="s">
        <v>60</v>
      </c>
      <c r="B475">
        <v>2017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 x14ac:dyDescent="0.2">
      <c r="A476" t="s">
        <v>60</v>
      </c>
      <c r="B476">
        <v>2018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 x14ac:dyDescent="0.2">
      <c r="A477" t="s">
        <v>60</v>
      </c>
      <c r="B477">
        <v>2019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 x14ac:dyDescent="0.2">
      <c r="A478" t="s">
        <v>61</v>
      </c>
      <c r="B478">
        <v>1992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1</v>
      </c>
    </row>
    <row r="479" spans="1:18" x14ac:dyDescent="0.2">
      <c r="A479" t="s">
        <v>61</v>
      </c>
      <c r="B479">
        <v>1993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 x14ac:dyDescent="0.2">
      <c r="A480" t="s">
        <v>61</v>
      </c>
      <c r="B480">
        <v>1994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 x14ac:dyDescent="0.2">
      <c r="A481" t="s">
        <v>61</v>
      </c>
      <c r="B481">
        <v>1995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 x14ac:dyDescent="0.2">
      <c r="A482" t="s">
        <v>61</v>
      </c>
      <c r="B482">
        <v>1996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 x14ac:dyDescent="0.2">
      <c r="A483" t="s">
        <v>61</v>
      </c>
      <c r="B483">
        <v>1997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 x14ac:dyDescent="0.2">
      <c r="A484" t="s">
        <v>61</v>
      </c>
      <c r="B484">
        <v>1998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 x14ac:dyDescent="0.2">
      <c r="A485" t="s">
        <v>61</v>
      </c>
      <c r="B485">
        <v>1999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 x14ac:dyDescent="0.2">
      <c r="A486" t="s">
        <v>61</v>
      </c>
      <c r="B486">
        <v>2000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 x14ac:dyDescent="0.2">
      <c r="A487" t="s">
        <v>61</v>
      </c>
      <c r="B487">
        <v>2001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 x14ac:dyDescent="0.2">
      <c r="A488" t="s">
        <v>61</v>
      </c>
      <c r="B488">
        <v>2002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 x14ac:dyDescent="0.2">
      <c r="A489" t="s">
        <v>61</v>
      </c>
      <c r="B489">
        <v>2003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</row>
    <row r="490" spans="1:18" x14ac:dyDescent="0.2">
      <c r="A490" t="s">
        <v>61</v>
      </c>
      <c r="B490">
        <v>2004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</row>
    <row r="491" spans="1:18" x14ac:dyDescent="0.2">
      <c r="A491" t="s">
        <v>61</v>
      </c>
      <c r="B491">
        <v>2005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 x14ac:dyDescent="0.2">
      <c r="A492" t="s">
        <v>61</v>
      </c>
      <c r="B492">
        <v>2006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 x14ac:dyDescent="0.2">
      <c r="A493" t="s">
        <v>61</v>
      </c>
      <c r="B493">
        <v>2007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 x14ac:dyDescent="0.2">
      <c r="A494" t="s">
        <v>61</v>
      </c>
      <c r="B494">
        <v>2008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 x14ac:dyDescent="0.2">
      <c r="A495" t="s">
        <v>61</v>
      </c>
      <c r="B495">
        <v>2009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</row>
    <row r="496" spans="1:18" x14ac:dyDescent="0.2">
      <c r="A496" t="s">
        <v>61</v>
      </c>
      <c r="B496">
        <v>2010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 x14ac:dyDescent="0.2">
      <c r="A497" t="s">
        <v>61</v>
      </c>
      <c r="B497">
        <v>2011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</row>
    <row r="498" spans="1:18" x14ac:dyDescent="0.2">
      <c r="A498" t="s">
        <v>61</v>
      </c>
      <c r="B498">
        <v>2012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 x14ac:dyDescent="0.2">
      <c r="A499" t="s">
        <v>61</v>
      </c>
      <c r="B499">
        <v>2013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 x14ac:dyDescent="0.2">
      <c r="A500" t="s">
        <v>61</v>
      </c>
      <c r="B500">
        <v>2014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 x14ac:dyDescent="0.2">
      <c r="A501" t="s">
        <v>61</v>
      </c>
      <c r="B501">
        <v>2015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 x14ac:dyDescent="0.2">
      <c r="A502" t="s">
        <v>61</v>
      </c>
      <c r="B502">
        <v>2016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 x14ac:dyDescent="0.2">
      <c r="A503" t="s">
        <v>61</v>
      </c>
      <c r="B503">
        <v>2017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 x14ac:dyDescent="0.2">
      <c r="A504" t="s">
        <v>61</v>
      </c>
      <c r="B504">
        <v>2018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</row>
    <row r="505" spans="1:18" x14ac:dyDescent="0.2">
      <c r="A505" t="s">
        <v>61</v>
      </c>
      <c r="B505">
        <v>2019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 x14ac:dyDescent="0.2">
      <c r="A506" t="s">
        <v>62</v>
      </c>
      <c r="B506">
        <v>1992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</v>
      </c>
    </row>
    <row r="507" spans="1:18" x14ac:dyDescent="0.2">
      <c r="A507" t="s">
        <v>62</v>
      </c>
      <c r="B507">
        <v>1993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 x14ac:dyDescent="0.2">
      <c r="A508" t="s">
        <v>62</v>
      </c>
      <c r="B508">
        <v>1994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 x14ac:dyDescent="0.2">
      <c r="A509" t="s">
        <v>62</v>
      </c>
      <c r="B509">
        <v>1995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 x14ac:dyDescent="0.2">
      <c r="A510" t="s">
        <v>62</v>
      </c>
      <c r="B510">
        <v>1996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 x14ac:dyDescent="0.2">
      <c r="A511" t="s">
        <v>62</v>
      </c>
      <c r="B511">
        <v>1997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 x14ac:dyDescent="0.2">
      <c r="A512" t="s">
        <v>62</v>
      </c>
      <c r="B512">
        <v>1998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 x14ac:dyDescent="0.2">
      <c r="A513" t="s">
        <v>62</v>
      </c>
      <c r="B513">
        <v>1999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 x14ac:dyDescent="0.2">
      <c r="A514" t="s">
        <v>62</v>
      </c>
      <c r="B514">
        <v>2000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 x14ac:dyDescent="0.2">
      <c r="A515" t="s">
        <v>62</v>
      </c>
      <c r="B515">
        <v>2001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 x14ac:dyDescent="0.2">
      <c r="A516" t="s">
        <v>62</v>
      </c>
      <c r="B516">
        <v>2002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 x14ac:dyDescent="0.2">
      <c r="A517" t="s">
        <v>62</v>
      </c>
      <c r="B517">
        <v>2003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 x14ac:dyDescent="0.2">
      <c r="A518" t="s">
        <v>62</v>
      </c>
      <c r="B518">
        <v>2004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 x14ac:dyDescent="0.2">
      <c r="A519" t="s">
        <v>62</v>
      </c>
      <c r="B519">
        <v>2005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 x14ac:dyDescent="0.2">
      <c r="A520" t="s">
        <v>62</v>
      </c>
      <c r="B520">
        <v>2006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 x14ac:dyDescent="0.2">
      <c r="A521" t="s">
        <v>62</v>
      </c>
      <c r="B521">
        <v>2007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 x14ac:dyDescent="0.2">
      <c r="A522" t="s">
        <v>62</v>
      </c>
      <c r="B522">
        <v>2008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 x14ac:dyDescent="0.2">
      <c r="A523" t="s">
        <v>62</v>
      </c>
      <c r="B523">
        <v>2009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 x14ac:dyDescent="0.2">
      <c r="A524" t="s">
        <v>62</v>
      </c>
      <c r="B524">
        <v>2010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 x14ac:dyDescent="0.2">
      <c r="A525" t="s">
        <v>62</v>
      </c>
      <c r="B525">
        <v>2011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 x14ac:dyDescent="0.2">
      <c r="A526" t="s">
        <v>62</v>
      </c>
      <c r="B526">
        <v>2012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 x14ac:dyDescent="0.2">
      <c r="A527" t="s">
        <v>62</v>
      </c>
      <c r="B527">
        <v>2013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 x14ac:dyDescent="0.2">
      <c r="A528" t="s">
        <v>62</v>
      </c>
      <c r="B528">
        <v>2014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 x14ac:dyDescent="0.2">
      <c r="A529" t="s">
        <v>62</v>
      </c>
      <c r="B529">
        <v>2015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 x14ac:dyDescent="0.2">
      <c r="A530" t="s">
        <v>62</v>
      </c>
      <c r="B530">
        <v>2016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 x14ac:dyDescent="0.2">
      <c r="A531" t="s">
        <v>62</v>
      </c>
      <c r="B531">
        <v>2017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 x14ac:dyDescent="0.2">
      <c r="A532" t="s">
        <v>62</v>
      </c>
      <c r="B532">
        <v>2018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 x14ac:dyDescent="0.2">
      <c r="A533" t="s">
        <v>62</v>
      </c>
      <c r="B533">
        <v>2019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 x14ac:dyDescent="0.2">
      <c r="A534" t="s">
        <v>63</v>
      </c>
      <c r="B534">
        <v>1992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</v>
      </c>
    </row>
    <row r="535" spans="1:18" x14ac:dyDescent="0.2">
      <c r="A535" t="s">
        <v>63</v>
      </c>
      <c r="B535">
        <v>1993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 x14ac:dyDescent="0.2">
      <c r="A536" t="s">
        <v>63</v>
      </c>
      <c r="B536">
        <v>1994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 x14ac:dyDescent="0.2">
      <c r="A537" t="s">
        <v>63</v>
      </c>
      <c r="B537">
        <v>1995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 x14ac:dyDescent="0.2">
      <c r="A538" t="s">
        <v>63</v>
      </c>
      <c r="B538">
        <v>1996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 x14ac:dyDescent="0.2">
      <c r="A539" t="s">
        <v>63</v>
      </c>
      <c r="B539">
        <v>1997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 x14ac:dyDescent="0.2">
      <c r="A540" t="s">
        <v>63</v>
      </c>
      <c r="B540">
        <v>1998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 x14ac:dyDescent="0.2">
      <c r="A541" t="s">
        <v>63</v>
      </c>
      <c r="B541">
        <v>1999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 x14ac:dyDescent="0.2">
      <c r="A542" t="s">
        <v>63</v>
      </c>
      <c r="B542">
        <v>2000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 x14ac:dyDescent="0.2">
      <c r="A543" t="s">
        <v>63</v>
      </c>
      <c r="B543">
        <v>2001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 x14ac:dyDescent="0.2">
      <c r="A544" t="s">
        <v>63</v>
      </c>
      <c r="B544">
        <v>2002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 x14ac:dyDescent="0.2">
      <c r="A545" t="s">
        <v>63</v>
      </c>
      <c r="B545">
        <v>2003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 x14ac:dyDescent="0.2">
      <c r="A546" t="s">
        <v>63</v>
      </c>
      <c r="B546">
        <v>2004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 x14ac:dyDescent="0.2">
      <c r="A547" t="s">
        <v>63</v>
      </c>
      <c r="B547">
        <v>2005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 x14ac:dyDescent="0.2">
      <c r="A548" t="s">
        <v>63</v>
      </c>
      <c r="B548">
        <v>2006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 x14ac:dyDescent="0.2">
      <c r="A549" t="s">
        <v>63</v>
      </c>
      <c r="B549">
        <v>2007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 x14ac:dyDescent="0.2">
      <c r="A550" t="s">
        <v>63</v>
      </c>
      <c r="B550">
        <v>2008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 x14ac:dyDescent="0.2">
      <c r="A551" t="s">
        <v>63</v>
      </c>
      <c r="B551">
        <v>2009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 x14ac:dyDescent="0.2">
      <c r="A552" t="s">
        <v>63</v>
      </c>
      <c r="B552">
        <v>2010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 x14ac:dyDescent="0.2">
      <c r="A553" t="s">
        <v>63</v>
      </c>
      <c r="B553">
        <v>2011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 x14ac:dyDescent="0.2">
      <c r="A554" t="s">
        <v>63</v>
      </c>
      <c r="B554">
        <v>2012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</row>
    <row r="555" spans="1:18" x14ac:dyDescent="0.2">
      <c r="A555" t="s">
        <v>63</v>
      </c>
      <c r="B555">
        <v>2013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</row>
    <row r="556" spans="1:18" x14ac:dyDescent="0.2">
      <c r="A556" t="s">
        <v>63</v>
      </c>
      <c r="B556">
        <v>2014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 x14ac:dyDescent="0.2">
      <c r="A557" t="s">
        <v>63</v>
      </c>
      <c r="B557">
        <v>2015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</row>
    <row r="558" spans="1:18" x14ac:dyDescent="0.2">
      <c r="A558" t="s">
        <v>63</v>
      </c>
      <c r="B558">
        <v>2016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 x14ac:dyDescent="0.2">
      <c r="A559" t="s">
        <v>63</v>
      </c>
      <c r="B559">
        <v>2017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</row>
    <row r="560" spans="1:18" x14ac:dyDescent="0.2">
      <c r="A560" t="s">
        <v>63</v>
      </c>
      <c r="B560">
        <v>2018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</row>
    <row r="561" spans="1:18" x14ac:dyDescent="0.2">
      <c r="A561" t="s">
        <v>63</v>
      </c>
      <c r="B561">
        <v>2019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</row>
    <row r="562" spans="1:18" x14ac:dyDescent="0.2">
      <c r="A562" t="s">
        <v>64</v>
      </c>
      <c r="B562">
        <v>1992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1</v>
      </c>
    </row>
    <row r="563" spans="1:18" x14ac:dyDescent="0.2">
      <c r="A563" t="s">
        <v>64</v>
      </c>
      <c r="B563">
        <v>1993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 x14ac:dyDescent="0.2">
      <c r="A564" t="s">
        <v>64</v>
      </c>
      <c r="B564">
        <v>1994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 x14ac:dyDescent="0.2">
      <c r="A565" t="s">
        <v>64</v>
      </c>
      <c r="B565">
        <v>1995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</row>
    <row r="566" spans="1:18" x14ac:dyDescent="0.2">
      <c r="A566" t="s">
        <v>64</v>
      </c>
      <c r="B566">
        <v>1996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 x14ac:dyDescent="0.2">
      <c r="A567" t="s">
        <v>64</v>
      </c>
      <c r="B567">
        <v>1997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 x14ac:dyDescent="0.2">
      <c r="A568" t="s">
        <v>64</v>
      </c>
      <c r="B568">
        <v>1998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</row>
    <row r="569" spans="1:18" x14ac:dyDescent="0.2">
      <c r="A569" t="s">
        <v>64</v>
      </c>
      <c r="B569">
        <v>1999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 x14ac:dyDescent="0.2">
      <c r="A570" t="s">
        <v>64</v>
      </c>
      <c r="B570">
        <v>2000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 x14ac:dyDescent="0.2">
      <c r="A571" t="s">
        <v>64</v>
      </c>
      <c r="B571">
        <v>2001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 x14ac:dyDescent="0.2">
      <c r="A572" t="s">
        <v>64</v>
      </c>
      <c r="B572">
        <v>2002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 x14ac:dyDescent="0.2">
      <c r="A573" t="s">
        <v>64</v>
      </c>
      <c r="B573">
        <v>2003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 x14ac:dyDescent="0.2">
      <c r="A574" t="s">
        <v>64</v>
      </c>
      <c r="B574">
        <v>2004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 x14ac:dyDescent="0.2">
      <c r="A575" t="s">
        <v>64</v>
      </c>
      <c r="B575">
        <v>2005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 x14ac:dyDescent="0.2">
      <c r="A576" t="s">
        <v>64</v>
      </c>
      <c r="B576">
        <v>2006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 x14ac:dyDescent="0.2">
      <c r="A577" t="s">
        <v>64</v>
      </c>
      <c r="B577">
        <v>2007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 x14ac:dyDescent="0.2">
      <c r="A578" t="s">
        <v>64</v>
      </c>
      <c r="B578">
        <v>2008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 x14ac:dyDescent="0.2">
      <c r="A579" t="s">
        <v>64</v>
      </c>
      <c r="B579">
        <v>2009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 x14ac:dyDescent="0.2">
      <c r="A580" t="s">
        <v>64</v>
      </c>
      <c r="B580">
        <v>2010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 x14ac:dyDescent="0.2">
      <c r="A581" t="s">
        <v>64</v>
      </c>
      <c r="B581">
        <v>2011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 x14ac:dyDescent="0.2">
      <c r="A582" t="s">
        <v>64</v>
      </c>
      <c r="B582">
        <v>2012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 x14ac:dyDescent="0.2">
      <c r="A583" t="s">
        <v>64</v>
      </c>
      <c r="B583">
        <v>2013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 x14ac:dyDescent="0.2">
      <c r="A584" t="s">
        <v>64</v>
      </c>
      <c r="B584">
        <v>2014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 x14ac:dyDescent="0.2">
      <c r="A585" t="s">
        <v>64</v>
      </c>
      <c r="B585">
        <v>2015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 x14ac:dyDescent="0.2">
      <c r="A586" t="s">
        <v>64</v>
      </c>
      <c r="B586">
        <v>2016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 x14ac:dyDescent="0.2">
      <c r="A587" t="s">
        <v>64</v>
      </c>
      <c r="B587">
        <v>2017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 x14ac:dyDescent="0.2">
      <c r="A588" t="s">
        <v>64</v>
      </c>
      <c r="B588">
        <v>2018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 x14ac:dyDescent="0.2">
      <c r="A589" t="s">
        <v>64</v>
      </c>
      <c r="B589">
        <v>2019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773A-C3BA-0343-8CEC-9FDAFF9AEED2}">
  <dimension ref="A1:P18"/>
  <sheetViews>
    <sheetView workbookViewId="0">
      <selection activeCell="E18" sqref="E18"/>
    </sheetView>
  </sheetViews>
  <sheetFormatPr baseColWidth="10" defaultRowHeight="16" x14ac:dyDescent="0.2"/>
  <sheetData>
    <row r="1" spans="1:16" x14ac:dyDescent="0.2">
      <c r="A1" t="s">
        <v>3</v>
      </c>
    </row>
    <row r="2" spans="1:16" ht="17" thickBot="1" x14ac:dyDescent="0.25"/>
    <row r="3" spans="1:16" x14ac:dyDescent="0.2">
      <c r="A3" s="8" t="s">
        <v>4</v>
      </c>
      <c r="B3" s="8"/>
    </row>
    <row r="4" spans="1:16" x14ac:dyDescent="0.2">
      <c r="A4" s="5" t="s">
        <v>5</v>
      </c>
      <c r="B4" s="5">
        <v>0.67453679386992915</v>
      </c>
    </row>
    <row r="5" spans="1:16" x14ac:dyDescent="0.2">
      <c r="A5" s="5" t="s">
        <v>6</v>
      </c>
      <c r="B5" s="5">
        <v>0.45499988628432336</v>
      </c>
    </row>
    <row r="6" spans="1:16" x14ac:dyDescent="0.2">
      <c r="A6" s="5" t="s">
        <v>7</v>
      </c>
      <c r="B6" s="5">
        <v>0.43403834344910508</v>
      </c>
      <c r="G6" s="14"/>
      <c r="H6" s="14"/>
    </row>
    <row r="7" spans="1:16" x14ac:dyDescent="0.2">
      <c r="A7" s="5" t="s">
        <v>8</v>
      </c>
      <c r="B7" s="5">
        <v>3.8435467380775004</v>
      </c>
      <c r="G7" s="5"/>
      <c r="H7" s="5"/>
    </row>
    <row r="8" spans="1:16" ht="17" thickBot="1" x14ac:dyDescent="0.25">
      <c r="A8" s="6" t="s">
        <v>9</v>
      </c>
      <c r="B8" s="6">
        <v>28</v>
      </c>
      <c r="G8" s="5"/>
      <c r="H8" s="5"/>
    </row>
    <row r="9" spans="1:16" x14ac:dyDescent="0.2">
      <c r="G9" s="5"/>
      <c r="H9" s="5"/>
    </row>
    <row r="10" spans="1:16" ht="17" thickBot="1" x14ac:dyDescent="0.25">
      <c r="A10" t="s">
        <v>10</v>
      </c>
      <c r="G10" s="5"/>
      <c r="H10" s="5"/>
    </row>
    <row r="11" spans="1:16" x14ac:dyDescent="0.2">
      <c r="A11" s="7"/>
      <c r="B11" s="7" t="s">
        <v>15</v>
      </c>
      <c r="C11" s="7" t="s">
        <v>16</v>
      </c>
      <c r="D11" s="7" t="s">
        <v>17</v>
      </c>
      <c r="E11" s="7" t="s">
        <v>18</v>
      </c>
      <c r="F11" s="7" t="s">
        <v>19</v>
      </c>
      <c r="G11" s="5"/>
      <c r="H11" s="5"/>
    </row>
    <row r="12" spans="1:16" ht="17" thickBot="1" x14ac:dyDescent="0.25">
      <c r="A12" s="5" t="s">
        <v>11</v>
      </c>
      <c r="B12" s="5">
        <v>1</v>
      </c>
      <c r="C12" s="5">
        <v>320.66560262656827</v>
      </c>
      <c r="D12" s="5">
        <v>320.66560262656827</v>
      </c>
      <c r="E12" s="5">
        <v>21.706412064280865</v>
      </c>
      <c r="F12" s="5">
        <v>8.2681702875493963E-5</v>
      </c>
    </row>
    <row r="13" spans="1:16" x14ac:dyDescent="0.2">
      <c r="A13" s="5" t="s">
        <v>12</v>
      </c>
      <c r="B13" s="5">
        <v>26</v>
      </c>
      <c r="C13" s="5">
        <v>384.09413972244107</v>
      </c>
      <c r="D13" s="5">
        <v>14.772851527786194</v>
      </c>
      <c r="E13" s="5"/>
      <c r="F13" s="5"/>
      <c r="O13" s="8"/>
      <c r="P13" s="8"/>
    </row>
    <row r="14" spans="1:16" ht="17" thickBot="1" x14ac:dyDescent="0.25">
      <c r="A14" s="6" t="s">
        <v>13</v>
      </c>
      <c r="B14" s="6">
        <v>27</v>
      </c>
      <c r="C14" s="6">
        <v>704.75974234900934</v>
      </c>
      <c r="D14" s="6"/>
      <c r="E14" s="6"/>
      <c r="F14" s="6"/>
      <c r="O14" s="5"/>
      <c r="P14" s="5"/>
    </row>
    <row r="15" spans="1:16" ht="17" thickBot="1" x14ac:dyDescent="0.25">
      <c r="O15" s="5"/>
      <c r="P15" s="5"/>
    </row>
    <row r="16" spans="1:16" x14ac:dyDescent="0.2">
      <c r="A16" s="7"/>
      <c r="B16" s="7" t="s">
        <v>20</v>
      </c>
      <c r="C16" s="7" t="s">
        <v>8</v>
      </c>
      <c r="D16" s="7" t="s">
        <v>21</v>
      </c>
      <c r="E16" s="7" t="s">
        <v>22</v>
      </c>
      <c r="F16" s="7" t="s">
        <v>23</v>
      </c>
      <c r="G16" s="7" t="s">
        <v>24</v>
      </c>
      <c r="H16" s="7" t="s">
        <v>25</v>
      </c>
      <c r="I16" s="7" t="s">
        <v>26</v>
      </c>
      <c r="O16" s="5"/>
      <c r="P16" s="5"/>
    </row>
    <row r="17" spans="1:16" x14ac:dyDescent="0.2">
      <c r="A17" s="5" t="s">
        <v>14</v>
      </c>
      <c r="B17" s="5">
        <v>-7.0647399012879264</v>
      </c>
      <c r="C17" s="5">
        <v>3.0020560888439993</v>
      </c>
      <c r="D17" s="5">
        <v>-2.3533004355053015</v>
      </c>
      <c r="E17" s="5">
        <v>2.6448142502144098E-2</v>
      </c>
      <c r="F17" s="5">
        <v>-13.235554568363852</v>
      </c>
      <c r="G17" s="5">
        <v>-0.89392523421200121</v>
      </c>
      <c r="H17" s="5">
        <v>-13.235554568363852</v>
      </c>
      <c r="I17" s="5">
        <v>-0.89392523421200121</v>
      </c>
      <c r="O17" s="5"/>
      <c r="P17" s="5"/>
    </row>
    <row r="18" spans="1:16" ht="17" thickBot="1" x14ac:dyDescent="0.25">
      <c r="A18" s="6" t="s">
        <v>2</v>
      </c>
      <c r="B18" s="6">
        <v>2.655224904887582E-2</v>
      </c>
      <c r="C18" s="6">
        <v>5.6991133047703006E-3</v>
      </c>
      <c r="D18" s="6">
        <v>4.6590140656882397</v>
      </c>
      <c r="E18" s="6">
        <v>8.2681702875493963E-5</v>
      </c>
      <c r="F18" s="6">
        <v>1.4837553876759195E-2</v>
      </c>
      <c r="G18" s="6">
        <v>3.8266944220992444E-2</v>
      </c>
      <c r="H18" s="6">
        <v>1.4837553876759195E-2</v>
      </c>
      <c r="I18" s="6">
        <v>3.8266944220992444E-2</v>
      </c>
      <c r="O18" s="6"/>
      <c r="P18" s="6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Sheet3</vt:lpstr>
      <vt:lpstr>Inflation accounting Regression</vt:lpstr>
      <vt:lpstr>BR vs RATP</vt:lpstr>
      <vt:lpstr>LC vs RATP</vt:lpstr>
      <vt:lpstr>Final Regression</vt:lpstr>
      <vt:lpstr>datasheet</vt:lpstr>
      <vt:lpstr>Sheet4</vt:lpstr>
      <vt:lpstr>Final Datasheet</vt:lpstr>
      <vt:lpstr>NOI vs RATP</vt:lpstr>
      <vt:lpstr>immigration vs transfer fee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2022-06-26T13:00:27Z</dcterms:created>
  <dcterms:modified xsi:type="dcterms:W3CDTF">2022-07-13T11:25:35Z</dcterms:modified>
</cp:coreProperties>
</file>