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504" windowWidth="23256" windowHeight="13176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L6" i="1" s="1"/>
  <c r="B6" i="3"/>
  <c r="C5" i="1"/>
  <c r="D5"/>
  <c r="E5"/>
  <c r="F5"/>
  <c r="G5"/>
  <c r="H5"/>
  <c r="I5"/>
  <c r="J5"/>
  <c r="K5"/>
  <c r="B5"/>
  <c r="J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F24" s="1"/>
  <c r="E5"/>
  <c r="F4"/>
  <c r="G4"/>
  <c r="H4"/>
  <c r="I4"/>
  <c r="I5"/>
  <c r="J4"/>
  <c r="J5"/>
  <c r="K4"/>
  <c r="C5"/>
  <c r="D5"/>
  <c r="F5"/>
  <c r="G5"/>
  <c r="H5"/>
  <c r="H23" s="1"/>
  <c r="K5"/>
  <c r="C6"/>
  <c r="D6"/>
  <c r="E6"/>
  <c r="F6"/>
  <c r="G6"/>
  <c r="H6"/>
  <c r="I6"/>
  <c r="J6"/>
  <c r="K6"/>
  <c r="C7"/>
  <c r="D7"/>
  <c r="E7"/>
  <c r="F7"/>
  <c r="G7"/>
  <c r="H7"/>
  <c r="H16" s="1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K16" s="1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D14" s="1"/>
  <c r="E4"/>
  <c r="F4"/>
  <c r="G4"/>
  <c r="H4"/>
  <c r="I4"/>
  <c r="J4"/>
  <c r="J14" s="1"/>
  <c r="K4"/>
  <c r="C5"/>
  <c r="D5"/>
  <c r="E5"/>
  <c r="F5"/>
  <c r="G5"/>
  <c r="H5"/>
  <c r="I5"/>
  <c r="L5" i="1" s="1"/>
  <c r="J5" i="3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F20" i="2" s="1"/>
  <c r="G4" i="1"/>
  <c r="G20" i="2" s="1"/>
  <c r="H4" i="1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C13" s="1"/>
  <c r="D12"/>
  <c r="E12"/>
  <c r="F12"/>
  <c r="F13" s="1"/>
  <c r="F14" s="1"/>
  <c r="G12"/>
  <c r="G13" s="1"/>
  <c r="G14" s="1"/>
  <c r="H12"/>
  <c r="I12"/>
  <c r="I23" i="2" s="1"/>
  <c r="J12" i="1"/>
  <c r="K12"/>
  <c r="K13" s="1"/>
  <c r="K14" s="1"/>
  <c r="C15"/>
  <c r="D15"/>
  <c r="E15"/>
  <c r="F15"/>
  <c r="G15"/>
  <c r="H15"/>
  <c r="H14" s="1"/>
  <c r="I15"/>
  <c r="J15"/>
  <c r="J14" s="1"/>
  <c r="K15"/>
  <c r="B15"/>
  <c r="H13"/>
  <c r="B7"/>
  <c r="B4"/>
  <c r="B20" i="2" s="1"/>
  <c r="A1" i="1"/>
  <c r="E1" i="6"/>
  <c r="H1" i="1" s="1"/>
  <c r="E1" i="2"/>
  <c r="E1" i="3"/>
  <c r="D16" i="2"/>
  <c r="F23"/>
  <c r="C23"/>
  <c r="C16"/>
  <c r="G23"/>
  <c r="F16"/>
  <c r="E6" i="1"/>
  <c r="E19"/>
  <c r="D23" i="2"/>
  <c r="I6" i="1"/>
  <c r="I19" s="1"/>
  <c r="J6"/>
  <c r="J19" s="1"/>
  <c r="K6"/>
  <c r="K19" s="1"/>
  <c r="C6"/>
  <c r="C19"/>
  <c r="D6"/>
  <c r="D19" s="1"/>
  <c r="B6"/>
  <c r="B19" s="1"/>
  <c r="C3" i="4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/>
  <c r="B6"/>
  <c r="B5"/>
  <c r="B4"/>
  <c r="B3"/>
  <c r="K21" i="2"/>
  <c r="J21"/>
  <c r="I21"/>
  <c r="H21"/>
  <c r="G21"/>
  <c r="F21"/>
  <c r="E21"/>
  <c r="D21"/>
  <c r="C21"/>
  <c r="B18"/>
  <c r="B21"/>
  <c r="B13"/>
  <c r="B16" s="1"/>
  <c r="B12"/>
  <c r="B11"/>
  <c r="B10"/>
  <c r="B8"/>
  <c r="B7"/>
  <c r="B6"/>
  <c r="B3"/>
  <c r="H14" i="3"/>
  <c r="F14"/>
  <c r="B12"/>
  <c r="B11"/>
  <c r="B10"/>
  <c r="B9"/>
  <c r="B8"/>
  <c r="B7"/>
  <c r="B4"/>
  <c r="B14" s="1"/>
  <c r="B3"/>
  <c r="L15" i="1"/>
  <c r="B12"/>
  <c r="B23" i="2" s="1"/>
  <c r="B11" i="1"/>
  <c r="B10"/>
  <c r="B9"/>
  <c r="B8"/>
  <c r="B3"/>
  <c r="E14" i="3"/>
  <c r="I14"/>
  <c r="G14"/>
  <c r="K20" i="2"/>
  <c r="D20"/>
  <c r="J20"/>
  <c r="C20"/>
  <c r="E20"/>
  <c r="L12" i="1"/>
  <c r="L13" s="1"/>
  <c r="L14" s="1"/>
  <c r="L25" s="1"/>
  <c r="L11"/>
  <c r="L10"/>
  <c r="A1" i="3"/>
  <c r="A1" i="2"/>
  <c r="A1" i="4" s="1"/>
  <c r="H23" i="1"/>
  <c r="I23"/>
  <c r="J23"/>
  <c r="M11"/>
  <c r="C14" l="1"/>
  <c r="K14" i="3"/>
  <c r="C14"/>
  <c r="I16" i="2"/>
  <c r="K24"/>
  <c r="B13" i="1"/>
  <c r="B14" s="1"/>
  <c r="H25" s="1"/>
  <c r="N11"/>
  <c r="K24"/>
  <c r="L9"/>
  <c r="N9" s="1"/>
  <c r="L8"/>
  <c r="N8" s="1"/>
  <c r="L7"/>
  <c r="E16" i="2"/>
  <c r="J23"/>
  <c r="E23"/>
  <c r="I13" i="1"/>
  <c r="I14" s="1"/>
  <c r="G24" i="2"/>
  <c r="D13" i="1"/>
  <c r="E13" s="1"/>
  <c r="E14" s="1"/>
  <c r="I25" s="1"/>
  <c r="L4"/>
  <c r="L23" s="1"/>
  <c r="K23" i="2"/>
  <c r="C24"/>
  <c r="H24"/>
  <c r="G6" i="1"/>
  <c r="G19" s="1"/>
  <c r="D14"/>
  <c r="I24" i="2"/>
  <c r="J24"/>
  <c r="D24"/>
  <c r="J16"/>
  <c r="G16"/>
  <c r="E24"/>
  <c r="M8" i="1"/>
  <c r="N23"/>
  <c r="N4" s="1"/>
  <c r="I20" i="2"/>
  <c r="H20"/>
  <c r="K23" i="1"/>
  <c r="H6"/>
  <c r="H19" s="1"/>
  <c r="J24" s="1"/>
  <c r="F6"/>
  <c r="F19" s="1"/>
  <c r="H24" s="1"/>
  <c r="E1" i="4"/>
  <c r="N24" i="1" l="1"/>
  <c r="N6" s="1"/>
  <c r="K25"/>
  <c r="M25" s="1"/>
  <c r="M14" s="1"/>
  <c r="J25"/>
  <c r="N25" s="1"/>
  <c r="N14" s="1"/>
  <c r="M24"/>
  <c r="L19"/>
  <c r="L24" s="1"/>
  <c r="I24"/>
  <c r="M9"/>
  <c r="M23"/>
  <c r="M4" s="1"/>
  <c r="M6" s="1"/>
  <c r="M10" s="1"/>
  <c r="M12" s="1"/>
  <c r="M13" s="1"/>
  <c r="N10" l="1"/>
  <c r="N12" s="1"/>
  <c r="N13" s="1"/>
  <c r="N15" s="1"/>
  <c r="N5"/>
  <c r="M15"/>
  <c r="M5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<sst xmlns="http://schemas.openxmlformats.org/spreadsheetml/2006/main" count="145" uniqueCount="93">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</sst>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2" fontId="1" fillId="0" borderId="0" xfId="1" applyNumberFormat="1" applyFont="1" applyBorder="1"/>
    <xf numFmtId="2" fontId="3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B4" sqref="B4:K15"/>
    </sheetView>
  </sheetViews>
  <sheetFormatPr defaultColWidth="8.77734375" defaultRowHeight="14.4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>
      <c r="A1" s="8" t="str">
        <f>'Data Sheet'!B1</f>
        <v>ADANI ENTERPRISES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32">
        <f>'Data Sheet'!B17</f>
        <v>54947.22</v>
      </c>
      <c r="C4" s="32">
        <f>'Data Sheet'!C17</f>
        <v>64465.36</v>
      </c>
      <c r="D4" s="32">
        <f>'Data Sheet'!D17</f>
        <v>34008.379999999997</v>
      </c>
      <c r="E4" s="32">
        <f>'Data Sheet'!E17</f>
        <v>36532.86</v>
      </c>
      <c r="F4" s="32">
        <f>'Data Sheet'!F17</f>
        <v>35923.919999999998</v>
      </c>
      <c r="G4" s="32">
        <f>'Data Sheet'!G17</f>
        <v>40378.660000000003</v>
      </c>
      <c r="H4" s="32">
        <f>'Data Sheet'!H17</f>
        <v>43402.559999999998</v>
      </c>
      <c r="I4" s="32">
        <f>'Data Sheet'!I17</f>
        <v>39537.129999999997</v>
      </c>
      <c r="J4" s="32">
        <f>'Data Sheet'!J17</f>
        <v>69420.179999999993</v>
      </c>
      <c r="K4" s="32">
        <f>'Data Sheet'!K17</f>
        <v>136977.76</v>
      </c>
      <c r="L4" s="1">
        <f>SUM(Quarters!H4:K4)</f>
        <v>121571.96</v>
      </c>
      <c r="M4" s="1">
        <f>$K4+M23*K4</f>
        <v>270280.29507583537</v>
      </c>
      <c r="N4" s="1">
        <f>$K4+N23*L4</f>
        <v>149964.46756755505</v>
      </c>
    </row>
    <row r="5" spans="1:14">
      <c r="A5" s="6" t="s">
        <v>7</v>
      </c>
      <c r="B5" s="33">
        <f>SUM('Data Sheet'!B18,'Data Sheet'!B20:B24, -1*'Data Sheet'!B19)</f>
        <v>45564.439999999995</v>
      </c>
      <c r="C5" s="33">
        <f>SUM('Data Sheet'!C18,'Data Sheet'!C20:C24, -1*'Data Sheet'!C19)</f>
        <v>52015.459999999992</v>
      </c>
      <c r="D5" s="33">
        <f>SUM('Data Sheet'!D18,'Data Sheet'!D20:D24, -1*'Data Sheet'!D19)</f>
        <v>32324.79</v>
      </c>
      <c r="E5" s="33">
        <f>SUM('Data Sheet'!E18,'Data Sheet'!E20:E24, -1*'Data Sheet'!E19)</f>
        <v>34630.629999999997</v>
      </c>
      <c r="F5" s="33">
        <f>SUM('Data Sheet'!F18,'Data Sheet'!F20:F24, -1*'Data Sheet'!F19)</f>
        <v>33886.210000000006</v>
      </c>
      <c r="G5" s="33">
        <f>SUM('Data Sheet'!G18,'Data Sheet'!G20:G24, -1*'Data Sheet'!G19)</f>
        <v>38409.32</v>
      </c>
      <c r="H5" s="33">
        <f>SUM('Data Sheet'!H18,'Data Sheet'!H20:H24, -1*'Data Sheet'!H19)</f>
        <v>41108.169999999991</v>
      </c>
      <c r="I5" s="33">
        <f>SUM('Data Sheet'!I18,'Data Sheet'!I20:I24, -1*'Data Sheet'!I19)</f>
        <v>37031.480000000003</v>
      </c>
      <c r="J5" s="33">
        <f>SUM('Data Sheet'!J18,'Data Sheet'!J20:J24, -1*'Data Sheet'!J19)</f>
        <v>65706.58</v>
      </c>
      <c r="K5" s="33">
        <f>SUM('Data Sheet'!K18,'Data Sheet'!K20:K24, -1*'Data Sheet'!K19)</f>
        <v>128149.77999999998</v>
      </c>
      <c r="L5" s="9">
        <f>SUM(Quarters!H5:K5)</f>
        <v>111962.37</v>
      </c>
      <c r="M5" s="9">
        <f t="shared" ref="M5:N5" si="0">M4-M6</f>
        <v>248916.13494583667</v>
      </c>
      <c r="N5" s="9">
        <f t="shared" si="0"/>
        <v>141294.54633447382</v>
      </c>
    </row>
    <row r="6" spans="1:14" s="8" customFormat="1">
      <c r="A6" s="8" t="s">
        <v>8</v>
      </c>
      <c r="B6" s="32">
        <f>B4-B5</f>
        <v>9382.7800000000061</v>
      </c>
      <c r="C6" s="32">
        <f t="shared" ref="C6:K6" si="1">C4-C5</f>
        <v>12449.900000000009</v>
      </c>
      <c r="D6" s="32">
        <f t="shared" si="1"/>
        <v>1683.5899999999965</v>
      </c>
      <c r="E6" s="32">
        <f t="shared" si="1"/>
        <v>1902.2300000000032</v>
      </c>
      <c r="F6" s="32">
        <f t="shared" si="1"/>
        <v>2037.7099999999919</v>
      </c>
      <c r="G6" s="32">
        <f t="shared" si="1"/>
        <v>1969.3400000000038</v>
      </c>
      <c r="H6" s="32">
        <f t="shared" si="1"/>
        <v>2294.3900000000067</v>
      </c>
      <c r="I6" s="32">
        <f t="shared" si="1"/>
        <v>2505.6499999999942</v>
      </c>
      <c r="J6" s="32">
        <f t="shared" si="1"/>
        <v>3713.5999999999913</v>
      </c>
      <c r="K6" s="32">
        <f t="shared" si="1"/>
        <v>8827.980000000025</v>
      </c>
      <c r="L6" s="1">
        <f>SUM(Quarters!H6:K6)</f>
        <v>9609.59</v>
      </c>
      <c r="M6" s="1">
        <f>M4*M24</f>
        <v>21364.160129998698</v>
      </c>
      <c r="N6" s="1">
        <f>N4*N24</f>
        <v>8669.9212330812406</v>
      </c>
    </row>
    <row r="7" spans="1:14">
      <c r="A7" s="6" t="s">
        <v>9</v>
      </c>
      <c r="B7" s="33">
        <f>'Data Sheet'!B25</f>
        <v>1157.07</v>
      </c>
      <c r="C7" s="33">
        <f>'Data Sheet'!C25</f>
        <v>791.64</v>
      </c>
      <c r="D7" s="33">
        <f>'Data Sheet'!D25</f>
        <v>1043.6300000000001</v>
      </c>
      <c r="E7" s="33">
        <f>'Data Sheet'!E25</f>
        <v>749.41</v>
      </c>
      <c r="F7" s="33">
        <f>'Data Sheet'!F25</f>
        <v>363.21</v>
      </c>
      <c r="G7" s="33">
        <f>'Data Sheet'!G25</f>
        <v>504.22</v>
      </c>
      <c r="H7" s="33">
        <f>'Data Sheet'!H25</f>
        <v>872.32</v>
      </c>
      <c r="I7" s="33">
        <f>'Data Sheet'!I25</f>
        <v>494.31</v>
      </c>
      <c r="J7" s="33">
        <f>'Data Sheet'!J25</f>
        <v>1012.11</v>
      </c>
      <c r="K7" s="33">
        <f>'Data Sheet'!K25</f>
        <v>828.04</v>
      </c>
      <c r="L7" s="9">
        <f>SUM(Quarters!H7:K7)</f>
        <v>977.35</v>
      </c>
      <c r="M7" s="9">
        <v>0</v>
      </c>
      <c r="N7" s="9">
        <v>0</v>
      </c>
    </row>
    <row r="8" spans="1:14">
      <c r="A8" s="6" t="s">
        <v>10</v>
      </c>
      <c r="B8" s="33">
        <f>'Data Sheet'!B26</f>
        <v>3223.07</v>
      </c>
      <c r="C8" s="33">
        <f>'Data Sheet'!C26</f>
        <v>3521.86</v>
      </c>
      <c r="D8" s="33">
        <f>'Data Sheet'!D26</f>
        <v>314.45</v>
      </c>
      <c r="E8" s="33">
        <f>'Data Sheet'!E26</f>
        <v>315.45999999999998</v>
      </c>
      <c r="F8" s="33">
        <f>'Data Sheet'!F26</f>
        <v>663.92</v>
      </c>
      <c r="G8" s="33">
        <f>'Data Sheet'!G26</f>
        <v>389.77</v>
      </c>
      <c r="H8" s="33">
        <f>'Data Sheet'!H26</f>
        <v>472.06</v>
      </c>
      <c r="I8" s="33">
        <f>'Data Sheet'!I26</f>
        <v>537.14</v>
      </c>
      <c r="J8" s="33">
        <f>'Data Sheet'!J26</f>
        <v>1247.78</v>
      </c>
      <c r="K8" s="33">
        <f>'Data Sheet'!K26</f>
        <v>2436.14</v>
      </c>
      <c r="L8" s="9">
        <f>SUM(Quarters!H8:K8)</f>
        <v>2732.9</v>
      </c>
      <c r="M8" s="9">
        <f>+$L8</f>
        <v>2732.9</v>
      </c>
      <c r="N8" s="9">
        <f>+$L8</f>
        <v>2732.9</v>
      </c>
    </row>
    <row r="9" spans="1:14">
      <c r="A9" s="6" t="s">
        <v>11</v>
      </c>
      <c r="B9" s="33">
        <f>'Data Sheet'!B27</f>
        <v>5703.04</v>
      </c>
      <c r="C9" s="33">
        <f>'Data Sheet'!C27</f>
        <v>7056.29</v>
      </c>
      <c r="D9" s="33">
        <f>'Data Sheet'!D27</f>
        <v>1356.99</v>
      </c>
      <c r="E9" s="33">
        <f>'Data Sheet'!E27</f>
        <v>1257.31</v>
      </c>
      <c r="F9" s="33">
        <f>'Data Sheet'!F27</f>
        <v>1250.17</v>
      </c>
      <c r="G9" s="33">
        <f>'Data Sheet'!G27</f>
        <v>1625.07</v>
      </c>
      <c r="H9" s="33">
        <f>'Data Sheet'!H27</f>
        <v>1572.32</v>
      </c>
      <c r="I9" s="33">
        <f>'Data Sheet'!I27</f>
        <v>1376.85</v>
      </c>
      <c r="J9" s="33">
        <f>'Data Sheet'!J27</f>
        <v>2525.88</v>
      </c>
      <c r="K9" s="33">
        <f>'Data Sheet'!K27</f>
        <v>3969.98</v>
      </c>
      <c r="L9" s="9">
        <f>SUM(Quarters!H9:K9)</f>
        <v>4158.09</v>
      </c>
      <c r="M9" s="9">
        <f>+$L9</f>
        <v>4158.09</v>
      </c>
      <c r="N9" s="9">
        <f>+$L9</f>
        <v>4158.09</v>
      </c>
    </row>
    <row r="10" spans="1:14">
      <c r="A10" s="6" t="s">
        <v>12</v>
      </c>
      <c r="B10" s="33">
        <f>'Data Sheet'!B28</f>
        <v>1613.74</v>
      </c>
      <c r="C10" s="33">
        <f>'Data Sheet'!C28</f>
        <v>2663.39</v>
      </c>
      <c r="D10" s="33">
        <f>'Data Sheet'!D28</f>
        <v>1055.78</v>
      </c>
      <c r="E10" s="33">
        <f>'Data Sheet'!E28</f>
        <v>1078.8699999999999</v>
      </c>
      <c r="F10" s="33">
        <f>'Data Sheet'!F28</f>
        <v>486.83</v>
      </c>
      <c r="G10" s="33">
        <f>'Data Sheet'!G28</f>
        <v>458.72</v>
      </c>
      <c r="H10" s="33">
        <f>'Data Sheet'!H28</f>
        <v>1122.33</v>
      </c>
      <c r="I10" s="33">
        <f>'Data Sheet'!I28</f>
        <v>1085.97</v>
      </c>
      <c r="J10" s="33">
        <f>'Data Sheet'!J28</f>
        <v>952.05</v>
      </c>
      <c r="K10" s="33">
        <f>'Data Sheet'!K28</f>
        <v>3249.9</v>
      </c>
      <c r="L10" s="9">
        <f>SUM(Quarters!H10:K10)</f>
        <v>3695.9500000000003</v>
      </c>
      <c r="M10" s="9">
        <f>M6+M7-SUM(M8:M9)</f>
        <v>14473.170129998698</v>
      </c>
      <c r="N10" s="9">
        <f>N6+N7-SUM(N8:N9)</f>
        <v>1778.9312330812409</v>
      </c>
    </row>
    <row r="11" spans="1:14">
      <c r="A11" s="6" t="s">
        <v>13</v>
      </c>
      <c r="B11" s="33">
        <f>'Data Sheet'!B29</f>
        <v>-1031.92</v>
      </c>
      <c r="C11" s="33">
        <f>'Data Sheet'!C29</f>
        <v>365.39</v>
      </c>
      <c r="D11" s="33">
        <f>'Data Sheet'!D29</f>
        <v>77.94</v>
      </c>
      <c r="E11" s="33">
        <f>'Data Sheet'!E29</f>
        <v>271.14999999999998</v>
      </c>
      <c r="F11" s="33">
        <f>'Data Sheet'!F29</f>
        <v>112.11</v>
      </c>
      <c r="G11" s="33">
        <f>'Data Sheet'!G29</f>
        <v>144.54</v>
      </c>
      <c r="H11" s="33">
        <f>'Data Sheet'!H29</f>
        <v>324.33</v>
      </c>
      <c r="I11" s="33">
        <f>'Data Sheet'!I29</f>
        <v>339.65</v>
      </c>
      <c r="J11" s="33">
        <f>'Data Sheet'!J29</f>
        <v>476.68</v>
      </c>
      <c r="K11" s="33">
        <f>'Data Sheet'!K29</f>
        <v>1040.96</v>
      </c>
      <c r="L11" s="9">
        <f>SUM(Quarters!H11:K11)</f>
        <v>1179.58</v>
      </c>
      <c r="M11" s="10">
        <f>IF($L10&gt;0,$L11/$L10,0)</f>
        <v>0.31915475047010911</v>
      </c>
      <c r="N11" s="10">
        <f>IF($L10&gt;0,$L11/$L10,0)</f>
        <v>0.31915475047010911</v>
      </c>
    </row>
    <row r="12" spans="1:14" s="8" customFormat="1">
      <c r="A12" s="8" t="s">
        <v>14</v>
      </c>
      <c r="B12" s="32">
        <f>'Data Sheet'!B30</f>
        <v>2220.77</v>
      </c>
      <c r="C12" s="32">
        <f>'Data Sheet'!C30</f>
        <v>1948.05</v>
      </c>
      <c r="D12" s="32">
        <f>'Data Sheet'!D30</f>
        <v>1010.72</v>
      </c>
      <c r="E12" s="32">
        <f>'Data Sheet'!E30</f>
        <v>987.74</v>
      </c>
      <c r="F12" s="32">
        <f>'Data Sheet'!F30</f>
        <v>757.25</v>
      </c>
      <c r="G12" s="32">
        <f>'Data Sheet'!G30</f>
        <v>717.14</v>
      </c>
      <c r="H12" s="32">
        <f>'Data Sheet'!H30</f>
        <v>1138.17</v>
      </c>
      <c r="I12" s="32">
        <f>'Data Sheet'!I30</f>
        <v>922.64</v>
      </c>
      <c r="J12" s="32">
        <f>'Data Sheet'!J30</f>
        <v>776.56</v>
      </c>
      <c r="K12" s="32">
        <f>'Data Sheet'!K30</f>
        <v>2472.94</v>
      </c>
      <c r="L12" s="1">
        <f>SUM(Quarters!H12:K12)</f>
        <v>2677.41</v>
      </c>
      <c r="M12" s="1">
        <f>M10-M11*M10</f>
        <v>9853.9891286475267</v>
      </c>
      <c r="N12" s="1">
        <f>N10-N11*N10</f>
        <v>1211.1768792837138</v>
      </c>
    </row>
    <row r="13" spans="1:14">
      <c r="A13" s="11" t="s">
        <v>57</v>
      </c>
      <c r="B13" s="33">
        <f>IF('Data Sheet'!B93&gt;0,B12/'Data Sheet'!B93,0)</f>
        <v>20.192489543553371</v>
      </c>
      <c r="C13" s="33">
        <f>IF('Data Sheet'!C93&gt;0,C12/'Data Sheet'!C93,0)</f>
        <v>17.712765957446809</v>
      </c>
      <c r="D13" s="33">
        <f>IF('Data Sheet'!D93&gt;0,D12/'Data Sheet'!D93,0)</f>
        <v>9.1900345517366802</v>
      </c>
      <c r="E13" s="33">
        <f>IF('Data Sheet'!E93&gt;0,E12/'Data Sheet'!E93,0)</f>
        <v>8.9810874704491717</v>
      </c>
      <c r="F13" s="33">
        <f>IF('Data Sheet'!F93&gt;0,F12/'Data Sheet'!F93,0)</f>
        <v>6.8853427895981083</v>
      </c>
      <c r="G13" s="33">
        <f>IF('Data Sheet'!G93&gt;0,G12/'Data Sheet'!G93,0)</f>
        <v>6.5206401163847971</v>
      </c>
      <c r="H13" s="33">
        <f>IF('Data Sheet'!H93&gt;0,H12/'Data Sheet'!H93,0)</f>
        <v>10.348881614839062</v>
      </c>
      <c r="I13" s="33">
        <f>IF('Data Sheet'!I93&gt;0,I12/'Data Sheet'!I93,0)</f>
        <v>8.3891616657574097</v>
      </c>
      <c r="J13" s="33">
        <f>IF('Data Sheet'!J93&gt;0,J12/'Data Sheet'!J93,0)</f>
        <v>7.060920167303145</v>
      </c>
      <c r="K13" s="33">
        <f>IF('Data Sheet'!K93&gt;0,K12/'Data Sheet'!K93,0)</f>
        <v>21.692456140350878</v>
      </c>
      <c r="L13" s="9">
        <f>IF('Data Sheet'!$B6&gt;0,'Profit &amp; Loss'!L12/'Data Sheet'!$B6,0)</f>
        <v>23.486029288311695</v>
      </c>
      <c r="M13" s="9">
        <f>IF('Data Sheet'!$B6&gt;0,'Profit &amp; Loss'!M12/'Data Sheet'!$B6,0)</f>
        <v>86.438415215495894</v>
      </c>
      <c r="N13" s="9">
        <f>IF('Data Sheet'!$B6&gt;0,'Profit &amp; Loss'!N12/'Data Sheet'!$B6,0)</f>
        <v>10.624348030441084</v>
      </c>
    </row>
    <row r="14" spans="1:14">
      <c r="A14" s="6" t="s">
        <v>16</v>
      </c>
      <c r="B14" s="33">
        <f>IF(B15&gt;0,B15/B13,"")</f>
        <v>6.5118270689895859</v>
      </c>
      <c r="C14" s="33">
        <f t="shared" ref="C14:K14" si="2">IF(C15&gt;0,C15/C13,"")</f>
        <v>12.412516516516517</v>
      </c>
      <c r="D14" s="33">
        <f t="shared" si="2"/>
        <v>5.3655946256134239</v>
      </c>
      <c r="E14" s="33">
        <f t="shared" si="2"/>
        <v>8.0758594366938681</v>
      </c>
      <c r="F14" s="33">
        <f t="shared" si="2"/>
        <v>15.17716738197425</v>
      </c>
      <c r="G14" s="33">
        <f t="shared" si="2"/>
        <v>22.505459185096356</v>
      </c>
      <c r="H14" s="33">
        <f t="shared" si="2"/>
        <v>13.29612272331901</v>
      </c>
      <c r="I14" s="33">
        <f t="shared" si="2"/>
        <v>122.91454630191626</v>
      </c>
      <c r="J14" s="33">
        <f t="shared" si="2"/>
        <v>285.33816446893996</v>
      </c>
      <c r="K14" s="33">
        <f t="shared" si="2"/>
        <v>80.693951329187115</v>
      </c>
      <c r="L14" s="9">
        <f t="shared" ref="L14" si="3">IF(L13&gt;0,L15/L13,0)</f>
        <v>97.702764985564414</v>
      </c>
      <c r="M14" s="9">
        <f>M25</f>
        <v>146.66235677140193</v>
      </c>
      <c r="N14" s="9">
        <f>N25</f>
        <v>60.90854309307371</v>
      </c>
    </row>
    <row r="15" spans="1:14" s="8" customFormat="1">
      <c r="A15" s="8" t="s">
        <v>58</v>
      </c>
      <c r="B15" s="32">
        <f>'Data Sheet'!B90</f>
        <v>131.49</v>
      </c>
      <c r="C15" s="32">
        <f>'Data Sheet'!C90</f>
        <v>219.86</v>
      </c>
      <c r="D15" s="32">
        <f>'Data Sheet'!D90</f>
        <v>49.31</v>
      </c>
      <c r="E15" s="32">
        <f>'Data Sheet'!E90</f>
        <v>72.53</v>
      </c>
      <c r="F15" s="32">
        <f>'Data Sheet'!F90</f>
        <v>104.5</v>
      </c>
      <c r="G15" s="32">
        <f>'Data Sheet'!G90</f>
        <v>146.75</v>
      </c>
      <c r="H15" s="32">
        <f>'Data Sheet'!H90</f>
        <v>137.6</v>
      </c>
      <c r="I15" s="32">
        <f>'Data Sheet'!I90</f>
        <v>1031.1500000000001</v>
      </c>
      <c r="J15" s="32">
        <f>'Data Sheet'!J90</f>
        <v>2014.75</v>
      </c>
      <c r="K15" s="32">
        <f>'Data Sheet'!K90</f>
        <v>1750.45</v>
      </c>
      <c r="L15" s="1">
        <f>'Data Sheet'!B8</f>
        <v>2294.65</v>
      </c>
      <c r="M15" s="12">
        <f>M13*M14</f>
        <v>12677.261691089636</v>
      </c>
      <c r="N15" s="13">
        <f>N13*N14</f>
        <v>647.11355984793352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6.9331808336748069E-2</v>
      </c>
      <c r="C18" s="7">
        <f>IF('Data Sheet'!C30&gt;0, 'Data Sheet'!C31/'Data Sheet'!C30, 0)</f>
        <v>7.9038012371345709E-2</v>
      </c>
      <c r="D18" s="7">
        <f>IF('Data Sheet'!D30&gt;0, 'Data Sheet'!D31/'Data Sheet'!D30, 0)</f>
        <v>4.3523428842805127E-2</v>
      </c>
      <c r="E18" s="7">
        <f>IF('Data Sheet'!E30&gt;0, 'Data Sheet'!E31/'Data Sheet'!E30, 0)</f>
        <v>4.4536011501002289E-2</v>
      </c>
      <c r="F18" s="7">
        <f>IF('Data Sheet'!F30&gt;0, 'Data Sheet'!F31/'Data Sheet'!F30, 0)</f>
        <v>5.8091779465170024E-2</v>
      </c>
      <c r="G18" s="7">
        <f>IF('Data Sheet'!G30&gt;0, 'Data Sheet'!G31/'Data Sheet'!G30, 0)</f>
        <v>6.1340881836182616E-2</v>
      </c>
      <c r="H18" s="7">
        <f>IF('Data Sheet'!H30&gt;0, 'Data Sheet'!H31/'Data Sheet'!H30, 0)</f>
        <v>9.6628798861330023E-2</v>
      </c>
      <c r="I18" s="7">
        <f>IF('Data Sheet'!I30&gt;0, 'Data Sheet'!I31/'Data Sheet'!I30, 0)</f>
        <v>0.11920142200641638</v>
      </c>
      <c r="J18" s="7">
        <f>IF('Data Sheet'!J30&gt;0, 'Data Sheet'!J31/'Data Sheet'!J30, 0)</f>
        <v>0.14162460080354386</v>
      </c>
      <c r="K18" s="7">
        <f>IF('Data Sheet'!K30&gt;0, 'Data Sheet'!K31/'Data Sheet'!K30, 0)</f>
        <v>5.531877037049019E-2</v>
      </c>
    </row>
    <row r="19" spans="1:14">
      <c r="A19" s="6" t="s">
        <v>18</v>
      </c>
      <c r="B19" s="7">
        <f t="shared" ref="B19:L19" si="4">IF(B6&gt;0,B6/B4,0)</f>
        <v>0.17075986737818594</v>
      </c>
      <c r="C19" s="7">
        <f t="shared" ref="C19:K19" si="5">IF(C6&gt;0,C6/C4,0)</f>
        <v>0.19312542425885793</v>
      </c>
      <c r="D19" s="7">
        <f t="shared" si="5"/>
        <v>4.9505151377395709E-2</v>
      </c>
      <c r="E19" s="7">
        <f t="shared" si="5"/>
        <v>5.2069014032846132E-2</v>
      </c>
      <c r="F19" s="7">
        <f t="shared" si="5"/>
        <v>5.6722930014318926E-2</v>
      </c>
      <c r="G19" s="7">
        <f t="shared" si="5"/>
        <v>4.8771801738839368E-2</v>
      </c>
      <c r="H19" s="7">
        <f t="shared" si="5"/>
        <v>5.2863010845443377E-2</v>
      </c>
      <c r="I19" s="7">
        <f t="shared" si="5"/>
        <v>6.3374605086408506E-2</v>
      </c>
      <c r="J19" s="7">
        <f t="shared" si="5"/>
        <v>5.3494531417233315E-2</v>
      </c>
      <c r="K19" s="7">
        <f t="shared" si="5"/>
        <v>6.4448272478685772E-2</v>
      </c>
      <c r="L19" s="7">
        <f t="shared" si="4"/>
        <v>7.9044460581206386E-2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0.10682321455996147</v>
      </c>
      <c r="I23" s="7">
        <f>IF(D4=0,"",POWER($K4/D4,1/7)-1)</f>
        <v>0.22021885291529664</v>
      </c>
      <c r="J23" s="7">
        <f>IF(F4=0,"",POWER($K4/F4,1/5)-1)</f>
        <v>0.30693283102030811</v>
      </c>
      <c r="K23" s="7">
        <f>IF(H4=0,"",POWER($K4/H4, 1/3)-1)</f>
        <v>0.46682477920242027</v>
      </c>
      <c r="L23" s="7">
        <f>IF(ISERROR(MAX(IF(J4=0,"",(K4-J4)/J4),IF(K4=0,"",(L4-K4)/K4))),"",MAX(IF(J4=0,"",(K4-J4)/J4),IF(K4=0,"",(L4-K4)/K4)))</f>
        <v>0.97316918509862727</v>
      </c>
      <c r="M23" s="22">
        <f>MAX(K23:L23)</f>
        <v>0.97316918509862727</v>
      </c>
      <c r="N23" s="22">
        <f>MIN(H23:L23)</f>
        <v>0.10682321455996147</v>
      </c>
    </row>
    <row r="24" spans="1:14">
      <c r="G24" s="6" t="s">
        <v>18</v>
      </c>
      <c r="H24" s="7">
        <f>IF(SUM(B4:$K$4)=0,"",SUMPRODUCT(B19:$K$19,B4:$K$4)/SUM(B4:$K$4))</f>
        <v>8.4175076539249397E-2</v>
      </c>
      <c r="I24" s="7">
        <f>IF(SUM(E4:$K$4)=0,"",SUMPRODUCT(E19:$K$19,E4:$K$4)/SUM(E4:$K$4))</f>
        <v>5.7813169837552809E-2</v>
      </c>
      <c r="J24" s="7">
        <f>IF(SUM(G4:$K$4)=0,"",SUMPRODUCT(G19:$K$19,G4:$K$4)/SUM(G4:$K$4))</f>
        <v>5.8568413468439849E-2</v>
      </c>
      <c r="K24" s="7">
        <f>IF(SUM(I4:$K$4)=0, "", SUMPRODUCT(I19:$K$19,I4:$K$4)/SUM(I4:$K$4))</f>
        <v>6.1183750654186936E-2</v>
      </c>
      <c r="L24" s="7">
        <f>L19</f>
        <v>7.9044460581206386E-2</v>
      </c>
      <c r="M24" s="22">
        <f>MAX(K24:L24)</f>
        <v>7.9044460581206386E-2</v>
      </c>
      <c r="N24" s="22">
        <f>MIN(H24:L24)</f>
        <v>5.7813169837552809E-2</v>
      </c>
    </row>
    <row r="25" spans="1:14">
      <c r="G25" s="6" t="s">
        <v>23</v>
      </c>
      <c r="H25" s="9">
        <f>IF(ISERROR(AVERAGEIF(B14:$L14,"&gt;0")),"",AVERAGEIF(B14:$L14,"&gt;0"))</f>
        <v>60.90854309307371</v>
      </c>
      <c r="I25" s="9">
        <f>IF(ISERROR(AVERAGEIF(E14:$L14,"&gt;0")),"",AVERAGEIF(E14:$L14,"&gt;0"))</f>
        <v>80.713004476586406</v>
      </c>
      <c r="J25" s="9">
        <f>IF(ISERROR(AVERAGEIF(G14:$L14,"&gt;0")),"",AVERAGEIF(G14:$L14,"&gt;0"))</f>
        <v>103.74183483233719</v>
      </c>
      <c r="K25" s="9">
        <f>IF(ISERROR(AVERAGEIF(I14:$L14,"&gt;0")),"",AVERAGEIF(I14:$L14,"&gt;0"))</f>
        <v>146.66235677140193</v>
      </c>
      <c r="L25" s="9">
        <f>L14</f>
        <v>97.702764985564414</v>
      </c>
      <c r="M25" s="1">
        <f>MAX(K25:L25)</f>
        <v>146.66235677140193</v>
      </c>
      <c r="N25" s="1">
        <f>MIN(H25:L25)</f>
        <v>60.90854309307371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>
      <c r="A1" s="8" t="str">
        <f>'Profit &amp; Loss'!A1</f>
        <v>ADANI ENTERPRISES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44286</v>
      </c>
      <c r="C3" s="16">
        <f>'Data Sheet'!C41</f>
        <v>44377</v>
      </c>
      <c r="D3" s="16">
        <f>'Data Sheet'!D41</f>
        <v>44469</v>
      </c>
      <c r="E3" s="16">
        <f>'Data Sheet'!E41</f>
        <v>44561</v>
      </c>
      <c r="F3" s="16">
        <f>'Data Sheet'!F41</f>
        <v>44651</v>
      </c>
      <c r="G3" s="16">
        <f>'Data Sheet'!G41</f>
        <v>44742</v>
      </c>
      <c r="H3" s="16">
        <f>'Data Sheet'!H41</f>
        <v>44834</v>
      </c>
      <c r="I3" s="16">
        <f>'Data Sheet'!I41</f>
        <v>44926</v>
      </c>
      <c r="J3" s="16">
        <f>'Data Sheet'!J41</f>
        <v>45016</v>
      </c>
      <c r="K3" s="16">
        <f>'Data Sheet'!K41</f>
        <v>45107</v>
      </c>
    </row>
    <row r="4" spans="1:11" s="8" customFormat="1">
      <c r="A4" s="8" t="s">
        <v>6</v>
      </c>
      <c r="B4" s="1">
        <f>'Data Sheet'!B42</f>
        <v>13525.07</v>
      </c>
      <c r="C4" s="1">
        <f>'Data Sheet'!C42</f>
        <v>12578.77</v>
      </c>
      <c r="D4" s="1">
        <f>'Data Sheet'!D42</f>
        <v>13218.02</v>
      </c>
      <c r="E4" s="1">
        <f>'Data Sheet'!E42</f>
        <v>18757.87</v>
      </c>
      <c r="F4" s="1">
        <f>'Data Sheet'!F42</f>
        <v>24865.52</v>
      </c>
      <c r="G4" s="1">
        <f>'Data Sheet'!G42</f>
        <v>40844.25</v>
      </c>
      <c r="H4" s="1">
        <f>'Data Sheet'!H42</f>
        <v>38175.230000000003</v>
      </c>
      <c r="I4" s="1">
        <f>'Data Sheet'!I42</f>
        <v>26612.23</v>
      </c>
      <c r="J4" s="1">
        <f>'Data Sheet'!J42</f>
        <v>31346.05</v>
      </c>
      <c r="K4" s="1">
        <f>'Data Sheet'!K42</f>
        <v>25438.45</v>
      </c>
    </row>
    <row r="5" spans="1:11">
      <c r="A5" s="6" t="s">
        <v>7</v>
      </c>
      <c r="B5" s="9">
        <f>'Data Sheet'!B43</f>
        <v>12621.38</v>
      </c>
      <c r="C5" s="9">
        <f>'Data Sheet'!C43</f>
        <v>11782.33</v>
      </c>
      <c r="D5" s="9">
        <f>'Data Sheet'!D43</f>
        <v>12335.43</v>
      </c>
      <c r="E5" s="9">
        <f>'Data Sheet'!E43</f>
        <v>17986.150000000001</v>
      </c>
      <c r="F5" s="9">
        <f>'Data Sheet'!F43</f>
        <v>23603.08</v>
      </c>
      <c r="G5" s="9">
        <f>'Data Sheet'!G43</f>
        <v>39101.86</v>
      </c>
      <c r="H5" s="9">
        <f>'Data Sheet'!H43</f>
        <v>36305.879999999997</v>
      </c>
      <c r="I5" s="9">
        <f>'Data Sheet'!I43</f>
        <v>24983.06</v>
      </c>
      <c r="J5" s="9">
        <f>'Data Sheet'!J43</f>
        <v>27758.98</v>
      </c>
      <c r="K5" s="9">
        <f>'Data Sheet'!K43</f>
        <v>22914.45</v>
      </c>
    </row>
    <row r="6" spans="1:11" s="8" customFormat="1">
      <c r="A6" s="8" t="s">
        <v>8</v>
      </c>
      <c r="B6" s="1">
        <f>'Data Sheet'!B50</f>
        <v>903.69</v>
      </c>
      <c r="C6" s="1">
        <f>'Data Sheet'!C50</f>
        <v>796.44</v>
      </c>
      <c r="D6" s="1">
        <f>'Data Sheet'!D50</f>
        <v>882.59</v>
      </c>
      <c r="E6" s="1">
        <f>'Data Sheet'!E50</f>
        <v>771.72</v>
      </c>
      <c r="F6" s="1">
        <f>'Data Sheet'!F50</f>
        <v>1262.44</v>
      </c>
      <c r="G6" s="1">
        <f>'Data Sheet'!G50</f>
        <v>1742.39</v>
      </c>
      <c r="H6" s="1">
        <f>'Data Sheet'!H50</f>
        <v>1869.35</v>
      </c>
      <c r="I6" s="1">
        <f>'Data Sheet'!I50</f>
        <v>1629.17</v>
      </c>
      <c r="J6" s="1">
        <f>'Data Sheet'!J50</f>
        <v>3587.07</v>
      </c>
      <c r="K6" s="1">
        <f>'Data Sheet'!K50</f>
        <v>2524</v>
      </c>
    </row>
    <row r="7" spans="1:11">
      <c r="A7" s="6" t="s">
        <v>9</v>
      </c>
      <c r="B7" s="9">
        <f>'Data Sheet'!B44</f>
        <v>-15.57</v>
      </c>
      <c r="C7" s="9">
        <f>'Data Sheet'!C44</f>
        <v>151.86000000000001</v>
      </c>
      <c r="D7" s="9">
        <f>'Data Sheet'!D44</f>
        <v>379.09</v>
      </c>
      <c r="E7" s="9">
        <f>'Data Sheet'!E44</f>
        <v>205.53</v>
      </c>
      <c r="F7" s="9">
        <f>'Data Sheet'!F44</f>
        <v>276.04000000000002</v>
      </c>
      <c r="G7" s="9">
        <f>'Data Sheet'!G44</f>
        <v>222.18</v>
      </c>
      <c r="H7" s="9">
        <f>'Data Sheet'!H44</f>
        <v>266.23</v>
      </c>
      <c r="I7" s="9">
        <f>'Data Sheet'!I44</f>
        <v>338.6</v>
      </c>
      <c r="J7" s="9">
        <f>'Data Sheet'!J44</f>
        <v>1.03</v>
      </c>
      <c r="K7" s="9">
        <f>'Data Sheet'!K44</f>
        <v>371.49</v>
      </c>
    </row>
    <row r="8" spans="1:11">
      <c r="A8" s="6" t="s">
        <v>10</v>
      </c>
      <c r="B8" s="9">
        <f>'Data Sheet'!B45</f>
        <v>156.19999999999999</v>
      </c>
      <c r="C8" s="9">
        <f>'Data Sheet'!C45</f>
        <v>125.63</v>
      </c>
      <c r="D8" s="9">
        <f>'Data Sheet'!D45</f>
        <v>319.58</v>
      </c>
      <c r="E8" s="9">
        <f>'Data Sheet'!E45</f>
        <v>353.94</v>
      </c>
      <c r="F8" s="9">
        <f>'Data Sheet'!F45</f>
        <v>448.63</v>
      </c>
      <c r="G8" s="9">
        <f>'Data Sheet'!G45</f>
        <v>417.1</v>
      </c>
      <c r="H8" s="9">
        <f>'Data Sheet'!H45</f>
        <v>531.39</v>
      </c>
      <c r="I8" s="9">
        <f>'Data Sheet'!I45</f>
        <v>592.22</v>
      </c>
      <c r="J8" s="9">
        <f>'Data Sheet'!J45</f>
        <v>895.43</v>
      </c>
      <c r="K8" s="9">
        <f>'Data Sheet'!K45</f>
        <v>713.86</v>
      </c>
    </row>
    <row r="9" spans="1:11">
      <c r="A9" s="6" t="s">
        <v>11</v>
      </c>
      <c r="B9" s="9">
        <f>'Data Sheet'!B46</f>
        <v>436.37</v>
      </c>
      <c r="C9" s="9">
        <f>'Data Sheet'!C46</f>
        <v>443.13</v>
      </c>
      <c r="D9" s="9">
        <f>'Data Sheet'!D46</f>
        <v>753.53</v>
      </c>
      <c r="E9" s="9">
        <f>'Data Sheet'!E46</f>
        <v>707.68</v>
      </c>
      <c r="F9" s="9">
        <f>'Data Sheet'!F46</f>
        <v>621.54</v>
      </c>
      <c r="G9" s="9">
        <f>'Data Sheet'!G46</f>
        <v>915</v>
      </c>
      <c r="H9" s="9">
        <f>'Data Sheet'!H46</f>
        <v>933.98</v>
      </c>
      <c r="I9" s="9">
        <f>'Data Sheet'!I46</f>
        <v>595.9</v>
      </c>
      <c r="J9" s="9">
        <f>'Data Sheet'!J46</f>
        <v>1525.1</v>
      </c>
      <c r="K9" s="9">
        <f>'Data Sheet'!K46</f>
        <v>1103.1099999999999</v>
      </c>
    </row>
    <row r="10" spans="1:11">
      <c r="A10" s="6" t="s">
        <v>12</v>
      </c>
      <c r="B10" s="9">
        <f>'Data Sheet'!B47</f>
        <v>295.55</v>
      </c>
      <c r="C10" s="9">
        <f>'Data Sheet'!C47</f>
        <v>379.54</v>
      </c>
      <c r="D10" s="9">
        <f>'Data Sheet'!D47</f>
        <v>188.57</v>
      </c>
      <c r="E10" s="9">
        <f>'Data Sheet'!E47</f>
        <v>-84.37</v>
      </c>
      <c r="F10" s="9">
        <f>'Data Sheet'!F47</f>
        <v>468.31</v>
      </c>
      <c r="G10" s="9">
        <f>'Data Sheet'!G47</f>
        <v>632.47</v>
      </c>
      <c r="H10" s="9">
        <f>'Data Sheet'!H47</f>
        <v>670.21</v>
      </c>
      <c r="I10" s="9">
        <f>'Data Sheet'!I47</f>
        <v>779.65</v>
      </c>
      <c r="J10" s="9">
        <f>'Data Sheet'!J47</f>
        <v>1167.57</v>
      </c>
      <c r="K10" s="9">
        <f>'Data Sheet'!K47</f>
        <v>1078.52</v>
      </c>
    </row>
    <row r="11" spans="1:11">
      <c r="A11" s="6" t="s">
        <v>13</v>
      </c>
      <c r="B11" s="9">
        <f>'Data Sheet'!B48</f>
        <v>86.42</v>
      </c>
      <c r="C11" s="9">
        <f>'Data Sheet'!C48</f>
        <v>182.76</v>
      </c>
      <c r="D11" s="9">
        <f>'Data Sheet'!D48</f>
        <v>66.83</v>
      </c>
      <c r="E11" s="9">
        <f>'Data Sheet'!E48</f>
        <v>13.79</v>
      </c>
      <c r="F11" s="9">
        <f>'Data Sheet'!F48</f>
        <v>213.3</v>
      </c>
      <c r="G11" s="9">
        <f>'Data Sheet'!G48</f>
        <v>221.74</v>
      </c>
      <c r="H11" s="9">
        <f>'Data Sheet'!H48</f>
        <v>231.31</v>
      </c>
      <c r="I11" s="9">
        <f>'Data Sheet'!I48</f>
        <v>142.99</v>
      </c>
      <c r="J11" s="9">
        <f>'Data Sheet'!J48</f>
        <v>444.92</v>
      </c>
      <c r="K11" s="9">
        <f>'Data Sheet'!K48</f>
        <v>360.36</v>
      </c>
    </row>
    <row r="12" spans="1:11" s="8" customFormat="1">
      <c r="A12" s="8" t="s">
        <v>14</v>
      </c>
      <c r="B12" s="1">
        <f>'Data Sheet'!B49</f>
        <v>233.95</v>
      </c>
      <c r="C12" s="1">
        <f>'Data Sheet'!C49</f>
        <v>271.45999999999998</v>
      </c>
      <c r="D12" s="1">
        <f>'Data Sheet'!D49</f>
        <v>212.41</v>
      </c>
      <c r="E12" s="1">
        <f>'Data Sheet'!E49</f>
        <v>-11.63</v>
      </c>
      <c r="F12" s="1">
        <f>'Data Sheet'!F49</f>
        <v>304.32</v>
      </c>
      <c r="G12" s="1">
        <f>'Data Sheet'!G49</f>
        <v>469.46</v>
      </c>
      <c r="H12" s="1">
        <f>'Data Sheet'!H49</f>
        <v>460.94</v>
      </c>
      <c r="I12" s="1">
        <f>'Data Sheet'!I49</f>
        <v>820.06</v>
      </c>
      <c r="J12" s="1">
        <f>'Data Sheet'!J49</f>
        <v>722.48</v>
      </c>
      <c r="K12" s="1">
        <f>'Data Sheet'!K49</f>
        <v>673.93</v>
      </c>
    </row>
    <row r="14" spans="1:11" s="8" customFormat="1">
      <c r="A14" s="2" t="s">
        <v>18</v>
      </c>
      <c r="B14" s="14">
        <f>IF(B4&gt;0,B6/B4,"")</f>
        <v>6.6815920361225495E-2</v>
      </c>
      <c r="C14" s="14">
        <f t="shared" ref="C14:K14" si="0">IF(C4&gt;0,C6/C4,"")</f>
        <v>6.3316206592536478E-2</v>
      </c>
      <c r="D14" s="14">
        <f t="shared" si="0"/>
        <v>6.6771725265962673E-2</v>
      </c>
      <c r="E14" s="14">
        <f t="shared" si="0"/>
        <v>4.114113169565628E-2</v>
      </c>
      <c r="F14" s="14">
        <f t="shared" si="0"/>
        <v>5.077070578053465E-2</v>
      </c>
      <c r="G14" s="14">
        <f t="shared" si="0"/>
        <v>4.2659370658048562E-2</v>
      </c>
      <c r="H14" s="14">
        <f t="shared" si="0"/>
        <v>4.896761591220275E-2</v>
      </c>
      <c r="I14" s="14">
        <f t="shared" si="0"/>
        <v>6.1218845620979533E-2</v>
      </c>
      <c r="J14" s="14">
        <f t="shared" si="0"/>
        <v>0.1144345140775313</v>
      </c>
      <c r="K14" s="14">
        <f t="shared" si="0"/>
        <v>9.9219881714491254E-2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>
      <c r="A1" s="8" t="str">
        <f>'Profit &amp; Loss'!A1</f>
        <v>ADANI ENTERPRISES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109.98</v>
      </c>
      <c r="C4" s="19">
        <f>'Data Sheet'!C57</f>
        <v>109.98</v>
      </c>
      <c r="D4" s="19">
        <f>'Data Sheet'!D57</f>
        <v>109.98</v>
      </c>
      <c r="E4" s="19">
        <f>'Data Sheet'!E57</f>
        <v>109.98</v>
      </c>
      <c r="F4" s="19">
        <f>'Data Sheet'!F57</f>
        <v>109.98</v>
      </c>
      <c r="G4" s="19">
        <f>'Data Sheet'!G57</f>
        <v>109.98</v>
      </c>
      <c r="H4" s="19">
        <f>'Data Sheet'!H57</f>
        <v>109.98</v>
      </c>
      <c r="I4" s="19">
        <f>'Data Sheet'!I57</f>
        <v>109.98</v>
      </c>
      <c r="J4" s="19">
        <f>'Data Sheet'!J57</f>
        <v>109.98</v>
      </c>
      <c r="K4" s="19">
        <f>'Data Sheet'!K57</f>
        <v>114</v>
      </c>
    </row>
    <row r="5" spans="1:11" s="6" customFormat="1">
      <c r="A5" s="6" t="s">
        <v>25</v>
      </c>
      <c r="B5" s="19">
        <f>'Data Sheet'!B58</f>
        <v>23647.21</v>
      </c>
      <c r="C5" s="19">
        <f>'Data Sheet'!C58</f>
        <v>25617.83</v>
      </c>
      <c r="D5" s="19">
        <f>'Data Sheet'!D58</f>
        <v>13267.63</v>
      </c>
      <c r="E5" s="19">
        <f>'Data Sheet'!E58</f>
        <v>14025.99</v>
      </c>
      <c r="F5" s="19">
        <f>'Data Sheet'!F58</f>
        <v>14979.19</v>
      </c>
      <c r="G5" s="19">
        <f>'Data Sheet'!G58</f>
        <v>14645.96</v>
      </c>
      <c r="H5" s="19">
        <f>'Data Sheet'!H58</f>
        <v>16836.59</v>
      </c>
      <c r="I5" s="19">
        <f>'Data Sheet'!I58</f>
        <v>17048.59</v>
      </c>
      <c r="J5" s="19">
        <f>'Data Sheet'!J58</f>
        <v>22146.53</v>
      </c>
      <c r="K5" s="19">
        <f>'Data Sheet'!K58</f>
        <v>32937.01</v>
      </c>
    </row>
    <row r="6" spans="1:11">
      <c r="A6" s="11" t="s">
        <v>71</v>
      </c>
      <c r="B6" s="19">
        <f>'Data Sheet'!B59</f>
        <v>71979.92</v>
      </c>
      <c r="C6" s="19">
        <f>'Data Sheet'!C59</f>
        <v>83570.64</v>
      </c>
      <c r="D6" s="19">
        <f>'Data Sheet'!D59</f>
        <v>19169.349999999999</v>
      </c>
      <c r="E6" s="19">
        <f>'Data Sheet'!E59</f>
        <v>20845.72</v>
      </c>
      <c r="F6" s="19">
        <f>'Data Sheet'!F59</f>
        <v>17636.689999999999</v>
      </c>
      <c r="G6" s="19">
        <f>'Data Sheet'!G59</f>
        <v>11243.2</v>
      </c>
      <c r="H6" s="19">
        <f>'Data Sheet'!H59</f>
        <v>12419.3</v>
      </c>
      <c r="I6" s="19">
        <f>'Data Sheet'!I59</f>
        <v>16227.06</v>
      </c>
      <c r="J6" s="19">
        <f>'Data Sheet'!J59</f>
        <v>41604.03</v>
      </c>
      <c r="K6" s="19">
        <f>'Data Sheet'!K59</f>
        <v>53200.46</v>
      </c>
    </row>
    <row r="7" spans="1:11" s="6" customFormat="1">
      <c r="A7" s="11" t="s">
        <v>72</v>
      </c>
      <c r="B7" s="19">
        <f>'Data Sheet'!B60</f>
        <v>22364.81</v>
      </c>
      <c r="C7" s="19">
        <f>'Data Sheet'!C60</f>
        <v>21419.74</v>
      </c>
      <c r="D7" s="19">
        <f>'Data Sheet'!D60</f>
        <v>9132.42</v>
      </c>
      <c r="E7" s="19">
        <f>'Data Sheet'!E60</f>
        <v>12629.78</v>
      </c>
      <c r="F7" s="19">
        <f>'Data Sheet'!F60</f>
        <v>23679.48</v>
      </c>
      <c r="G7" s="19">
        <f>'Data Sheet'!G60</f>
        <v>16537.04</v>
      </c>
      <c r="H7" s="19">
        <f>'Data Sheet'!H60</f>
        <v>17509.189999999999</v>
      </c>
      <c r="I7" s="19">
        <f>'Data Sheet'!I60</f>
        <v>18231.09</v>
      </c>
      <c r="J7" s="19">
        <f>'Data Sheet'!J60</f>
        <v>37725.82</v>
      </c>
      <c r="K7" s="19">
        <f>'Data Sheet'!K60</f>
        <v>55027.01</v>
      </c>
    </row>
    <row r="8" spans="1:11" s="8" customFormat="1">
      <c r="A8" s="8" t="s">
        <v>26</v>
      </c>
      <c r="B8" s="20">
        <f>'Data Sheet'!B61</f>
        <v>118101.92</v>
      </c>
      <c r="C8" s="20">
        <f>'Data Sheet'!C61</f>
        <v>130718.19</v>
      </c>
      <c r="D8" s="20">
        <f>'Data Sheet'!D61</f>
        <v>41679.379999999997</v>
      </c>
      <c r="E8" s="20">
        <f>'Data Sheet'!E61</f>
        <v>47611.47</v>
      </c>
      <c r="F8" s="20">
        <f>'Data Sheet'!F61</f>
        <v>56405.34</v>
      </c>
      <c r="G8" s="20">
        <f>'Data Sheet'!G61</f>
        <v>42536.18</v>
      </c>
      <c r="H8" s="20">
        <f>'Data Sheet'!H61</f>
        <v>46875.06</v>
      </c>
      <c r="I8" s="20">
        <f>'Data Sheet'!I61</f>
        <v>51616.72</v>
      </c>
      <c r="J8" s="20">
        <f>'Data Sheet'!J61</f>
        <v>101586.36</v>
      </c>
      <c r="K8" s="20">
        <f>'Data Sheet'!K61</f>
        <v>141278.48000000001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70578.7</v>
      </c>
      <c r="C10" s="19">
        <f>'Data Sheet'!C62</f>
        <v>83834.039999999994</v>
      </c>
      <c r="D10" s="19">
        <f>'Data Sheet'!D62</f>
        <v>10473.299999999999</v>
      </c>
      <c r="E10" s="19">
        <f>'Data Sheet'!E62</f>
        <v>13667.98</v>
      </c>
      <c r="F10" s="19">
        <f>'Data Sheet'!F62</f>
        <v>10555.19</v>
      </c>
      <c r="G10" s="19">
        <f>'Data Sheet'!G62</f>
        <v>9020.11</v>
      </c>
      <c r="H10" s="19">
        <f>'Data Sheet'!H62</f>
        <v>10476.459999999999</v>
      </c>
      <c r="I10" s="19">
        <f>'Data Sheet'!I62</f>
        <v>10837.61</v>
      </c>
      <c r="J10" s="19">
        <f>'Data Sheet'!J62</f>
        <v>30122.77</v>
      </c>
      <c r="K10" s="19">
        <f>'Data Sheet'!K62</f>
        <v>56881.13</v>
      </c>
    </row>
    <row r="11" spans="1:11">
      <c r="A11" s="6" t="s">
        <v>28</v>
      </c>
      <c r="B11" s="19">
        <f>'Data Sheet'!B63</f>
        <v>13573.6</v>
      </c>
      <c r="C11" s="19">
        <f>'Data Sheet'!C63</f>
        <v>6733.02</v>
      </c>
      <c r="D11" s="19">
        <f>'Data Sheet'!D63</f>
        <v>7704.94</v>
      </c>
      <c r="E11" s="19">
        <f>'Data Sheet'!E63</f>
        <v>7731.49</v>
      </c>
      <c r="F11" s="19">
        <f>'Data Sheet'!F63</f>
        <v>5525.87</v>
      </c>
      <c r="G11" s="19">
        <f>'Data Sheet'!G63</f>
        <v>5764.92</v>
      </c>
      <c r="H11" s="19">
        <f>'Data Sheet'!H63</f>
        <v>7346.73</v>
      </c>
      <c r="I11" s="19">
        <f>'Data Sheet'!I63</f>
        <v>8825.4599999999991</v>
      </c>
      <c r="J11" s="19">
        <f>'Data Sheet'!J63</f>
        <v>23544.42</v>
      </c>
      <c r="K11" s="19">
        <f>'Data Sheet'!K63</f>
        <v>24025.21</v>
      </c>
    </row>
    <row r="12" spans="1:11">
      <c r="A12" s="6" t="s">
        <v>29</v>
      </c>
      <c r="B12" s="19">
        <f>'Data Sheet'!B64</f>
        <v>288.39</v>
      </c>
      <c r="C12" s="19">
        <f>'Data Sheet'!C64</f>
        <v>744.11</v>
      </c>
      <c r="D12" s="19">
        <f>'Data Sheet'!D64</f>
        <v>804.95</v>
      </c>
      <c r="E12" s="19">
        <f>'Data Sheet'!E64</f>
        <v>1041.75</v>
      </c>
      <c r="F12" s="19">
        <f>'Data Sheet'!F64</f>
        <v>1460.72</v>
      </c>
      <c r="G12" s="19">
        <f>'Data Sheet'!G64</f>
        <v>1511.35</v>
      </c>
      <c r="H12" s="19">
        <f>'Data Sheet'!H64</f>
        <v>1952.49</v>
      </c>
      <c r="I12" s="19">
        <f>'Data Sheet'!I64</f>
        <v>5502.94</v>
      </c>
      <c r="J12" s="19">
        <f>'Data Sheet'!J64</f>
        <v>4292.21</v>
      </c>
      <c r="K12" s="19">
        <f>'Data Sheet'!K64</f>
        <v>6310.17</v>
      </c>
    </row>
    <row r="13" spans="1:11">
      <c r="A13" s="11" t="s">
        <v>73</v>
      </c>
      <c r="B13" s="19">
        <f>'Data Sheet'!B65</f>
        <v>33661.230000000003</v>
      </c>
      <c r="C13" s="19">
        <f>'Data Sheet'!C65</f>
        <v>39407.019999999997</v>
      </c>
      <c r="D13" s="19">
        <f>'Data Sheet'!D65</f>
        <v>22696.19</v>
      </c>
      <c r="E13" s="19">
        <f>'Data Sheet'!E65</f>
        <v>25170.25</v>
      </c>
      <c r="F13" s="19">
        <f>'Data Sheet'!F65</f>
        <v>38863.56</v>
      </c>
      <c r="G13" s="19">
        <f>'Data Sheet'!G65</f>
        <v>26239.8</v>
      </c>
      <c r="H13" s="19">
        <f>'Data Sheet'!H65</f>
        <v>27099.38</v>
      </c>
      <c r="I13" s="19">
        <f>'Data Sheet'!I65</f>
        <v>26450.71</v>
      </c>
      <c r="J13" s="19">
        <f>'Data Sheet'!J65</f>
        <v>43626.96</v>
      </c>
      <c r="K13" s="19">
        <f>'Data Sheet'!K65</f>
        <v>54061.97</v>
      </c>
    </row>
    <row r="14" spans="1:11" s="8" customFormat="1">
      <c r="A14" s="8" t="s">
        <v>26</v>
      </c>
      <c r="B14" s="19">
        <f>'Data Sheet'!B66</f>
        <v>118101.92</v>
      </c>
      <c r="C14" s="19">
        <f>'Data Sheet'!C66</f>
        <v>130718.19</v>
      </c>
      <c r="D14" s="19">
        <f>'Data Sheet'!D66</f>
        <v>41679.379999999997</v>
      </c>
      <c r="E14" s="19">
        <f>'Data Sheet'!E66</f>
        <v>47611.47</v>
      </c>
      <c r="F14" s="19">
        <f>'Data Sheet'!F66</f>
        <v>56405.34</v>
      </c>
      <c r="G14" s="19">
        <f>'Data Sheet'!G66</f>
        <v>42536.18</v>
      </c>
      <c r="H14" s="19">
        <f>'Data Sheet'!H66</f>
        <v>46875.06</v>
      </c>
      <c r="I14" s="19">
        <f>'Data Sheet'!I66</f>
        <v>51616.72</v>
      </c>
      <c r="J14" s="19">
        <f>'Data Sheet'!J66</f>
        <v>101586.36</v>
      </c>
      <c r="K14" s="19">
        <f>'Data Sheet'!K66</f>
        <v>141278.48000000001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11296.420000000002</v>
      </c>
      <c r="C16" s="21">
        <f t="shared" ref="C16:K16" si="0">C13-C7</f>
        <v>17987.279999999995</v>
      </c>
      <c r="D16" s="21">
        <f t="shared" si="0"/>
        <v>13563.769999999999</v>
      </c>
      <c r="E16" s="21">
        <f t="shared" si="0"/>
        <v>12540.47</v>
      </c>
      <c r="F16" s="21">
        <f t="shared" si="0"/>
        <v>15184.079999999998</v>
      </c>
      <c r="G16" s="21">
        <f t="shared" si="0"/>
        <v>9702.7599999999984</v>
      </c>
      <c r="H16" s="21">
        <f t="shared" si="0"/>
        <v>9590.1900000000023</v>
      </c>
      <c r="I16" s="21">
        <f t="shared" si="0"/>
        <v>8219.619999999999</v>
      </c>
      <c r="J16" s="21">
        <f t="shared" si="0"/>
        <v>5901.1399999999994</v>
      </c>
      <c r="K16" s="21">
        <f t="shared" si="0"/>
        <v>-965.04000000000087</v>
      </c>
    </row>
    <row r="17" spans="1:11">
      <c r="A17" s="11" t="s">
        <v>44</v>
      </c>
      <c r="B17" s="21">
        <f>'Data Sheet'!B67</f>
        <v>10112.530000000001</v>
      </c>
      <c r="C17" s="21">
        <f>'Data Sheet'!C67</f>
        <v>15319.15</v>
      </c>
      <c r="D17" s="21">
        <f>'Data Sheet'!D67</f>
        <v>10187.459999999999</v>
      </c>
      <c r="E17" s="21">
        <f>'Data Sheet'!E67</f>
        <v>12741.75</v>
      </c>
      <c r="F17" s="21">
        <f>'Data Sheet'!F67</f>
        <v>12098.77</v>
      </c>
      <c r="G17" s="21">
        <f>'Data Sheet'!G67</f>
        <v>14307.03</v>
      </c>
      <c r="H17" s="21">
        <f>'Data Sheet'!H67</f>
        <v>13146.53</v>
      </c>
      <c r="I17" s="21">
        <f>'Data Sheet'!I67</f>
        <v>11982.65</v>
      </c>
      <c r="J17" s="21">
        <f>'Data Sheet'!J67</f>
        <v>13712.19</v>
      </c>
      <c r="K17" s="21">
        <f>'Data Sheet'!K67</f>
        <v>12552.88</v>
      </c>
    </row>
    <row r="18" spans="1:11">
      <c r="A18" s="11" t="s">
        <v>45</v>
      </c>
      <c r="B18" s="21">
        <f>'Data Sheet'!B68</f>
        <v>3924.07</v>
      </c>
      <c r="C18" s="21">
        <f>'Data Sheet'!C68</f>
        <v>4081.68</v>
      </c>
      <c r="D18" s="21">
        <f>'Data Sheet'!D68</f>
        <v>1299.78</v>
      </c>
      <c r="E18" s="21">
        <f>'Data Sheet'!E68</f>
        <v>1651.9</v>
      </c>
      <c r="F18" s="21">
        <f>'Data Sheet'!F68</f>
        <v>2342.56</v>
      </c>
      <c r="G18" s="21">
        <f>'Data Sheet'!G68</f>
        <v>2668.82</v>
      </c>
      <c r="H18" s="21">
        <f>'Data Sheet'!H68</f>
        <v>2562.37</v>
      </c>
      <c r="I18" s="21">
        <f>'Data Sheet'!I68</f>
        <v>1757.04</v>
      </c>
      <c r="J18" s="21">
        <f>'Data Sheet'!J68</f>
        <v>6788.28</v>
      </c>
      <c r="K18" s="21">
        <f>'Data Sheet'!K68</f>
        <v>6918.05</v>
      </c>
    </row>
    <row r="20" spans="1:11">
      <c r="A20" s="11" t="s">
        <v>46</v>
      </c>
      <c r="B20" s="5">
        <f>IF('Profit &amp; Loss'!B4&gt;0,'Balance Sheet'!B17/('Profit &amp; Loss'!B4/365),0)</f>
        <v>67.174889830641106</v>
      </c>
      <c r="C20" s="5">
        <f>IF('Profit &amp; Loss'!C4&gt;0,'Balance Sheet'!C17/('Profit &amp; Loss'!C4/365),0)</f>
        <v>86.736345690150486</v>
      </c>
      <c r="D20" s="5">
        <f>IF('Profit &amp; Loss'!D4&gt;0,'Balance Sheet'!D17/('Profit &amp; Loss'!D4/365),0)</f>
        <v>109.33843070443226</v>
      </c>
      <c r="E20" s="5">
        <f>IF('Profit &amp; Loss'!E4&gt;0,'Balance Sheet'!E17/('Profit &amp; Loss'!E4/365),0)</f>
        <v>127.3028925192279</v>
      </c>
      <c r="F20" s="5">
        <f>IF('Profit &amp; Loss'!F4&gt;0,'Balance Sheet'!F17/('Profit &amp; Loss'!F4/365),0)</f>
        <v>122.92787229233336</v>
      </c>
      <c r="G20" s="5">
        <f>IF('Profit &amp; Loss'!G4&gt;0,'Balance Sheet'!G17/('Profit &amp; Loss'!G4/365),0)</f>
        <v>129.32737119062395</v>
      </c>
      <c r="H20" s="5">
        <f>IF('Profit &amp; Loss'!H4&gt;0,'Balance Sheet'!H17/('Profit &amp; Loss'!H4/365),0)</f>
        <v>110.55761342188111</v>
      </c>
      <c r="I20" s="5">
        <f>IF('Profit &amp; Loss'!I4&gt;0,'Balance Sheet'!I17/('Profit &amp; Loss'!I4/365),0)</f>
        <v>110.6217687019771</v>
      </c>
      <c r="J20" s="5">
        <f>IF('Profit &amp; Loss'!J4&gt;0,'Balance Sheet'!J17/('Profit &amp; Loss'!J4/365),0)</f>
        <v>72.096461720496848</v>
      </c>
      <c r="K20" s="5">
        <f>IF('Profit &amp; Loss'!K4&gt;0,'Balance Sheet'!K17/('Profit &amp; Loss'!K4/365),0)</f>
        <v>33.449234386662475</v>
      </c>
    </row>
    <row r="21" spans="1:11">
      <c r="A21" s="11" t="s">
        <v>47</v>
      </c>
      <c r="B21" s="5">
        <f>IF('Balance Sheet'!B18&gt;0,'Profit &amp; Loss'!B4/'Balance Sheet'!B18,0)</f>
        <v>14.002609535507776</v>
      </c>
      <c r="C21" s="5">
        <f>IF('Balance Sheet'!C18&gt;0,'Profit &amp; Loss'!C4/'Balance Sheet'!C18,0)</f>
        <v>15.793829991572098</v>
      </c>
      <c r="D21" s="5">
        <f>IF('Balance Sheet'!D18&gt;0,'Profit &amp; Loss'!D4/'Balance Sheet'!D18,0)</f>
        <v>26.164720183415653</v>
      </c>
      <c r="E21" s="5">
        <f>IF('Balance Sheet'!E18&gt;0,'Profit &amp; Loss'!E4/'Balance Sheet'!E18,0)</f>
        <v>22.115660754282946</v>
      </c>
      <c r="F21" s="5">
        <f>IF('Balance Sheet'!F18&gt;0,'Profit &amp; Loss'!F4/'Balance Sheet'!F18,0)</f>
        <v>15.33532545591148</v>
      </c>
      <c r="G21" s="5">
        <f>IF('Balance Sheet'!G18&gt;0,'Profit &amp; Loss'!G4/'Balance Sheet'!G18,0)</f>
        <v>15.129780202486492</v>
      </c>
      <c r="H21" s="5">
        <f>IF('Balance Sheet'!H18&gt;0,'Profit &amp; Loss'!H4/'Balance Sheet'!H18,0)</f>
        <v>16.938443706412421</v>
      </c>
      <c r="I21" s="5">
        <f>IF('Balance Sheet'!I18&gt;0,'Profit &amp; Loss'!I4/'Balance Sheet'!I18,0)</f>
        <v>22.502122888494284</v>
      </c>
      <c r="J21" s="5">
        <f>IF('Balance Sheet'!J18&gt;0,'Profit &amp; Loss'!J4/'Balance Sheet'!J18,0)</f>
        <v>10.226475631529636</v>
      </c>
      <c r="K21" s="5">
        <f>IF('Balance Sheet'!K18&gt;0,'Profit &amp; Loss'!K4/'Balance Sheet'!K18,0)</f>
        <v>19.80005348327925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9.3477806087336093E-2</v>
      </c>
      <c r="C23" s="14">
        <f>IF(SUM('Balance Sheet'!C4:C5)&gt;0,'Profit &amp; Loss'!C12/SUM('Balance Sheet'!C4:C5),"")</f>
        <v>7.5717676708588866E-2</v>
      </c>
      <c r="D23" s="14">
        <f>IF(SUM('Balance Sheet'!D4:D5)&gt;0,'Profit &amp; Loss'!D12/SUM('Balance Sheet'!D4:D5),"")</f>
        <v>7.5553107019863799E-2</v>
      </c>
      <c r="E23" s="14">
        <f>IF(SUM('Balance Sheet'!E4:E5)&gt;0,'Profit &amp; Loss'!E12/SUM('Balance Sheet'!E4:E5),"")</f>
        <v>6.9874228652154757E-2</v>
      </c>
      <c r="F23" s="14">
        <f>IF(SUM('Balance Sheet'!F4:F5)&gt;0,'Profit &amp; Loss'!F12/SUM('Balance Sheet'!F4:F5),"")</f>
        <v>5.0185000235268076E-2</v>
      </c>
      <c r="G23" s="14">
        <f>IF(SUM('Balance Sheet'!G4:G5)&gt;0,'Profit &amp; Loss'!G12/SUM('Balance Sheet'!G4:G5),"")</f>
        <v>4.8600089184423358E-2</v>
      </c>
      <c r="H23" s="14">
        <f>IF(SUM('Balance Sheet'!H4:H5)&gt;0,'Profit &amp; Loss'!H12/SUM('Balance Sheet'!H4:H5),"")</f>
        <v>6.7162263514091644E-2</v>
      </c>
      <c r="I23" s="14">
        <f>IF(SUM('Balance Sheet'!I4:I5)&gt;0,'Profit &amp; Loss'!I12/SUM('Balance Sheet'!I4:I5),"")</f>
        <v>5.3771380715292708E-2</v>
      </c>
      <c r="J23" s="14">
        <f>IF(SUM('Balance Sheet'!J4:J5)&gt;0,'Profit &amp; Loss'!J12/SUM('Balance Sheet'!J4:J5),"")</f>
        <v>3.4891364369346319E-2</v>
      </c>
      <c r="K23" s="14">
        <f>IF(SUM('Balance Sheet'!K4:K5)&gt;0,'Profit &amp; Loss'!K12/SUM('Balance Sheet'!K4:K5),"")</f>
        <v>7.4821919209125523E-2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9.4809700327104243E-2</v>
      </c>
      <c r="D24" s="14">
        <f>IF((C4+C5+C6+D4+D5+D6)&gt;0,('Profit &amp; Loss'!D10+'Profit &amp; Loss'!D9)*2/(C4+C5+C6+D4+D5+D6),"")</f>
        <v>3.401971202311023E-2</v>
      </c>
      <c r="E24" s="14">
        <f>IF((D4+D5+D6+E4+E5+E6)&gt;0,('Profit &amp; Loss'!E10+'Profit &amp; Loss'!E9)*2/(D4+D5+D6+E4+E5+E6),"")</f>
        <v>6.9190780505755708E-2</v>
      </c>
      <c r="F24" s="14">
        <f>IF((E4+E5+E6+F4+F5+F6)&gt;0,('Profit &amp; Loss'!F10+'Profit &amp; Loss'!F9)*2/(E4+E5+E6+F4+F5+F6),"")</f>
        <v>5.130890129682731E-2</v>
      </c>
      <c r="G24" s="14">
        <f>IF((F4+F5+F6+G4+G5+G6)&gt;0,('Profit &amp; Loss'!G10+'Profit &amp; Loss'!G9)*2/(F4+F5+F6+G4+G5+G6),"")</f>
        <v>7.0967730949340141E-2</v>
      </c>
      <c r="H24" s="14">
        <f>IF((G4+G5+G6+H4+H5+H6)&gt;0,('Profit &amp; Loss'!H10+'Profit &amp; Loss'!H9)*2/(G4+G5+G6+H4+H5+H6),"")</f>
        <v>9.7341263010699355E-2</v>
      </c>
      <c r="I24" s="14">
        <f>IF((H4+H5+H6+I4+I5+I6)&gt;0,('Profit &amp; Loss'!I10+'Profit &amp; Loss'!I9)*2/(H4+H5+H6+I4+I5+I6),"")</f>
        <v>7.8494378620431376E-2</v>
      </c>
      <c r="J24" s="14">
        <f>IF((I4+I5+I6+J4+J5+J6)&gt;0,('Profit &amp; Loss'!J10+'Profit &amp; Loss'!J9)*2/(I4+I5+I6+J4+J5+J6),"")</f>
        <v>7.1528369703403233E-2</v>
      </c>
      <c r="K24" s="14">
        <f>IF((J4+J5+J6+K4+K5+K6)&gt;0,('Profit &amp; Loss'!K10+'Profit &amp; Loss'!K9)*2/(J4+J5+J6+K4+K5+K6),"")</f>
        <v>9.6193235970925994E-2</v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>
      <c r="A1" s="8" t="str">
        <f>'Balance Sheet'!A1</f>
        <v>ADANI ENTERPRISES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8227.7199999999993</v>
      </c>
      <c r="C4" s="1">
        <f>'Data Sheet'!C82</f>
        <v>8531.66</v>
      </c>
      <c r="D4" s="1">
        <f>'Data Sheet'!D82</f>
        <v>5112.01</v>
      </c>
      <c r="E4" s="1">
        <f>'Data Sheet'!E82</f>
        <v>774.07</v>
      </c>
      <c r="F4" s="1">
        <f>'Data Sheet'!F82</f>
        <v>2942.39</v>
      </c>
      <c r="G4" s="1">
        <f>'Data Sheet'!G82</f>
        <v>3235.92</v>
      </c>
      <c r="H4" s="1">
        <f>'Data Sheet'!H82</f>
        <v>2453.56</v>
      </c>
      <c r="I4" s="1">
        <f>'Data Sheet'!I82</f>
        <v>4043.31</v>
      </c>
      <c r="J4" s="1">
        <f>'Data Sheet'!J82</f>
        <v>1385.28</v>
      </c>
      <c r="K4" s="1">
        <f>'Data Sheet'!K82</f>
        <v>17626.46</v>
      </c>
    </row>
    <row r="5" spans="1:11">
      <c r="A5" s="6" t="s">
        <v>33</v>
      </c>
      <c r="B5" s="9">
        <f>'Data Sheet'!B83</f>
        <v>-8007.37</v>
      </c>
      <c r="C5" s="9">
        <f>'Data Sheet'!C83</f>
        <v>-11464.74</v>
      </c>
      <c r="D5" s="9">
        <f>'Data Sheet'!D83</f>
        <v>-1825.17</v>
      </c>
      <c r="E5" s="9">
        <f>'Data Sheet'!E83</f>
        <v>-1459.77</v>
      </c>
      <c r="F5" s="9">
        <f>'Data Sheet'!F83</f>
        <v>-7648.85</v>
      </c>
      <c r="G5" s="9">
        <f>'Data Sheet'!G83</f>
        <v>2486.91</v>
      </c>
      <c r="H5" s="9">
        <f>'Data Sheet'!H83</f>
        <v>-1081.8499999999999</v>
      </c>
      <c r="I5" s="9">
        <f>'Data Sheet'!I83</f>
        <v>-8610.66</v>
      </c>
      <c r="J5" s="9">
        <f>'Data Sheet'!J83</f>
        <v>-17040.62</v>
      </c>
      <c r="K5" s="9">
        <f>'Data Sheet'!K83</f>
        <v>-15458.84</v>
      </c>
    </row>
    <row r="6" spans="1:11">
      <c r="A6" s="6" t="s">
        <v>34</v>
      </c>
      <c r="B6" s="9">
        <f>'Data Sheet'!B84</f>
        <v>-1108.53</v>
      </c>
      <c r="C6" s="9">
        <f>'Data Sheet'!C84</f>
        <v>3445.23</v>
      </c>
      <c r="D6" s="9">
        <f>'Data Sheet'!D84</f>
        <v>-3448.05</v>
      </c>
      <c r="E6" s="9">
        <f>'Data Sheet'!E84</f>
        <v>715.82</v>
      </c>
      <c r="F6" s="9">
        <f>'Data Sheet'!F84</f>
        <v>5119.57</v>
      </c>
      <c r="G6" s="9">
        <f>'Data Sheet'!G84</f>
        <v>-6158.41</v>
      </c>
      <c r="H6" s="9">
        <f>'Data Sheet'!H84</f>
        <v>-220.9</v>
      </c>
      <c r="I6" s="9">
        <f>'Data Sheet'!I84</f>
        <v>3108.81</v>
      </c>
      <c r="J6" s="9">
        <f>'Data Sheet'!J84</f>
        <v>15901.42</v>
      </c>
      <c r="K6" s="9">
        <f>'Data Sheet'!K84</f>
        <v>-1197.52</v>
      </c>
    </row>
    <row r="7" spans="1:11" s="8" customFormat="1">
      <c r="A7" s="8" t="s">
        <v>35</v>
      </c>
      <c r="B7" s="1">
        <f>'Data Sheet'!B85</f>
        <v>-888.18</v>
      </c>
      <c r="C7" s="1">
        <f>'Data Sheet'!C85</f>
        <v>512.15</v>
      </c>
      <c r="D7" s="1">
        <f>'Data Sheet'!D85</f>
        <v>-161.21</v>
      </c>
      <c r="E7" s="1">
        <f>'Data Sheet'!E85</f>
        <v>30.12</v>
      </c>
      <c r="F7" s="1">
        <f>'Data Sheet'!F85</f>
        <v>413.11</v>
      </c>
      <c r="G7" s="1">
        <f>'Data Sheet'!G85</f>
        <v>-435.58</v>
      </c>
      <c r="H7" s="1">
        <f>'Data Sheet'!H85</f>
        <v>1150.81</v>
      </c>
      <c r="I7" s="1">
        <f>'Data Sheet'!I85</f>
        <v>-1458.54</v>
      </c>
      <c r="J7" s="1">
        <f>'Data Sheet'!J85</f>
        <v>246.08</v>
      </c>
      <c r="K7" s="1">
        <f>'Data Sheet'!K85</f>
        <v>970.1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>
      <c r="A1" s="1" t="s">
        <v>0</v>
      </c>
      <c r="B1" s="1" t="s">
        <v>63</v>
      </c>
      <c r="E1" s="34" t="str">
        <f>IF(B2&lt;&gt;B3, "A NEW VERSION OF THE WORKSHEET IS AVAILABLE", "")</f>
        <v/>
      </c>
      <c r="F1" s="34"/>
      <c r="G1" s="34"/>
      <c r="H1" s="34"/>
      <c r="I1" s="34"/>
      <c r="J1" s="34"/>
      <c r="K1" s="34"/>
    </row>
    <row r="2" spans="1:11">
      <c r="A2" s="1" t="s">
        <v>61</v>
      </c>
      <c r="B2" s="5">
        <v>2.1</v>
      </c>
      <c r="E2" s="35" t="s">
        <v>36</v>
      </c>
      <c r="F2" s="35"/>
      <c r="G2" s="35"/>
      <c r="H2" s="35"/>
      <c r="I2" s="35"/>
      <c r="J2" s="35"/>
      <c r="K2" s="35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114.00011330704028</v>
      </c>
    </row>
    <row r="7" spans="1:11">
      <c r="A7" s="5" t="s">
        <v>31</v>
      </c>
      <c r="B7">
        <v>1</v>
      </c>
    </row>
    <row r="8" spans="1:11">
      <c r="A8" s="5" t="s">
        <v>43</v>
      </c>
      <c r="B8">
        <v>2294.65</v>
      </c>
    </row>
    <row r="9" spans="1:11">
      <c r="A9" s="5" t="s">
        <v>79</v>
      </c>
      <c r="B9">
        <v>261590.36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54947.22</v>
      </c>
      <c r="C17">
        <v>64465.36</v>
      </c>
      <c r="D17">
        <v>34008.379999999997</v>
      </c>
      <c r="E17">
        <v>36532.86</v>
      </c>
      <c r="F17">
        <v>35923.919999999998</v>
      </c>
      <c r="G17">
        <v>40378.660000000003</v>
      </c>
      <c r="H17">
        <v>43402.559999999998</v>
      </c>
      <c r="I17">
        <v>39537.129999999997</v>
      </c>
      <c r="J17">
        <v>69420.179999999993</v>
      </c>
      <c r="K17">
        <v>136977.76</v>
      </c>
    </row>
    <row r="18" spans="1:11" s="9" customFormat="1">
      <c r="A18" s="5" t="s">
        <v>80</v>
      </c>
      <c r="B18">
        <v>38408.699999999997</v>
      </c>
      <c r="C18">
        <v>42515.78</v>
      </c>
      <c r="D18">
        <v>28195.81</v>
      </c>
      <c r="E18">
        <v>30945.16</v>
      </c>
      <c r="F18">
        <v>30771.08</v>
      </c>
      <c r="G18">
        <v>33821.4</v>
      </c>
      <c r="H18">
        <v>34350.199999999997</v>
      </c>
      <c r="I18">
        <v>29791.08</v>
      </c>
      <c r="J18">
        <v>57651.32</v>
      </c>
      <c r="K18">
        <v>103239.89</v>
      </c>
    </row>
    <row r="19" spans="1:11" s="9" customFormat="1">
      <c r="A19" s="5" t="s">
        <v>81</v>
      </c>
      <c r="B19">
        <v>676.69</v>
      </c>
      <c r="C19">
        <v>-295.08999999999997</v>
      </c>
      <c r="D19">
        <v>-226.21</v>
      </c>
      <c r="E19">
        <v>-36.380000000000003</v>
      </c>
      <c r="F19">
        <v>772.74</v>
      </c>
      <c r="G19">
        <v>499.99</v>
      </c>
      <c r="H19">
        <v>-310.13</v>
      </c>
      <c r="I19">
        <v>-456.74</v>
      </c>
      <c r="J19">
        <v>3933.82</v>
      </c>
      <c r="K19">
        <v>327.16000000000003</v>
      </c>
    </row>
    <row r="20" spans="1:11" s="9" customFormat="1">
      <c r="A20" s="5" t="s">
        <v>82</v>
      </c>
      <c r="B20">
        <v>31.18</v>
      </c>
      <c r="C20">
        <v>30.62</v>
      </c>
      <c r="D20">
        <v>7.5</v>
      </c>
      <c r="E20">
        <v>7.42</v>
      </c>
      <c r="F20">
        <v>2.91</v>
      </c>
      <c r="G20">
        <v>5.74</v>
      </c>
      <c r="H20">
        <v>12.22</v>
      </c>
      <c r="I20">
        <v>13.4</v>
      </c>
      <c r="J20">
        <v>58.98</v>
      </c>
      <c r="K20">
        <v>18.43</v>
      </c>
    </row>
    <row r="21" spans="1:11" s="9" customFormat="1">
      <c r="A21" s="5" t="s">
        <v>83</v>
      </c>
      <c r="B21">
        <v>3625.38</v>
      </c>
      <c r="C21">
        <v>4254.57</v>
      </c>
      <c r="D21">
        <v>1705.69</v>
      </c>
      <c r="E21">
        <v>1910.37</v>
      </c>
      <c r="F21">
        <v>2204.89</v>
      </c>
      <c r="G21">
        <v>2551.2800000000002</v>
      </c>
      <c r="H21">
        <v>3115.25</v>
      </c>
      <c r="I21">
        <v>4357.88</v>
      </c>
      <c r="J21">
        <v>7793.57</v>
      </c>
      <c r="K21">
        <v>14377.98</v>
      </c>
    </row>
    <row r="22" spans="1:11" s="9" customFormat="1">
      <c r="A22" s="5" t="s">
        <v>84</v>
      </c>
      <c r="B22">
        <v>829.76</v>
      </c>
      <c r="C22">
        <v>1151.79</v>
      </c>
      <c r="D22">
        <v>528.99</v>
      </c>
      <c r="E22">
        <v>511.48</v>
      </c>
      <c r="F22">
        <v>568.97</v>
      </c>
      <c r="G22">
        <v>657.18</v>
      </c>
      <c r="H22">
        <v>683.28</v>
      </c>
      <c r="I22">
        <v>830.36</v>
      </c>
      <c r="J22">
        <v>1182.0999999999999</v>
      </c>
      <c r="K22">
        <v>1879.22</v>
      </c>
    </row>
    <row r="23" spans="1:11" s="9" customFormat="1">
      <c r="A23" s="5" t="s">
        <v>85</v>
      </c>
      <c r="B23">
        <v>2566.34</v>
      </c>
      <c r="C23">
        <v>3069.77</v>
      </c>
      <c r="D23">
        <v>1358.01</v>
      </c>
      <c r="E23">
        <v>1004.69</v>
      </c>
      <c r="F23">
        <v>928.28</v>
      </c>
      <c r="G23">
        <v>1230.6199999999999</v>
      </c>
      <c r="H23">
        <v>1954.57</v>
      </c>
      <c r="I23">
        <v>1306.48</v>
      </c>
      <c r="J23">
        <v>2412.38</v>
      </c>
      <c r="K23">
        <v>8136.44</v>
      </c>
    </row>
    <row r="24" spans="1:11" s="9" customFormat="1">
      <c r="A24" s="5" t="s">
        <v>86</v>
      </c>
      <c r="B24">
        <v>779.77</v>
      </c>
      <c r="C24">
        <v>697.84</v>
      </c>
      <c r="D24">
        <v>302.58</v>
      </c>
      <c r="E24">
        <v>215.13</v>
      </c>
      <c r="F24">
        <v>182.82</v>
      </c>
      <c r="G24">
        <v>643.09</v>
      </c>
      <c r="H24">
        <v>682.52</v>
      </c>
      <c r="I24">
        <v>275.54000000000002</v>
      </c>
      <c r="J24">
        <v>542.04999999999995</v>
      </c>
      <c r="K24">
        <v>824.98</v>
      </c>
    </row>
    <row r="25" spans="1:11" s="9" customFormat="1">
      <c r="A25" s="9" t="s">
        <v>9</v>
      </c>
      <c r="B25">
        <v>1157.07</v>
      </c>
      <c r="C25">
        <v>791.64</v>
      </c>
      <c r="D25">
        <v>1043.6300000000001</v>
      </c>
      <c r="E25">
        <v>749.41</v>
      </c>
      <c r="F25">
        <v>363.21</v>
      </c>
      <c r="G25">
        <v>504.22</v>
      </c>
      <c r="H25">
        <v>872.32</v>
      </c>
      <c r="I25">
        <v>494.31</v>
      </c>
      <c r="J25">
        <v>1012.11</v>
      </c>
      <c r="K25">
        <v>828.04</v>
      </c>
    </row>
    <row r="26" spans="1:11" s="9" customFormat="1">
      <c r="A26" s="9" t="s">
        <v>10</v>
      </c>
      <c r="B26">
        <v>3223.07</v>
      </c>
      <c r="C26">
        <v>3521.86</v>
      </c>
      <c r="D26">
        <v>314.45</v>
      </c>
      <c r="E26">
        <v>315.45999999999998</v>
      </c>
      <c r="F26">
        <v>663.92</v>
      </c>
      <c r="G26">
        <v>389.77</v>
      </c>
      <c r="H26">
        <v>472.06</v>
      </c>
      <c r="I26">
        <v>537.14</v>
      </c>
      <c r="J26">
        <v>1247.78</v>
      </c>
      <c r="K26">
        <v>2436.14</v>
      </c>
    </row>
    <row r="27" spans="1:11" s="9" customFormat="1">
      <c r="A27" s="9" t="s">
        <v>11</v>
      </c>
      <c r="B27">
        <v>5703.04</v>
      </c>
      <c r="C27">
        <v>7056.29</v>
      </c>
      <c r="D27">
        <v>1356.99</v>
      </c>
      <c r="E27">
        <v>1257.31</v>
      </c>
      <c r="F27">
        <v>1250.17</v>
      </c>
      <c r="G27">
        <v>1625.07</v>
      </c>
      <c r="H27">
        <v>1572.32</v>
      </c>
      <c r="I27">
        <v>1376.85</v>
      </c>
      <c r="J27">
        <v>2525.88</v>
      </c>
      <c r="K27">
        <v>3969.98</v>
      </c>
    </row>
    <row r="28" spans="1:11" s="9" customFormat="1">
      <c r="A28" s="9" t="s">
        <v>12</v>
      </c>
      <c r="B28">
        <v>1613.74</v>
      </c>
      <c r="C28">
        <v>2663.39</v>
      </c>
      <c r="D28">
        <v>1055.78</v>
      </c>
      <c r="E28">
        <v>1078.8699999999999</v>
      </c>
      <c r="F28">
        <v>486.83</v>
      </c>
      <c r="G28">
        <v>458.72</v>
      </c>
      <c r="H28">
        <v>1122.33</v>
      </c>
      <c r="I28">
        <v>1085.97</v>
      </c>
      <c r="J28">
        <v>952.05</v>
      </c>
      <c r="K28">
        <v>3249.9</v>
      </c>
    </row>
    <row r="29" spans="1:11" s="9" customFormat="1">
      <c r="A29" s="9" t="s">
        <v>13</v>
      </c>
      <c r="B29">
        <v>-1031.92</v>
      </c>
      <c r="C29">
        <v>365.39</v>
      </c>
      <c r="D29">
        <v>77.94</v>
      </c>
      <c r="E29">
        <v>271.14999999999998</v>
      </c>
      <c r="F29">
        <v>112.11</v>
      </c>
      <c r="G29">
        <v>144.54</v>
      </c>
      <c r="H29">
        <v>324.33</v>
      </c>
      <c r="I29">
        <v>339.65</v>
      </c>
      <c r="J29">
        <v>476.68</v>
      </c>
      <c r="K29">
        <v>1040.96</v>
      </c>
    </row>
    <row r="30" spans="1:11" s="9" customFormat="1">
      <c r="A30" s="9" t="s">
        <v>14</v>
      </c>
      <c r="B30">
        <v>2220.77</v>
      </c>
      <c r="C30">
        <v>1948.05</v>
      </c>
      <c r="D30">
        <v>1010.72</v>
      </c>
      <c r="E30">
        <v>987.74</v>
      </c>
      <c r="F30">
        <v>757.25</v>
      </c>
      <c r="G30">
        <v>717.14</v>
      </c>
      <c r="H30">
        <v>1138.17</v>
      </c>
      <c r="I30">
        <v>922.64</v>
      </c>
      <c r="J30">
        <v>776.56</v>
      </c>
      <c r="K30">
        <v>2472.94</v>
      </c>
    </row>
    <row r="31" spans="1:11" s="9" customFormat="1">
      <c r="A31" s="9" t="s">
        <v>70</v>
      </c>
      <c r="B31">
        <v>153.97</v>
      </c>
      <c r="C31">
        <v>153.97</v>
      </c>
      <c r="D31">
        <v>43.99</v>
      </c>
      <c r="E31">
        <v>43.99</v>
      </c>
      <c r="F31">
        <v>43.99</v>
      </c>
      <c r="G31">
        <v>43.99</v>
      </c>
      <c r="H31">
        <v>109.98</v>
      </c>
      <c r="I31">
        <v>109.98</v>
      </c>
      <c r="J31">
        <v>109.98</v>
      </c>
      <c r="K31">
        <v>136.80000000000001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44286</v>
      </c>
      <c r="C41" s="16">
        <v>44377</v>
      </c>
      <c r="D41" s="16">
        <v>44469</v>
      </c>
      <c r="E41" s="16">
        <v>44561</v>
      </c>
      <c r="F41" s="16">
        <v>44651</v>
      </c>
      <c r="G41" s="16">
        <v>44742</v>
      </c>
      <c r="H41" s="16">
        <v>44834</v>
      </c>
      <c r="I41" s="16">
        <v>44926</v>
      </c>
      <c r="J41" s="16">
        <v>45016</v>
      </c>
      <c r="K41" s="16">
        <v>45107</v>
      </c>
    </row>
    <row r="42" spans="1:11" s="9" customFormat="1">
      <c r="A42" s="9" t="s">
        <v>6</v>
      </c>
      <c r="B42">
        <v>13525.07</v>
      </c>
      <c r="C42">
        <v>12578.77</v>
      </c>
      <c r="D42">
        <v>13218.02</v>
      </c>
      <c r="E42">
        <v>18757.87</v>
      </c>
      <c r="F42">
        <v>24865.52</v>
      </c>
      <c r="G42">
        <v>40844.25</v>
      </c>
      <c r="H42">
        <v>38175.230000000003</v>
      </c>
      <c r="I42">
        <v>26612.23</v>
      </c>
      <c r="J42">
        <v>31346.05</v>
      </c>
      <c r="K42">
        <v>25438.45</v>
      </c>
    </row>
    <row r="43" spans="1:11" s="9" customFormat="1">
      <c r="A43" s="9" t="s">
        <v>7</v>
      </c>
      <c r="B43">
        <v>12621.38</v>
      </c>
      <c r="C43">
        <v>11782.33</v>
      </c>
      <c r="D43">
        <v>12335.43</v>
      </c>
      <c r="E43">
        <v>17986.150000000001</v>
      </c>
      <c r="F43">
        <v>23603.08</v>
      </c>
      <c r="G43">
        <v>39101.86</v>
      </c>
      <c r="H43">
        <v>36305.879999999997</v>
      </c>
      <c r="I43">
        <v>24983.06</v>
      </c>
      <c r="J43">
        <v>27758.98</v>
      </c>
      <c r="K43">
        <v>22914.45</v>
      </c>
    </row>
    <row r="44" spans="1:11" s="9" customFormat="1">
      <c r="A44" s="9" t="s">
        <v>9</v>
      </c>
      <c r="B44">
        <v>-15.57</v>
      </c>
      <c r="C44">
        <v>151.86000000000001</v>
      </c>
      <c r="D44">
        <v>379.09</v>
      </c>
      <c r="E44">
        <v>205.53</v>
      </c>
      <c r="F44">
        <v>276.04000000000002</v>
      </c>
      <c r="G44">
        <v>222.18</v>
      </c>
      <c r="H44">
        <v>266.23</v>
      </c>
      <c r="I44">
        <v>338.6</v>
      </c>
      <c r="J44">
        <v>1.03</v>
      </c>
      <c r="K44">
        <v>371.49</v>
      </c>
    </row>
    <row r="45" spans="1:11" s="9" customFormat="1">
      <c r="A45" s="9" t="s">
        <v>10</v>
      </c>
      <c r="B45">
        <v>156.19999999999999</v>
      </c>
      <c r="C45">
        <v>125.63</v>
      </c>
      <c r="D45">
        <v>319.58</v>
      </c>
      <c r="E45">
        <v>353.94</v>
      </c>
      <c r="F45">
        <v>448.63</v>
      </c>
      <c r="G45">
        <v>417.1</v>
      </c>
      <c r="H45">
        <v>531.39</v>
      </c>
      <c r="I45">
        <v>592.22</v>
      </c>
      <c r="J45">
        <v>895.43</v>
      </c>
      <c r="K45">
        <v>713.86</v>
      </c>
    </row>
    <row r="46" spans="1:11" s="9" customFormat="1">
      <c r="A46" s="9" t="s">
        <v>11</v>
      </c>
      <c r="B46">
        <v>436.37</v>
      </c>
      <c r="C46">
        <v>443.13</v>
      </c>
      <c r="D46">
        <v>753.53</v>
      </c>
      <c r="E46">
        <v>707.68</v>
      </c>
      <c r="F46">
        <v>621.54</v>
      </c>
      <c r="G46">
        <v>915</v>
      </c>
      <c r="H46">
        <v>933.98</v>
      </c>
      <c r="I46">
        <v>595.9</v>
      </c>
      <c r="J46">
        <v>1525.1</v>
      </c>
      <c r="K46">
        <v>1103.1099999999999</v>
      </c>
    </row>
    <row r="47" spans="1:11" s="9" customFormat="1">
      <c r="A47" s="9" t="s">
        <v>12</v>
      </c>
      <c r="B47">
        <v>295.55</v>
      </c>
      <c r="C47">
        <v>379.54</v>
      </c>
      <c r="D47">
        <v>188.57</v>
      </c>
      <c r="E47">
        <v>-84.37</v>
      </c>
      <c r="F47">
        <v>468.31</v>
      </c>
      <c r="G47">
        <v>632.47</v>
      </c>
      <c r="H47">
        <v>670.21</v>
      </c>
      <c r="I47">
        <v>779.65</v>
      </c>
      <c r="J47">
        <v>1167.57</v>
      </c>
      <c r="K47">
        <v>1078.52</v>
      </c>
    </row>
    <row r="48" spans="1:11" s="9" customFormat="1">
      <c r="A48" s="9" t="s">
        <v>13</v>
      </c>
      <c r="B48">
        <v>86.42</v>
      </c>
      <c r="C48">
        <v>182.76</v>
      </c>
      <c r="D48">
        <v>66.83</v>
      </c>
      <c r="E48">
        <v>13.79</v>
      </c>
      <c r="F48">
        <v>213.3</v>
      </c>
      <c r="G48">
        <v>221.74</v>
      </c>
      <c r="H48">
        <v>231.31</v>
      </c>
      <c r="I48">
        <v>142.99</v>
      </c>
      <c r="J48">
        <v>444.92</v>
      </c>
      <c r="K48">
        <v>360.36</v>
      </c>
    </row>
    <row r="49" spans="1:11" s="9" customFormat="1">
      <c r="A49" s="9" t="s">
        <v>14</v>
      </c>
      <c r="B49">
        <v>233.95</v>
      </c>
      <c r="C49">
        <v>271.45999999999998</v>
      </c>
      <c r="D49">
        <v>212.41</v>
      </c>
      <c r="E49">
        <v>-11.63</v>
      </c>
      <c r="F49">
        <v>304.32</v>
      </c>
      <c r="G49">
        <v>469.46</v>
      </c>
      <c r="H49">
        <v>460.94</v>
      </c>
      <c r="I49">
        <v>820.06</v>
      </c>
      <c r="J49">
        <v>722.48</v>
      </c>
      <c r="K49">
        <v>673.93</v>
      </c>
    </row>
    <row r="50" spans="1:11">
      <c r="A50" s="9" t="s">
        <v>8</v>
      </c>
      <c r="B50">
        <v>903.69</v>
      </c>
      <c r="C50">
        <v>796.44</v>
      </c>
      <c r="D50">
        <v>882.59</v>
      </c>
      <c r="E50">
        <v>771.72</v>
      </c>
      <c r="F50">
        <v>1262.44</v>
      </c>
      <c r="G50">
        <v>1742.39</v>
      </c>
      <c r="H50">
        <v>1869.35</v>
      </c>
      <c r="I50">
        <v>1629.17</v>
      </c>
      <c r="J50">
        <v>3587.07</v>
      </c>
      <c r="K50">
        <v>2524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109.98</v>
      </c>
      <c r="C57">
        <v>109.98</v>
      </c>
      <c r="D57">
        <v>109.98</v>
      </c>
      <c r="E57">
        <v>109.98</v>
      </c>
      <c r="F57">
        <v>109.98</v>
      </c>
      <c r="G57">
        <v>109.98</v>
      </c>
      <c r="H57">
        <v>109.98</v>
      </c>
      <c r="I57">
        <v>109.98</v>
      </c>
      <c r="J57">
        <v>109.98</v>
      </c>
      <c r="K57">
        <v>114</v>
      </c>
    </row>
    <row r="58" spans="1:11">
      <c r="A58" s="9" t="s">
        <v>25</v>
      </c>
      <c r="B58">
        <v>23647.21</v>
      </c>
      <c r="C58">
        <v>25617.83</v>
      </c>
      <c r="D58">
        <v>13267.63</v>
      </c>
      <c r="E58">
        <v>14025.99</v>
      </c>
      <c r="F58">
        <v>14979.19</v>
      </c>
      <c r="G58">
        <v>14645.96</v>
      </c>
      <c r="H58">
        <v>16836.59</v>
      </c>
      <c r="I58">
        <v>17048.59</v>
      </c>
      <c r="J58">
        <v>22146.53</v>
      </c>
      <c r="K58">
        <v>32937.01</v>
      </c>
    </row>
    <row r="59" spans="1:11">
      <c r="A59" s="9" t="s">
        <v>71</v>
      </c>
      <c r="B59">
        <v>71979.92</v>
      </c>
      <c r="C59">
        <v>83570.64</v>
      </c>
      <c r="D59">
        <v>19169.349999999999</v>
      </c>
      <c r="E59">
        <v>20845.72</v>
      </c>
      <c r="F59">
        <v>17636.689999999999</v>
      </c>
      <c r="G59">
        <v>11243.2</v>
      </c>
      <c r="H59">
        <v>12419.3</v>
      </c>
      <c r="I59">
        <v>16227.06</v>
      </c>
      <c r="J59">
        <v>41604.03</v>
      </c>
      <c r="K59">
        <v>53200.46</v>
      </c>
    </row>
    <row r="60" spans="1:11">
      <c r="A60" s="9" t="s">
        <v>72</v>
      </c>
      <c r="B60">
        <v>22364.81</v>
      </c>
      <c r="C60">
        <v>21419.74</v>
      </c>
      <c r="D60">
        <v>9132.42</v>
      </c>
      <c r="E60">
        <v>12629.78</v>
      </c>
      <c r="F60">
        <v>23679.48</v>
      </c>
      <c r="G60">
        <v>16537.04</v>
      </c>
      <c r="H60">
        <v>17509.189999999999</v>
      </c>
      <c r="I60">
        <v>18231.09</v>
      </c>
      <c r="J60">
        <v>37725.82</v>
      </c>
      <c r="K60">
        <v>55027.01</v>
      </c>
    </row>
    <row r="61" spans="1:11" s="1" customFormat="1">
      <c r="A61" s="1" t="s">
        <v>26</v>
      </c>
      <c r="B61">
        <v>118101.92</v>
      </c>
      <c r="C61">
        <v>130718.19</v>
      </c>
      <c r="D61">
        <v>41679.379999999997</v>
      </c>
      <c r="E61">
        <v>47611.47</v>
      </c>
      <c r="F61">
        <v>56405.34</v>
      </c>
      <c r="G61">
        <v>42536.18</v>
      </c>
      <c r="H61">
        <v>46875.06</v>
      </c>
      <c r="I61">
        <v>51616.72</v>
      </c>
      <c r="J61">
        <v>101586.36</v>
      </c>
      <c r="K61">
        <v>141278.48000000001</v>
      </c>
    </row>
    <row r="62" spans="1:11">
      <c r="A62" s="9" t="s">
        <v>27</v>
      </c>
      <c r="B62">
        <v>70578.7</v>
      </c>
      <c r="C62">
        <v>83834.039999999994</v>
      </c>
      <c r="D62">
        <v>10473.299999999999</v>
      </c>
      <c r="E62">
        <v>13667.98</v>
      </c>
      <c r="F62">
        <v>10555.19</v>
      </c>
      <c r="G62">
        <v>9020.11</v>
      </c>
      <c r="H62">
        <v>10476.459999999999</v>
      </c>
      <c r="I62">
        <v>10837.61</v>
      </c>
      <c r="J62">
        <v>30122.77</v>
      </c>
      <c r="K62">
        <v>56881.13</v>
      </c>
    </row>
    <row r="63" spans="1:11">
      <c r="A63" s="9" t="s">
        <v>28</v>
      </c>
      <c r="B63">
        <v>13573.6</v>
      </c>
      <c r="C63">
        <v>6733.02</v>
      </c>
      <c r="D63">
        <v>7704.94</v>
      </c>
      <c r="E63">
        <v>7731.49</v>
      </c>
      <c r="F63">
        <v>5525.87</v>
      </c>
      <c r="G63">
        <v>5764.92</v>
      </c>
      <c r="H63">
        <v>7346.73</v>
      </c>
      <c r="I63">
        <v>8825.4599999999991</v>
      </c>
      <c r="J63">
        <v>23544.42</v>
      </c>
      <c r="K63">
        <v>24025.21</v>
      </c>
    </row>
    <row r="64" spans="1:11">
      <c r="A64" s="9" t="s">
        <v>29</v>
      </c>
      <c r="B64">
        <v>288.39</v>
      </c>
      <c r="C64">
        <v>744.11</v>
      </c>
      <c r="D64">
        <v>804.95</v>
      </c>
      <c r="E64">
        <v>1041.75</v>
      </c>
      <c r="F64">
        <v>1460.72</v>
      </c>
      <c r="G64">
        <v>1511.35</v>
      </c>
      <c r="H64">
        <v>1952.49</v>
      </c>
      <c r="I64">
        <v>5502.94</v>
      </c>
      <c r="J64">
        <v>4292.21</v>
      </c>
      <c r="K64">
        <v>6310.17</v>
      </c>
    </row>
    <row r="65" spans="1:11">
      <c r="A65" s="9" t="s">
        <v>73</v>
      </c>
      <c r="B65">
        <v>33661.230000000003</v>
      </c>
      <c r="C65">
        <v>39407.019999999997</v>
      </c>
      <c r="D65">
        <v>22696.19</v>
      </c>
      <c r="E65">
        <v>25170.25</v>
      </c>
      <c r="F65">
        <v>38863.56</v>
      </c>
      <c r="G65">
        <v>26239.8</v>
      </c>
      <c r="H65">
        <v>27099.38</v>
      </c>
      <c r="I65">
        <v>26450.71</v>
      </c>
      <c r="J65">
        <v>43626.96</v>
      </c>
      <c r="K65">
        <v>54061.97</v>
      </c>
    </row>
    <row r="66" spans="1:11" s="1" customFormat="1">
      <c r="A66" s="1" t="s">
        <v>26</v>
      </c>
      <c r="B66">
        <v>118101.92</v>
      </c>
      <c r="C66">
        <v>130718.19</v>
      </c>
      <c r="D66">
        <v>41679.379999999997</v>
      </c>
      <c r="E66">
        <v>47611.47</v>
      </c>
      <c r="F66">
        <v>56405.34</v>
      </c>
      <c r="G66">
        <v>42536.18</v>
      </c>
      <c r="H66">
        <v>46875.06</v>
      </c>
      <c r="I66">
        <v>51616.72</v>
      </c>
      <c r="J66">
        <v>101586.36</v>
      </c>
      <c r="K66">
        <v>141278.48000000001</v>
      </c>
    </row>
    <row r="67" spans="1:11" s="9" customFormat="1">
      <c r="A67" s="9" t="s">
        <v>78</v>
      </c>
      <c r="B67">
        <v>10112.530000000001</v>
      </c>
      <c r="C67">
        <v>15319.15</v>
      </c>
      <c r="D67">
        <v>10187.459999999999</v>
      </c>
      <c r="E67">
        <v>12741.75</v>
      </c>
      <c r="F67">
        <v>12098.77</v>
      </c>
      <c r="G67">
        <v>14307.03</v>
      </c>
      <c r="H67">
        <v>13146.53</v>
      </c>
      <c r="I67">
        <v>11982.65</v>
      </c>
      <c r="J67">
        <v>13712.19</v>
      </c>
      <c r="K67">
        <v>12552.88</v>
      </c>
    </row>
    <row r="68" spans="1:11">
      <c r="A68" s="9" t="s">
        <v>45</v>
      </c>
      <c r="B68">
        <v>3924.07</v>
      </c>
      <c r="C68">
        <v>4081.68</v>
      </c>
      <c r="D68">
        <v>1299.78</v>
      </c>
      <c r="E68">
        <v>1651.9</v>
      </c>
      <c r="F68">
        <v>2342.56</v>
      </c>
      <c r="G68">
        <v>2668.82</v>
      </c>
      <c r="H68">
        <v>2562.37</v>
      </c>
      <c r="I68">
        <v>1757.04</v>
      </c>
      <c r="J68">
        <v>6788.28</v>
      </c>
      <c r="K68">
        <v>6918.05</v>
      </c>
    </row>
    <row r="69" spans="1:11">
      <c r="A69" s="5" t="s">
        <v>87</v>
      </c>
      <c r="B69">
        <v>3721.12</v>
      </c>
      <c r="C69">
        <v>3651.04</v>
      </c>
      <c r="D69">
        <v>1539.5</v>
      </c>
      <c r="E69">
        <v>1715.09</v>
      </c>
      <c r="F69">
        <v>1884.25</v>
      </c>
      <c r="G69">
        <v>1709.28</v>
      </c>
      <c r="H69">
        <v>3376.68</v>
      </c>
      <c r="I69">
        <v>1810.82</v>
      </c>
      <c r="J69">
        <v>3915.86</v>
      </c>
      <c r="K69">
        <v>5373.69</v>
      </c>
    </row>
    <row r="70" spans="1:11">
      <c r="A70" s="5" t="s">
        <v>74</v>
      </c>
      <c r="B70">
        <v>1099810100</v>
      </c>
      <c r="C70">
        <v>1099810083</v>
      </c>
      <c r="D70">
        <v>1099810083</v>
      </c>
      <c r="E70">
        <v>1099810083</v>
      </c>
      <c r="F70">
        <v>1099810083</v>
      </c>
      <c r="G70">
        <v>1099810083</v>
      </c>
      <c r="H70">
        <v>1099810083</v>
      </c>
      <c r="I70">
        <v>1099810083</v>
      </c>
      <c r="J70">
        <v>1099810083</v>
      </c>
      <c r="K70">
        <v>1140001121</v>
      </c>
    </row>
    <row r="71" spans="1:11">
      <c r="A71" s="5" t="s">
        <v>75</v>
      </c>
    </row>
    <row r="72" spans="1:11">
      <c r="A72" s="5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8227.7199999999993</v>
      </c>
      <c r="C82">
        <v>8531.66</v>
      </c>
      <c r="D82">
        <v>5112.01</v>
      </c>
      <c r="E82">
        <v>774.07</v>
      </c>
      <c r="F82">
        <v>2942.39</v>
      </c>
      <c r="G82">
        <v>3235.92</v>
      </c>
      <c r="H82">
        <v>2453.56</v>
      </c>
      <c r="I82">
        <v>4043.31</v>
      </c>
      <c r="J82">
        <v>1385.28</v>
      </c>
      <c r="K82">
        <v>17626.46</v>
      </c>
    </row>
    <row r="83" spans="1:11" s="9" customFormat="1">
      <c r="A83" s="9" t="s">
        <v>33</v>
      </c>
      <c r="B83">
        <v>-8007.37</v>
      </c>
      <c r="C83">
        <v>-11464.74</v>
      </c>
      <c r="D83">
        <v>-1825.17</v>
      </c>
      <c r="E83">
        <v>-1459.77</v>
      </c>
      <c r="F83">
        <v>-7648.85</v>
      </c>
      <c r="G83">
        <v>2486.91</v>
      </c>
      <c r="H83">
        <v>-1081.8499999999999</v>
      </c>
      <c r="I83">
        <v>-8610.66</v>
      </c>
      <c r="J83">
        <v>-17040.62</v>
      </c>
      <c r="K83">
        <v>-15458.84</v>
      </c>
    </row>
    <row r="84" spans="1:11" s="9" customFormat="1">
      <c r="A84" s="9" t="s">
        <v>34</v>
      </c>
      <c r="B84">
        <v>-1108.53</v>
      </c>
      <c r="C84">
        <v>3445.23</v>
      </c>
      <c r="D84">
        <v>-3448.05</v>
      </c>
      <c r="E84">
        <v>715.82</v>
      </c>
      <c r="F84">
        <v>5119.57</v>
      </c>
      <c r="G84">
        <v>-6158.41</v>
      </c>
      <c r="H84">
        <v>-220.9</v>
      </c>
      <c r="I84">
        <v>3108.81</v>
      </c>
      <c r="J84">
        <v>15901.42</v>
      </c>
      <c r="K84">
        <v>-1197.52</v>
      </c>
    </row>
    <row r="85" spans="1:11" s="1" customFormat="1">
      <c r="A85" s="9" t="s">
        <v>35</v>
      </c>
      <c r="B85">
        <v>-888.18</v>
      </c>
      <c r="C85">
        <v>512.15</v>
      </c>
      <c r="D85">
        <v>-161.21</v>
      </c>
      <c r="E85">
        <v>30.12</v>
      </c>
      <c r="F85">
        <v>413.11</v>
      </c>
      <c r="G85">
        <v>-435.58</v>
      </c>
      <c r="H85">
        <v>1150.81</v>
      </c>
      <c r="I85">
        <v>-1458.54</v>
      </c>
      <c r="J85">
        <v>246.08</v>
      </c>
      <c r="K85">
        <v>970.1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131.49</v>
      </c>
      <c r="C90">
        <v>219.86</v>
      </c>
      <c r="D90">
        <v>49.31</v>
      </c>
      <c r="E90">
        <v>72.53</v>
      </c>
      <c r="F90">
        <v>104.5</v>
      </c>
      <c r="G90">
        <v>146.75</v>
      </c>
      <c r="H90">
        <v>137.6</v>
      </c>
      <c r="I90">
        <v>1031.1500000000001</v>
      </c>
      <c r="J90">
        <v>2014.75</v>
      </c>
      <c r="K90">
        <v>1750.45</v>
      </c>
    </row>
    <row r="92" spans="1:11" s="1" customFormat="1">
      <c r="A92" s="1" t="s">
        <v>76</v>
      </c>
    </row>
    <row r="93" spans="1:11">
      <c r="A93" s="5" t="s">
        <v>89</v>
      </c>
      <c r="B93" s="31">
        <v>109.98</v>
      </c>
      <c r="C93" s="31">
        <v>109.98</v>
      </c>
      <c r="D93" s="31">
        <v>109.98</v>
      </c>
      <c r="E93" s="31">
        <v>109.98</v>
      </c>
      <c r="F93" s="31">
        <v>109.98</v>
      </c>
      <c r="G93" s="31">
        <v>109.98</v>
      </c>
      <c r="H93" s="31">
        <v>109.98</v>
      </c>
      <c r="I93" s="31">
        <v>109.98</v>
      </c>
      <c r="J93" s="31">
        <v>109.98</v>
      </c>
      <c r="K93" s="31">
        <v>114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2023-10-31T18:14:41Z</dcterms:modified>
</cp:coreProperties>
</file>