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504" windowWidth="23256" windowHeight="13176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2451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" i="1"/>
  <c r="D5"/>
  <c r="E5"/>
  <c r="F5"/>
  <c r="G5"/>
  <c r="H5"/>
  <c r="I5"/>
  <c r="J5"/>
  <c r="K5"/>
  <c r="C6"/>
  <c r="D6"/>
  <c r="E6"/>
  <c r="F6"/>
  <c r="G6"/>
  <c r="H6"/>
  <c r="I6"/>
  <c r="J6"/>
  <c r="K6"/>
  <c r="C7"/>
  <c r="D7"/>
  <c r="E7"/>
  <c r="F7"/>
  <c r="G7"/>
  <c r="H7"/>
  <c r="I7"/>
  <c r="J7"/>
  <c r="K7"/>
  <c r="C8"/>
  <c r="D8"/>
  <c r="E8"/>
  <c r="F8"/>
  <c r="G8"/>
  <c r="H8"/>
  <c r="I8"/>
  <c r="J8"/>
  <c r="K8"/>
  <c r="C9"/>
  <c r="D9"/>
  <c r="E9"/>
  <c r="F9"/>
  <c r="G9"/>
  <c r="H9"/>
  <c r="I9"/>
  <c r="J9"/>
  <c r="K9"/>
  <c r="C10"/>
  <c r="D10"/>
  <c r="E10"/>
  <c r="F10"/>
  <c r="G10"/>
  <c r="H10"/>
  <c r="I10"/>
  <c r="J10"/>
  <c r="K10"/>
  <c r="C11"/>
  <c r="D11"/>
  <c r="E11"/>
  <c r="F11"/>
  <c r="G11"/>
  <c r="H11"/>
  <c r="I11"/>
  <c r="J11"/>
  <c r="K11"/>
  <c r="C12"/>
  <c r="D12"/>
  <c r="E12"/>
  <c r="F12"/>
  <c r="G12"/>
  <c r="H12"/>
  <c r="I12"/>
  <c r="J12"/>
  <c r="K12"/>
  <c r="C13"/>
  <c r="D13"/>
  <c r="E13"/>
  <c r="F13"/>
  <c r="G13"/>
  <c r="H13"/>
  <c r="I13"/>
  <c r="J13"/>
  <c r="K13"/>
  <c r="C14"/>
  <c r="D14"/>
  <c r="E14"/>
  <c r="F14"/>
  <c r="G14"/>
  <c r="H14"/>
  <c r="I14"/>
  <c r="J14"/>
  <c r="K14"/>
  <c r="C15"/>
  <c r="D15"/>
  <c r="E15"/>
  <c r="F15"/>
  <c r="G15"/>
  <c r="H15"/>
  <c r="I15"/>
  <c r="J15"/>
  <c r="K15"/>
  <c r="D4"/>
  <c r="E4"/>
  <c r="F4"/>
  <c r="G4"/>
  <c r="H4"/>
  <c r="I4"/>
  <c r="J4"/>
  <c r="K4"/>
  <c r="C6" i="3" l="1"/>
  <c r="D6"/>
  <c r="E6"/>
  <c r="F6"/>
  <c r="G6"/>
  <c r="H6"/>
  <c r="I6"/>
  <c r="J6"/>
  <c r="K6"/>
  <c r="L6" i="1" s="1"/>
  <c r="B6" i="3"/>
  <c r="B5" i="1"/>
  <c r="B6" i="6"/>
  <c r="C17" i="2"/>
  <c r="D17"/>
  <c r="E17"/>
  <c r="F17"/>
  <c r="G17"/>
  <c r="H17"/>
  <c r="I17"/>
  <c r="J17"/>
  <c r="K17"/>
  <c r="C18"/>
  <c r="D18"/>
  <c r="E18"/>
  <c r="F18"/>
  <c r="G18"/>
  <c r="H18"/>
  <c r="I18"/>
  <c r="J18"/>
  <c r="K18"/>
  <c r="B17"/>
  <c r="C4"/>
  <c r="D4"/>
  <c r="E4"/>
  <c r="F24" s="1"/>
  <c r="E5"/>
  <c r="F4"/>
  <c r="G4"/>
  <c r="H4"/>
  <c r="I4"/>
  <c r="I5"/>
  <c r="J4"/>
  <c r="J5"/>
  <c r="K4"/>
  <c r="C5"/>
  <c r="D5"/>
  <c r="F5"/>
  <c r="G5"/>
  <c r="H5"/>
  <c r="H23" s="1"/>
  <c r="K5"/>
  <c r="C6"/>
  <c r="D6"/>
  <c r="E6"/>
  <c r="F6"/>
  <c r="G6"/>
  <c r="H6"/>
  <c r="I6"/>
  <c r="J6"/>
  <c r="K6"/>
  <c r="C7"/>
  <c r="D7"/>
  <c r="E7"/>
  <c r="F7"/>
  <c r="G7"/>
  <c r="H7"/>
  <c r="H16" s="1"/>
  <c r="I7"/>
  <c r="I16" s="1"/>
  <c r="J7"/>
  <c r="K7"/>
  <c r="C8"/>
  <c r="D8"/>
  <c r="E8"/>
  <c r="F8"/>
  <c r="G8"/>
  <c r="H8"/>
  <c r="I8"/>
  <c r="J8"/>
  <c r="K8"/>
  <c r="C10"/>
  <c r="D10"/>
  <c r="E10"/>
  <c r="F10"/>
  <c r="G10"/>
  <c r="H10"/>
  <c r="I10"/>
  <c r="J10"/>
  <c r="K10"/>
  <c r="C11"/>
  <c r="D11"/>
  <c r="E11"/>
  <c r="F11"/>
  <c r="G11"/>
  <c r="H11"/>
  <c r="I11"/>
  <c r="J11"/>
  <c r="K11"/>
  <c r="C12"/>
  <c r="D12"/>
  <c r="E12"/>
  <c r="F12"/>
  <c r="G12"/>
  <c r="H12"/>
  <c r="I12"/>
  <c r="J12"/>
  <c r="K12"/>
  <c r="C13"/>
  <c r="D13"/>
  <c r="E13"/>
  <c r="F13"/>
  <c r="G13"/>
  <c r="H13"/>
  <c r="I13"/>
  <c r="J13"/>
  <c r="K13"/>
  <c r="K16" s="1"/>
  <c r="C14"/>
  <c r="D14"/>
  <c r="E14"/>
  <c r="F14"/>
  <c r="G14"/>
  <c r="H14"/>
  <c r="I14"/>
  <c r="J14"/>
  <c r="K14"/>
  <c r="B14"/>
  <c r="B5"/>
  <c r="B4"/>
  <c r="C4" i="4"/>
  <c r="D4"/>
  <c r="E4"/>
  <c r="F4"/>
  <c r="G4"/>
  <c r="H4"/>
  <c r="I4"/>
  <c r="J4"/>
  <c r="K4"/>
  <c r="C5"/>
  <c r="D5"/>
  <c r="E5"/>
  <c r="F5"/>
  <c r="G5"/>
  <c r="H5"/>
  <c r="I5"/>
  <c r="J5"/>
  <c r="K5"/>
  <c r="C6"/>
  <c r="D6"/>
  <c r="E6"/>
  <c r="F6"/>
  <c r="G6"/>
  <c r="H6"/>
  <c r="I6"/>
  <c r="J6"/>
  <c r="K6"/>
  <c r="C7"/>
  <c r="D7"/>
  <c r="E7"/>
  <c r="F7"/>
  <c r="G7"/>
  <c r="H7"/>
  <c r="I7"/>
  <c r="J7"/>
  <c r="K7"/>
  <c r="C4" i="3"/>
  <c r="D4"/>
  <c r="D14" s="1"/>
  <c r="E4"/>
  <c r="F4"/>
  <c r="G4"/>
  <c r="H4"/>
  <c r="I4"/>
  <c r="J4"/>
  <c r="J14" s="1"/>
  <c r="K4"/>
  <c r="C5"/>
  <c r="D5"/>
  <c r="E5"/>
  <c r="F5"/>
  <c r="G5"/>
  <c r="H5"/>
  <c r="I5"/>
  <c r="L5" i="1" s="1"/>
  <c r="J5" i="3"/>
  <c r="K5"/>
  <c r="C7"/>
  <c r="D7"/>
  <c r="E7"/>
  <c r="F7"/>
  <c r="G7"/>
  <c r="H7"/>
  <c r="I7"/>
  <c r="J7"/>
  <c r="K7"/>
  <c r="C8"/>
  <c r="D8"/>
  <c r="E8"/>
  <c r="F8"/>
  <c r="G8"/>
  <c r="H8"/>
  <c r="I8"/>
  <c r="J8"/>
  <c r="K8"/>
  <c r="C9"/>
  <c r="D9"/>
  <c r="E9"/>
  <c r="F9"/>
  <c r="G9"/>
  <c r="H9"/>
  <c r="I9"/>
  <c r="J9"/>
  <c r="K9"/>
  <c r="C10"/>
  <c r="D10"/>
  <c r="E10"/>
  <c r="F10"/>
  <c r="G10"/>
  <c r="H10"/>
  <c r="I10"/>
  <c r="J10"/>
  <c r="K10"/>
  <c r="C11"/>
  <c r="D11"/>
  <c r="E11"/>
  <c r="F11"/>
  <c r="G11"/>
  <c r="H11"/>
  <c r="I11"/>
  <c r="J11"/>
  <c r="K11"/>
  <c r="C12"/>
  <c r="D12"/>
  <c r="E12"/>
  <c r="F12"/>
  <c r="G12"/>
  <c r="H12"/>
  <c r="I12"/>
  <c r="J12"/>
  <c r="K12"/>
  <c r="B5"/>
  <c r="C18" i="1"/>
  <c r="D18"/>
  <c r="E18"/>
  <c r="F18"/>
  <c r="G18"/>
  <c r="H18"/>
  <c r="I18"/>
  <c r="J18"/>
  <c r="K18"/>
  <c r="B18"/>
  <c r="C4"/>
  <c r="F20" i="2"/>
  <c r="G20"/>
  <c r="K19" i="1"/>
  <c r="C23" i="2"/>
  <c r="I23"/>
  <c r="B15" i="1"/>
  <c r="B7"/>
  <c r="B4"/>
  <c r="B20" i="2" s="1"/>
  <c r="A1" i="1"/>
  <c r="E1" i="6"/>
  <c r="H1" i="1" s="1"/>
  <c r="E1" i="2"/>
  <c r="E1" i="3"/>
  <c r="D16" i="2"/>
  <c r="K23"/>
  <c r="F23"/>
  <c r="C16"/>
  <c r="G23"/>
  <c r="F16"/>
  <c r="E19" i="1"/>
  <c r="D23" i="2"/>
  <c r="I19" i="1"/>
  <c r="J19"/>
  <c r="C19"/>
  <c r="D19"/>
  <c r="C3" i="4"/>
  <c r="D3"/>
  <c r="E3"/>
  <c r="F3"/>
  <c r="G3"/>
  <c r="H3"/>
  <c r="I3"/>
  <c r="J3"/>
  <c r="K3"/>
  <c r="C3" i="2"/>
  <c r="D3"/>
  <c r="E3"/>
  <c r="F3"/>
  <c r="G3"/>
  <c r="H3"/>
  <c r="I3"/>
  <c r="J3"/>
  <c r="K3"/>
  <c r="C3" i="3"/>
  <c r="D3"/>
  <c r="E3"/>
  <c r="F3"/>
  <c r="G3"/>
  <c r="H3"/>
  <c r="I3"/>
  <c r="J3"/>
  <c r="K3"/>
  <c r="C3" i="1"/>
  <c r="D3"/>
  <c r="E3"/>
  <c r="F3"/>
  <c r="G3"/>
  <c r="H3"/>
  <c r="I3"/>
  <c r="J3"/>
  <c r="K3"/>
  <c r="B7" i="4"/>
  <c r="B6"/>
  <c r="B5"/>
  <c r="B4"/>
  <c r="B3"/>
  <c r="K21" i="2"/>
  <c r="J21"/>
  <c r="I21"/>
  <c r="H21"/>
  <c r="G21"/>
  <c r="F21"/>
  <c r="E21"/>
  <c r="D21"/>
  <c r="C21"/>
  <c r="B18"/>
  <c r="B21" s="1"/>
  <c r="B13"/>
  <c r="B12"/>
  <c r="B11"/>
  <c r="B10"/>
  <c r="B8"/>
  <c r="B7"/>
  <c r="B6"/>
  <c r="B3"/>
  <c r="H14" i="3"/>
  <c r="F14"/>
  <c r="B12"/>
  <c r="B11"/>
  <c r="B10"/>
  <c r="B9"/>
  <c r="B8"/>
  <c r="B7"/>
  <c r="B4"/>
  <c r="B14" s="1"/>
  <c r="B3"/>
  <c r="L15" i="1"/>
  <c r="B12"/>
  <c r="B23" i="2" s="1"/>
  <c r="B11" i="1"/>
  <c r="B10"/>
  <c r="B9"/>
  <c r="B8"/>
  <c r="B3"/>
  <c r="E14" i="3"/>
  <c r="I14"/>
  <c r="G14"/>
  <c r="K20" i="2"/>
  <c r="D20"/>
  <c r="J20"/>
  <c r="C20"/>
  <c r="E20"/>
  <c r="L12" i="1"/>
  <c r="L13" s="1"/>
  <c r="L14" s="1"/>
  <c r="L25" s="1"/>
  <c r="L11"/>
  <c r="L10"/>
  <c r="A1" i="3"/>
  <c r="A1" i="2"/>
  <c r="A1" i="4" s="1"/>
  <c r="H23" i="1"/>
  <c r="I23"/>
  <c r="J23"/>
  <c r="L19" l="1"/>
  <c r="L24" s="1"/>
  <c r="B14"/>
  <c r="K14" i="3"/>
  <c r="C14"/>
  <c r="K24" i="2"/>
  <c r="B13" i="1"/>
  <c r="N11"/>
  <c r="B6"/>
  <c r="B19" s="1"/>
  <c r="K24"/>
  <c r="M24" s="1"/>
  <c r="L9"/>
  <c r="N9" s="1"/>
  <c r="L8"/>
  <c r="L7"/>
  <c r="E16" i="2"/>
  <c r="J23"/>
  <c r="E23"/>
  <c r="G24"/>
  <c r="C24"/>
  <c r="H24"/>
  <c r="G19" i="1"/>
  <c r="I24" i="2"/>
  <c r="L4" i="1"/>
  <c r="L23" s="1"/>
  <c r="J24" i="2"/>
  <c r="D24"/>
  <c r="M11" i="1"/>
  <c r="B16" i="2"/>
  <c r="J16"/>
  <c r="G16"/>
  <c r="E24"/>
  <c r="N8" i="1"/>
  <c r="M8"/>
  <c r="I20" i="2"/>
  <c r="H20"/>
  <c r="K23" i="1"/>
  <c r="H19"/>
  <c r="F19"/>
  <c r="E1" i="4"/>
  <c r="M23" i="1" l="1"/>
  <c r="M4" s="1"/>
  <c r="M6" s="1"/>
  <c r="M10" s="1"/>
  <c r="M12" s="1"/>
  <c r="M13" s="1"/>
  <c r="J24"/>
  <c r="I24"/>
  <c r="H24"/>
  <c r="I25"/>
  <c r="H25"/>
  <c r="K25"/>
  <c r="M25" s="1"/>
  <c r="M14" s="1"/>
  <c r="J25"/>
  <c r="N23"/>
  <c r="N4" s="1"/>
  <c r="M9"/>
  <c r="N24" l="1"/>
  <c r="N6" s="1"/>
  <c r="N25"/>
  <c r="N14" s="1"/>
  <c r="M15"/>
  <c r="M5"/>
  <c r="N10" l="1"/>
  <c r="N12" s="1"/>
  <c r="N13" s="1"/>
  <c r="N15" s="1"/>
  <c r="N5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<sst xmlns="http://schemas.openxmlformats.org/spreadsheetml/2006/main" count="145" uniqueCount="93">
  <si>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</si>
  <si>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</si>
  <si>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</si>
  <si>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</si>
  <si>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</si>
  <si>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</si>
  <si>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</si>
  <si>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</si>
  <si>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</si>
  <si>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</si>
  <si>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</si>
  <si>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</si>
  <si>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</si>
  <si>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</si>
  <si>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</si>
  <si>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</si>
  <si>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</si>
  <si>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</si>
  <si>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</si>
  <si>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</si>
  <si>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</si>
  <si>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</si>
  <si>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</si>
  <si>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</si>
  <si>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</si>
  <si>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</si>
  <si>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</si>
  <si>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</si>
  <si>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</si>
  <si>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</si>
  <si>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</si>
  <si>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</si>
  <si>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</si>
  <si>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</si>
  <si>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</si>
  <si>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</si>
  <si>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</si>
  <si>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</si>
  <si>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</si>
  <si>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</si>
  <si>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</si>
  <si>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</si>
  <si>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</si>
  <si>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</si>
  <si>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</si>
  <si>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</si>
  <si>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</si>
  <si>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</si>
  <si>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</si>
  <si>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</si>
  <si>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</si>
  <si>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</si>
  <si>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</si>
  <si>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</si>
  <si>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</si>
  <si>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</si>
  <si>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</si>
  <si>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</si>
  <si>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</si>
  <si>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</si>
  <si>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</si>
  <si>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</si>
  <si>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</si>
  <si>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COAL INDIA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</si>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</sst>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64" formatCode="_(* #,##0.00_);_(* \(#,##0.00\);_(* &quot;-&quot;??_);_(@_)"/>
    <numFmt numFmtId="165" formatCode="[$-409]mmm\-yy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6">
    <xf numFmtId="0" fontId="0" fillId="0" borderId="0" xfId="0"/>
    <xf numFmtId="43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43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43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43" fontId="2" fillId="2" borderId="0" xfId="3" applyNumberFormat="1" applyFont="1" applyBorder="1"/>
    <xf numFmtId="43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43" fontId="0" fillId="0" borderId="0" xfId="1" applyNumberFormat="1" applyFont="1" applyBorder="1" applyAlignment="1">
      <alignment horizontal="center"/>
    </xf>
    <xf numFmtId="43" fontId="1" fillId="0" borderId="0" xfId="1" applyNumberFormat="1" applyFont="1" applyBorder="1" applyAlignment="1">
      <alignment horizontal="center"/>
    </xf>
    <xf numFmtId="43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164" fontId="0" fillId="0" borderId="0" xfId="1" applyNumberFormat="1" applyFont="1" applyBorder="1"/>
    <xf numFmtId="2" fontId="1" fillId="0" borderId="0" xfId="1" applyNumberFormat="1" applyFont="1" applyBorder="1"/>
    <xf numFmtId="43" fontId="4" fillId="0" borderId="0" xfId="2" applyNumberFormat="1" applyBorder="1" applyAlignment="1" applyProtection="1">
      <alignment horizontal="center"/>
    </xf>
    <xf numFmtId="43" fontId="2" fillId="4" borderId="0" xfId="5" applyNumberFormat="1" applyFont="1" applyBorder="1" applyAlignment="1">
      <alignment horizontal="center"/>
    </xf>
    <xf numFmtId="2" fontId="3" fillId="0" borderId="0" xfId="1" applyNumberFormat="1" applyFont="1" applyBorder="1"/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B5" activePane="bottomRight" state="frozen"/>
      <selection activeCell="I2" sqref="I2"/>
      <selection pane="topRight" activeCell="I2" sqref="I2"/>
      <selection pane="bottomLeft" activeCell="I2" sqref="I2"/>
      <selection pane="bottomRight" activeCell="B4" sqref="B4:K15"/>
    </sheetView>
  </sheetViews>
  <sheetFormatPr defaultColWidth="8.77734375" defaultRowHeight="14.4"/>
  <cols>
    <col min="1" max="1" width="20.6640625" style="6" customWidth="1"/>
    <col min="2" max="6" width="13.44140625" style="6" customWidth="1"/>
    <col min="7" max="7" width="14.77734375" style="6" bestFit="1" customWidth="1"/>
    <col min="8" max="11" width="13.44140625" style="6" customWidth="1"/>
    <col min="12" max="12" width="13.33203125" style="6" customWidth="1"/>
    <col min="13" max="14" width="12.109375" style="6" customWidth="1"/>
    <col min="15" max="16384" width="8.77734375" style="6"/>
  </cols>
  <sheetData>
    <row r="1" spans="1:14" s="8" customFormat="1">
      <c r="A1" s="8" t="str">
        <f>'Data Sheet'!B1</f>
        <v>COAL INDIA LTD</v>
      </c>
      <c r="H1" t="str">
        <f>UPDATE</f>
        <v/>
      </c>
      <c r="J1" s="3"/>
      <c r="K1" s="3"/>
      <c r="M1" s="8" t="s">
        <v>1</v>
      </c>
    </row>
    <row r="3" spans="1:14" s="2" customFormat="1">
      <c r="A3" s="15" t="s">
        <v>2</v>
      </c>
      <c r="B3" s="16">
        <f>'Data Sheet'!B16</f>
        <v>41729</v>
      </c>
      <c r="C3" s="16">
        <f>'Data Sheet'!C16</f>
        <v>42094</v>
      </c>
      <c r="D3" s="16">
        <f>'Data Sheet'!D16</f>
        <v>42460</v>
      </c>
      <c r="E3" s="16">
        <f>'Data Sheet'!E16</f>
        <v>42825</v>
      </c>
      <c r="F3" s="16">
        <f>'Data Sheet'!F16</f>
        <v>43190</v>
      </c>
      <c r="G3" s="16">
        <f>'Data Sheet'!G16</f>
        <v>43555</v>
      </c>
      <c r="H3" s="16">
        <f>'Data Sheet'!H16</f>
        <v>43921</v>
      </c>
      <c r="I3" s="16">
        <f>'Data Sheet'!I16</f>
        <v>44286</v>
      </c>
      <c r="J3" s="16">
        <f>'Data Sheet'!J16</f>
        <v>44651</v>
      </c>
      <c r="K3" s="16">
        <f>'Data Sheet'!K16</f>
        <v>45016</v>
      </c>
      <c r="L3" s="17" t="s">
        <v>3</v>
      </c>
      <c r="M3" s="17" t="s">
        <v>4</v>
      </c>
      <c r="N3" s="17" t="s">
        <v>5</v>
      </c>
    </row>
    <row r="4" spans="1:14" s="8" customFormat="1">
      <c r="A4" s="8" t="s">
        <v>6</v>
      </c>
      <c r="B4" s="32">
        <f>'Data Sheet'!B17</f>
        <v>70607.520000000004</v>
      </c>
      <c r="C4" s="32">
        <f>'Data Sheet'!C17</f>
        <v>74120.070000000007</v>
      </c>
      <c r="D4" s="32">
        <f>'Data Sheet'!D17</f>
        <v>77861.320000000007</v>
      </c>
      <c r="E4" s="32">
        <f>'Data Sheet'!E17</f>
        <v>78163.600000000006</v>
      </c>
      <c r="F4" s="32">
        <f>'Data Sheet'!F17</f>
        <v>85244.24</v>
      </c>
      <c r="G4" s="32">
        <f>'Data Sheet'!G17</f>
        <v>99585.61</v>
      </c>
      <c r="H4" s="32">
        <f>'Data Sheet'!H17</f>
        <v>96080.34</v>
      </c>
      <c r="I4" s="32">
        <f>'Data Sheet'!I17</f>
        <v>90026.01</v>
      </c>
      <c r="J4" s="32">
        <f>'Data Sheet'!J17</f>
        <v>109715.42</v>
      </c>
      <c r="K4" s="32">
        <f>'Data Sheet'!K17</f>
        <v>138251.91</v>
      </c>
      <c r="L4" s="1">
        <f>SUM(Quarters!H4:K4)</f>
        <v>139142.94999999998</v>
      </c>
      <c r="M4" s="1">
        <f>$K4+M23*K4</f>
        <v>174210.61340920083</v>
      </c>
      <c r="N4" s="1">
        <f>$K4+N23*L4</f>
        <v>149037.96933801332</v>
      </c>
    </row>
    <row r="5" spans="1:14">
      <c r="A5" s="6" t="s">
        <v>7</v>
      </c>
      <c r="B5" s="35">
        <f>SUM('Data Sheet'!B18,'Data Sheet'!B20:B24, -1*'Data Sheet'!B19)</f>
        <v>52841.740000000005</v>
      </c>
      <c r="C5" s="32">
        <f>'Data Sheet'!C18</f>
        <v>7256.44</v>
      </c>
      <c r="D5" s="32">
        <f>'Data Sheet'!D18</f>
        <v>7039.76</v>
      </c>
      <c r="E5" s="32">
        <f>'Data Sheet'!E18</f>
        <v>0</v>
      </c>
      <c r="F5" s="32">
        <f>'Data Sheet'!F18</f>
        <v>0</v>
      </c>
      <c r="G5" s="32">
        <f>'Data Sheet'!G18</f>
        <v>0</v>
      </c>
      <c r="H5" s="32">
        <f>'Data Sheet'!H18</f>
        <v>60.8</v>
      </c>
      <c r="I5" s="32">
        <f>'Data Sheet'!I18</f>
        <v>282.33999999999997</v>
      </c>
      <c r="J5" s="32">
        <f>'Data Sheet'!J18</f>
        <v>103.56</v>
      </c>
      <c r="K5" s="32">
        <f>'Data Sheet'!K18</f>
        <v>469.74</v>
      </c>
      <c r="L5" s="9">
        <f>SUM(Quarters!H5:K5)</f>
        <v>104226.73000000001</v>
      </c>
      <c r="M5" s="9">
        <f t="shared" ref="M5:N5" si="0">M4-M6</f>
        <v>130494.59255345064</v>
      </c>
      <c r="N5" s="9">
        <f t="shared" si="0"/>
        <v>147902.59753091508</v>
      </c>
    </row>
    <row r="6" spans="1:14" s="8" customFormat="1">
      <c r="A6" s="8" t="s">
        <v>8</v>
      </c>
      <c r="B6" s="32">
        <f>B4-B5</f>
        <v>17765.78</v>
      </c>
      <c r="C6" s="32">
        <f>'Data Sheet'!C19</f>
        <v>530.48</v>
      </c>
      <c r="D6" s="32">
        <f>'Data Sheet'!D19</f>
        <v>1444.22</v>
      </c>
      <c r="E6" s="32">
        <f>'Data Sheet'!E19</f>
        <v>1238.3800000000001</v>
      </c>
      <c r="F6" s="32">
        <f>'Data Sheet'!F19</f>
        <v>-1679.46</v>
      </c>
      <c r="G6" s="32">
        <f>'Data Sheet'!G19</f>
        <v>-856.24</v>
      </c>
      <c r="H6" s="32">
        <f>'Data Sheet'!H19</f>
        <v>1042.5</v>
      </c>
      <c r="I6" s="32">
        <f>'Data Sheet'!I19</f>
        <v>2351.2600000000002</v>
      </c>
      <c r="J6" s="32">
        <f>'Data Sheet'!J19</f>
        <v>-2308.4899999999998</v>
      </c>
      <c r="K6" s="32">
        <f>'Data Sheet'!K19</f>
        <v>678.12</v>
      </c>
      <c r="L6" s="1">
        <f>SUM(Quarters!H6:K6)</f>
        <v>34916.22</v>
      </c>
      <c r="M6" s="1">
        <f>M4*M24</f>
        <v>43716.020855750197</v>
      </c>
      <c r="N6" s="1">
        <f>N4*N24</f>
        <v>1135.3718070982325</v>
      </c>
    </row>
    <row r="7" spans="1:14">
      <c r="A7" s="6" t="s">
        <v>9</v>
      </c>
      <c r="B7" s="35">
        <f>'Data Sheet'!B25</f>
        <v>7169.05</v>
      </c>
      <c r="C7" s="32">
        <f>'Data Sheet'!C20</f>
        <v>2347.2800000000002</v>
      </c>
      <c r="D7" s="32">
        <f>'Data Sheet'!D20</f>
        <v>2490.54</v>
      </c>
      <c r="E7" s="32">
        <f>'Data Sheet'!E20</f>
        <v>2546.4499999999998</v>
      </c>
      <c r="F7" s="32">
        <f>'Data Sheet'!F20</f>
        <v>2516.42</v>
      </c>
      <c r="G7" s="32">
        <f>'Data Sheet'!G20</f>
        <v>2443.08</v>
      </c>
      <c r="H7" s="32">
        <f>'Data Sheet'!H20</f>
        <v>2467.2199999999998</v>
      </c>
      <c r="I7" s="32">
        <f>'Data Sheet'!I20</f>
        <v>2524.67</v>
      </c>
      <c r="J7" s="32">
        <f>'Data Sheet'!J20</f>
        <v>2638.46</v>
      </c>
      <c r="K7" s="32">
        <f>'Data Sheet'!K20</f>
        <v>2759.89</v>
      </c>
      <c r="L7" s="9">
        <f>SUM(Quarters!H7:K7)</f>
        <v>7251.4599999999991</v>
      </c>
      <c r="M7" s="9">
        <v>0</v>
      </c>
      <c r="N7" s="9">
        <v>0</v>
      </c>
    </row>
    <row r="8" spans="1:14">
      <c r="A8" s="6" t="s">
        <v>10</v>
      </c>
      <c r="B8" s="35">
        <f>'Data Sheet'!B26</f>
        <v>1996.41</v>
      </c>
      <c r="C8" s="32">
        <f>'Data Sheet'!C21</f>
        <v>9770.94</v>
      </c>
      <c r="D8" s="32">
        <f>'Data Sheet'!D21</f>
        <v>12370.09</v>
      </c>
      <c r="E8" s="32">
        <f>'Data Sheet'!E21</f>
        <v>20624.080000000002</v>
      </c>
      <c r="F8" s="32">
        <f>'Data Sheet'!F21</f>
        <v>21077.21</v>
      </c>
      <c r="G8" s="32">
        <f>'Data Sheet'!G21</f>
        <v>22274.92</v>
      </c>
      <c r="H8" s="32">
        <f>'Data Sheet'!H21</f>
        <v>22456.959999999999</v>
      </c>
      <c r="I8" s="32">
        <f>'Data Sheet'!I21</f>
        <v>25278.3</v>
      </c>
      <c r="J8" s="32">
        <f>'Data Sheet'!J21</f>
        <v>30039.47</v>
      </c>
      <c r="K8" s="32">
        <f>'Data Sheet'!K21</f>
        <v>38739.07</v>
      </c>
      <c r="L8" s="9">
        <f>SUM(Quarters!H8:K8)</f>
        <v>4819.8999999999996</v>
      </c>
      <c r="M8" s="9">
        <f>+$L8</f>
        <v>4819.8999999999996</v>
      </c>
      <c r="N8" s="9">
        <f>+$L8</f>
        <v>4819.8999999999996</v>
      </c>
    </row>
    <row r="9" spans="1:14">
      <c r="A9" s="6" t="s">
        <v>11</v>
      </c>
      <c r="B9" s="35">
        <f>'Data Sheet'!B27</f>
        <v>58.89</v>
      </c>
      <c r="C9" s="32">
        <f>'Data Sheet'!C22</f>
        <v>29874.12</v>
      </c>
      <c r="D9" s="32">
        <f>'Data Sheet'!D22</f>
        <v>30126.78</v>
      </c>
      <c r="E9" s="32">
        <f>'Data Sheet'!E22</f>
        <v>33522.879999999997</v>
      </c>
      <c r="F9" s="32">
        <f>'Data Sheet'!F22</f>
        <v>42621.84</v>
      </c>
      <c r="G9" s="32">
        <f>'Data Sheet'!G22</f>
        <v>38772.85</v>
      </c>
      <c r="H9" s="32">
        <f>'Data Sheet'!H22</f>
        <v>39404.18</v>
      </c>
      <c r="I9" s="32">
        <f>'Data Sheet'!I22</f>
        <v>38592.42</v>
      </c>
      <c r="J9" s="32">
        <f>'Data Sheet'!J22</f>
        <v>40473.21</v>
      </c>
      <c r="K9" s="32">
        <f>'Data Sheet'!K22</f>
        <v>49409.16</v>
      </c>
      <c r="L9" s="9">
        <f>SUM(Quarters!H9:K9)</f>
        <v>712.02</v>
      </c>
      <c r="M9" s="9">
        <f>+$L9</f>
        <v>712.02</v>
      </c>
      <c r="N9" s="9">
        <f>+$L9</f>
        <v>712.02</v>
      </c>
    </row>
    <row r="10" spans="1:14">
      <c r="A10" s="6" t="s">
        <v>12</v>
      </c>
      <c r="B10" s="35">
        <f>'Data Sheet'!B28</f>
        <v>22879.53</v>
      </c>
      <c r="C10" s="32">
        <f>'Data Sheet'!C23</f>
        <v>2816.96</v>
      </c>
      <c r="D10" s="32">
        <f>'Data Sheet'!D23</f>
        <v>3291.82</v>
      </c>
      <c r="E10" s="32">
        <f>'Data Sheet'!E23</f>
        <v>3962.63</v>
      </c>
      <c r="F10" s="32">
        <f>'Data Sheet'!F23</f>
        <v>3383.99</v>
      </c>
      <c r="G10" s="32">
        <f>'Data Sheet'!G23</f>
        <v>3681.45</v>
      </c>
      <c r="H10" s="32">
        <f>'Data Sheet'!H23</f>
        <v>3544.99</v>
      </c>
      <c r="I10" s="32">
        <f>'Data Sheet'!I23</f>
        <v>3372.83</v>
      </c>
      <c r="J10" s="32">
        <f>'Data Sheet'!J23</f>
        <v>3861.53</v>
      </c>
      <c r="K10" s="32">
        <f>'Data Sheet'!K23</f>
        <v>4490.2700000000004</v>
      </c>
      <c r="L10" s="9">
        <f>SUM(Quarters!H10:K10)</f>
        <v>36635.760000000002</v>
      </c>
      <c r="M10" s="9">
        <f>M6+M7-SUM(M8:M9)</f>
        <v>38184.100855750199</v>
      </c>
      <c r="N10" s="9">
        <f>N6+N7-SUM(N8:N9)</f>
        <v>-4396.5481929017678</v>
      </c>
    </row>
    <row r="11" spans="1:14">
      <c r="A11" s="6" t="s">
        <v>13</v>
      </c>
      <c r="B11" s="35">
        <f>'Data Sheet'!B29</f>
        <v>7767.9</v>
      </c>
      <c r="C11" s="32">
        <f>'Data Sheet'!C24</f>
        <v>5241.8100000000004</v>
      </c>
      <c r="D11" s="32">
        <f>'Data Sheet'!D24</f>
        <v>5272.09</v>
      </c>
      <c r="E11" s="32">
        <f>'Data Sheet'!E24</f>
        <v>6298.04</v>
      </c>
      <c r="F11" s="32">
        <f>'Data Sheet'!F24</f>
        <v>4677.09</v>
      </c>
      <c r="G11" s="32">
        <f>'Data Sheet'!G24</f>
        <v>6550.29</v>
      </c>
      <c r="H11" s="32">
        <f>'Data Sheet'!H24</f>
        <v>7608.03</v>
      </c>
      <c r="I11" s="32">
        <f>'Data Sheet'!I24</f>
        <v>3699.19</v>
      </c>
      <c r="J11" s="32">
        <f>'Data Sheet'!J24</f>
        <v>5570.19</v>
      </c>
      <c r="K11" s="32">
        <f>'Data Sheet'!K24</f>
        <v>6252.17</v>
      </c>
      <c r="L11" s="9">
        <f>SUM(Quarters!H11:K11)</f>
        <v>9403.6400000000012</v>
      </c>
      <c r="M11" s="10">
        <f>IF($L10&gt;0,$L11/$L10,0)</f>
        <v>0.25667926637798699</v>
      </c>
      <c r="N11" s="10">
        <f>IF($L10&gt;0,$L11/$L10,0)</f>
        <v>0.25667926637798699</v>
      </c>
    </row>
    <row r="12" spans="1:14" s="8" customFormat="1">
      <c r="A12" s="8" t="s">
        <v>14</v>
      </c>
      <c r="B12" s="32">
        <f>'Data Sheet'!B30</f>
        <v>15111.67</v>
      </c>
      <c r="C12" s="32">
        <f>'Data Sheet'!C25</f>
        <v>6569.8</v>
      </c>
      <c r="D12" s="32">
        <f>'Data Sheet'!D25</f>
        <v>5938.91</v>
      </c>
      <c r="E12" s="32">
        <f>'Data Sheet'!E25</f>
        <v>5315.61</v>
      </c>
      <c r="F12" s="32">
        <f>'Data Sheet'!F25</f>
        <v>4974.88</v>
      </c>
      <c r="G12" s="32">
        <f>'Data Sheet'!G25</f>
        <v>5834.13</v>
      </c>
      <c r="H12" s="32">
        <f>'Data Sheet'!H25</f>
        <v>6444.41</v>
      </c>
      <c r="I12" s="32">
        <f>'Data Sheet'!I25</f>
        <v>3741.81</v>
      </c>
      <c r="J12" s="32">
        <f>'Data Sheet'!J25</f>
        <v>3865.93</v>
      </c>
      <c r="K12" s="32">
        <f>'Data Sheet'!K25</f>
        <v>6550.66</v>
      </c>
      <c r="L12" s="1">
        <f>SUM(Quarters!H12:K12)</f>
        <v>27303.370000000003</v>
      </c>
      <c r="M12" s="1">
        <f>M10-M11*M10</f>
        <v>28383.033860793174</v>
      </c>
      <c r="N12" s="1">
        <f>N10-N11*N10</f>
        <v>-3268.045428152278</v>
      </c>
    </row>
    <row r="13" spans="1:14">
      <c r="A13" s="11" t="s">
        <v>57</v>
      </c>
      <c r="B13" s="35">
        <f>IF('Data Sheet'!B93&gt;0,B12/'Data Sheet'!B93,0)</f>
        <v>23.924498131847255</v>
      </c>
      <c r="C13" s="32">
        <f>'Data Sheet'!C26</f>
        <v>2319.8000000000002</v>
      </c>
      <c r="D13" s="32">
        <f>'Data Sheet'!D26</f>
        <v>2825.91</v>
      </c>
      <c r="E13" s="32">
        <f>'Data Sheet'!E26</f>
        <v>2906.75</v>
      </c>
      <c r="F13" s="32">
        <f>'Data Sheet'!F26</f>
        <v>3062.7</v>
      </c>
      <c r="G13" s="32">
        <f>'Data Sheet'!G26</f>
        <v>3450.36</v>
      </c>
      <c r="H13" s="32">
        <f>'Data Sheet'!H26</f>
        <v>3450.83</v>
      </c>
      <c r="I13" s="32">
        <f>'Data Sheet'!I26</f>
        <v>3717.85</v>
      </c>
      <c r="J13" s="32">
        <f>'Data Sheet'!J26</f>
        <v>4428.67</v>
      </c>
      <c r="K13" s="32">
        <f>'Data Sheet'!K26</f>
        <v>4675.2700000000004</v>
      </c>
      <c r="L13" s="9">
        <f>IF('Data Sheet'!$B6&gt;0,'Profit &amp; Loss'!L12/'Data Sheet'!$B6,0)</f>
        <v>44.304029357793056</v>
      </c>
      <c r="M13" s="9">
        <f>IF('Data Sheet'!$B6&gt;0,'Profit &amp; Loss'!M12/'Data Sheet'!$B6,0)</f>
        <v>46.055954463929368</v>
      </c>
      <c r="N13" s="9">
        <f>IF('Data Sheet'!$B6&gt;0,'Profit &amp; Loss'!N12/'Data Sheet'!$B6,0)</f>
        <v>-5.3029197711293472</v>
      </c>
    </row>
    <row r="14" spans="1:14">
      <c r="A14" s="6" t="s">
        <v>16</v>
      </c>
      <c r="B14" s="35">
        <f>IF(B15&gt;0,B15/B13,"")</f>
        <v>12.069218689926394</v>
      </c>
      <c r="C14" s="32">
        <f>'Data Sheet'!C27</f>
        <v>9.09</v>
      </c>
      <c r="D14" s="32">
        <f>'Data Sheet'!D27</f>
        <v>387.67</v>
      </c>
      <c r="E14" s="32">
        <f>'Data Sheet'!E27</f>
        <v>410.44</v>
      </c>
      <c r="F14" s="32">
        <f>'Data Sheet'!F27</f>
        <v>430.1</v>
      </c>
      <c r="G14" s="32">
        <f>'Data Sheet'!G27</f>
        <v>263.68</v>
      </c>
      <c r="H14" s="32">
        <f>'Data Sheet'!H27</f>
        <v>502.92</v>
      </c>
      <c r="I14" s="32">
        <f>'Data Sheet'!I27</f>
        <v>642.24</v>
      </c>
      <c r="J14" s="32">
        <f>'Data Sheet'!J27</f>
        <v>541.49</v>
      </c>
      <c r="K14" s="32">
        <f>'Data Sheet'!K27</f>
        <v>684.31</v>
      </c>
      <c r="L14" s="9">
        <f t="shared" ref="L14" si="1">IF(L13&gt;0,L15/L13,0)</f>
        <v>7.0930343030915219</v>
      </c>
      <c r="M14" s="9">
        <f>M25</f>
        <v>468.78325857577289</v>
      </c>
      <c r="N14" s="9">
        <f>N25</f>
        <v>7.0930343030915219</v>
      </c>
    </row>
    <row r="15" spans="1:14" s="8" customFormat="1">
      <c r="A15" s="8" t="s">
        <v>58</v>
      </c>
      <c r="B15" s="32">
        <f>'Data Sheet'!B90</f>
        <v>288.75</v>
      </c>
      <c r="C15" s="32">
        <f>'Data Sheet'!C28</f>
        <v>21583.91</v>
      </c>
      <c r="D15" s="32">
        <f>'Data Sheet'!D28</f>
        <v>21439.79</v>
      </c>
      <c r="E15" s="32">
        <f>'Data Sheet'!E28</f>
        <v>14446.32</v>
      </c>
      <c r="F15" s="32">
        <f>'Data Sheet'!F28</f>
        <v>10770.31</v>
      </c>
      <c r="G15" s="32">
        <f>'Data Sheet'!G28</f>
        <v>27126.87</v>
      </c>
      <c r="H15" s="32">
        <f>'Data Sheet'!H28</f>
        <v>24071.32</v>
      </c>
      <c r="I15" s="32">
        <f>'Data Sheet'!I28</f>
        <v>18009.240000000002</v>
      </c>
      <c r="J15" s="32">
        <f>'Data Sheet'!J28</f>
        <v>23616.28</v>
      </c>
      <c r="K15" s="32">
        <f>'Data Sheet'!K28</f>
        <v>38000.81</v>
      </c>
      <c r="L15" s="1">
        <f>'Data Sheet'!B8</f>
        <v>314.25</v>
      </c>
      <c r="M15" s="12">
        <f>M13*M14</f>
        <v>21590.260410418221</v>
      </c>
      <c r="N15" s="13">
        <f>N13*N14</f>
        <v>-37.613791843162701</v>
      </c>
    </row>
    <row r="17" spans="1:14" s="8" customFormat="1">
      <c r="A17" s="8" t="s">
        <v>15</v>
      </c>
    </row>
    <row r="18" spans="1:14">
      <c r="A18" s="6" t="s">
        <v>17</v>
      </c>
      <c r="B18" s="7">
        <f>IF('Data Sheet'!B30&gt;0, 'Data Sheet'!B31/'Data Sheet'!B30, 0)</f>
        <v>1.2121386981055038</v>
      </c>
      <c r="C18" s="7">
        <f>IF('Data Sheet'!C30&gt;0, 'Data Sheet'!C31/'Data Sheet'!C30, 0)</f>
        <v>0.95251371414833863</v>
      </c>
      <c r="D18" s="7">
        <f>IF('Data Sheet'!D30&gt;0, 'Data Sheet'!D31/'Data Sheet'!D30, 0)</f>
        <v>1.2130859240837808</v>
      </c>
      <c r="E18" s="7">
        <f>IF('Data Sheet'!E30&gt;0, 'Data Sheet'!E31/'Data Sheet'!E30, 0)</f>
        <v>1.3311124329473427</v>
      </c>
      <c r="F18" s="7">
        <f>IF('Data Sheet'!F30&gt;0, 'Data Sheet'!F31/'Data Sheet'!F30, 0)</f>
        <v>1.4551598622445499</v>
      </c>
      <c r="G18" s="7">
        <f>IF('Data Sheet'!G30&gt;0, 'Data Sheet'!G31/'Data Sheet'!G30, 0)</f>
        <v>0.46230015684527409</v>
      </c>
      <c r="H18" s="7">
        <f>IF('Data Sheet'!H30&gt;0, 'Data Sheet'!H31/'Data Sheet'!H30, 0)</f>
        <v>0.44245518329036587</v>
      </c>
      <c r="I18" s="7">
        <f>IF('Data Sheet'!I30&gt;0, 'Data Sheet'!I31/'Data Sheet'!I30, 0)</f>
        <v>0.77641381145820954</v>
      </c>
      <c r="J18" s="7">
        <f>IF('Data Sheet'!J30&gt;0, 'Data Sheet'!J31/'Data Sheet'!J30, 0)</f>
        <v>0.60355914529816057</v>
      </c>
      <c r="K18" s="7">
        <f>IF('Data Sheet'!K30&gt;0, 'Data Sheet'!K31/'Data Sheet'!K30, 0)</f>
        <v>0.53060604242328924</v>
      </c>
    </row>
    <row r="19" spans="1:14">
      <c r="A19" s="6" t="s">
        <v>18</v>
      </c>
      <c r="B19" s="7">
        <f t="shared" ref="B19:L19" si="2">IF(B6&gt;0,B6/B4,0)</f>
        <v>0.25161314262276874</v>
      </c>
      <c r="C19" s="7">
        <f t="shared" ref="C19:K19" si="3">IF(C6&gt;0,C6/C4,0)</f>
        <v>7.1570358743589958E-3</v>
      </c>
      <c r="D19" s="7">
        <f t="shared" si="3"/>
        <v>1.8548619519936214E-2</v>
      </c>
      <c r="E19" s="7">
        <f t="shared" si="3"/>
        <v>1.5843436075104012E-2</v>
      </c>
      <c r="F19" s="7">
        <f t="shared" si="3"/>
        <v>0</v>
      </c>
      <c r="G19" s="7">
        <f t="shared" si="3"/>
        <v>0</v>
      </c>
      <c r="H19" s="7">
        <f t="shared" si="3"/>
        <v>1.0850294659656701E-2</v>
      </c>
      <c r="I19" s="7">
        <f t="shared" si="3"/>
        <v>2.6117563135364993E-2</v>
      </c>
      <c r="J19" s="7">
        <f t="shared" si="3"/>
        <v>0</v>
      </c>
      <c r="K19" s="7">
        <f t="shared" si="3"/>
        <v>4.9049593600551337E-3</v>
      </c>
      <c r="L19" s="7">
        <f t="shared" si="2"/>
        <v>0.25093775861443218</v>
      </c>
    </row>
    <row r="20" spans="1:14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>
      <c r="A23" s="6"/>
      <c r="B23" s="6"/>
      <c r="C23" s="6"/>
      <c r="D23" s="6"/>
      <c r="E23" s="6"/>
      <c r="F23" s="6"/>
      <c r="G23" s="6" t="s">
        <v>22</v>
      </c>
      <c r="H23" s="7">
        <f>IF(B4=0,"",POWER($K4/B4,1/9)-1)</f>
        <v>7.7517828521052046E-2</v>
      </c>
      <c r="I23" s="7">
        <f>IF(D4=0,"",POWER($K4/D4,1/7)-1)</f>
        <v>8.5478784568864485E-2</v>
      </c>
      <c r="J23" s="7">
        <f>IF(F4=0,"",POWER($K4/F4,1/5)-1)</f>
        <v>0.1015424023225322</v>
      </c>
      <c r="K23" s="7">
        <f>IF(H4=0,"",POWER($K4/H4, 1/3)-1)</f>
        <v>0.12896081831069739</v>
      </c>
      <c r="L23" s="7">
        <f>IF(ISERROR(MAX(IF(J4=0,"",(K4-J4)/J4),IF(K4=0,"",(L4-K4)/K4))),"",MAX(IF(J4=0,"",(K4-J4)/J4),IF(K4=0,"",(L4-K4)/K4)))</f>
        <v>0.26009552713738876</v>
      </c>
      <c r="M23" s="22">
        <f>MAX(K23:L23)</f>
        <v>0.26009552713738876</v>
      </c>
      <c r="N23" s="22">
        <f>MIN(H23:L23)</f>
        <v>7.7517828521052046E-2</v>
      </c>
    </row>
    <row r="24" spans="1:14">
      <c r="G24" s="6" t="s">
        <v>18</v>
      </c>
      <c r="H24" s="7">
        <f>IF(SUM(B4:$K$4)=0,"",SUMPRODUCT(B19:$K$19,B4:$K$4)/SUM(B4:$K$4))</f>
        <v>2.723924914362548E-2</v>
      </c>
      <c r="I24" s="7">
        <f>IF(SUM(E4:$K$4)=0,"",SUMPRODUCT(E19:$K$19,E4:$K$4)/SUM(E4:$K$4))</f>
        <v>7.6180037351639279E-3</v>
      </c>
      <c r="J24" s="7">
        <f>IF(SUM(G4:$K$4)=0,"",SUMPRODUCT(G19:$K$19,G4:$K$4)/SUM(G4:$K$4))</f>
        <v>7.6301117141612954E-3</v>
      </c>
      <c r="K24" s="7">
        <f>IF(SUM(I4:$K$4)=0, "", SUMPRODUCT(I19:$K$19,I4:$K$4)/SUM(I4:$K$4))</f>
        <v>8.9628393269524202E-3</v>
      </c>
      <c r="L24" s="7">
        <f>L19</f>
        <v>0.25093775861443218</v>
      </c>
      <c r="M24" s="22">
        <f>MAX(K24:L24)</f>
        <v>0.25093775861443218</v>
      </c>
      <c r="N24" s="22">
        <f>MIN(H24:L24)</f>
        <v>7.6180037351639279E-3</v>
      </c>
    </row>
    <row r="25" spans="1:14">
      <c r="G25" s="6" t="s">
        <v>23</v>
      </c>
      <c r="H25" s="9">
        <f>IF(ISERROR(AVERAGEIF(B14:$L14,"&gt;0")),"",AVERAGEIF(B14:$L14,"&gt;0"))</f>
        <v>353.73656845391076</v>
      </c>
      <c r="I25" s="9">
        <f>IF(ISERROR(AVERAGEIF(E14:$L14,"&gt;0")),"",AVERAGEIF(E14:$L14,"&gt;0"))</f>
        <v>435.2841292878864</v>
      </c>
      <c r="J25" s="9">
        <f>IF(ISERROR(AVERAGEIF(G14:$L14,"&gt;0")),"",AVERAGEIF(G14:$L14,"&gt;0"))</f>
        <v>440.28883905051526</v>
      </c>
      <c r="K25" s="9">
        <f>IF(ISERROR(AVERAGEIF(I14:$L14,"&gt;0")),"",AVERAGEIF(I14:$L14,"&gt;0"))</f>
        <v>468.78325857577289</v>
      </c>
      <c r="L25" s="9">
        <f>L14</f>
        <v>7.0930343030915219</v>
      </c>
      <c r="M25" s="1">
        <f>MAX(K25:L25)</f>
        <v>468.78325857577289</v>
      </c>
      <c r="N25" s="1">
        <f>MIN(H25:L25)</f>
        <v>7.0930343030915219</v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77734375" defaultRowHeight="14.4"/>
  <cols>
    <col min="1" max="1" width="20.6640625" style="6" customWidth="1"/>
    <col min="2" max="11" width="13.44140625" style="6" bestFit="1" customWidth="1"/>
    <col min="12" max="16384" width="8.77734375" style="6"/>
  </cols>
  <sheetData>
    <row r="1" spans="1:11" s="8" customFormat="1">
      <c r="A1" s="8" t="str">
        <f>'Profit &amp; Loss'!A1</f>
        <v>COAL INDIA LTD</v>
      </c>
      <c r="E1" t="str">
        <f>UPDATE</f>
        <v/>
      </c>
      <c r="J1" s="4" t="s">
        <v>1</v>
      </c>
      <c r="K1" s="4"/>
    </row>
    <row r="3" spans="1:11" s="2" customFormat="1">
      <c r="A3" s="15" t="s">
        <v>2</v>
      </c>
      <c r="B3" s="16">
        <f>'Data Sheet'!B41</f>
        <v>44286</v>
      </c>
      <c r="C3" s="16">
        <f>'Data Sheet'!C41</f>
        <v>44377</v>
      </c>
      <c r="D3" s="16">
        <f>'Data Sheet'!D41</f>
        <v>44469</v>
      </c>
      <c r="E3" s="16">
        <f>'Data Sheet'!E41</f>
        <v>44561</v>
      </c>
      <c r="F3" s="16">
        <f>'Data Sheet'!F41</f>
        <v>44651</v>
      </c>
      <c r="G3" s="16">
        <f>'Data Sheet'!G41</f>
        <v>44742</v>
      </c>
      <c r="H3" s="16">
        <f>'Data Sheet'!H41</f>
        <v>44834</v>
      </c>
      <c r="I3" s="16">
        <f>'Data Sheet'!I41</f>
        <v>44926</v>
      </c>
      <c r="J3" s="16">
        <f>'Data Sheet'!J41</f>
        <v>45016</v>
      </c>
      <c r="K3" s="16">
        <f>'Data Sheet'!K41</f>
        <v>45107</v>
      </c>
    </row>
    <row r="4" spans="1:11" s="8" customFormat="1">
      <c r="A4" s="8" t="s">
        <v>6</v>
      </c>
      <c r="B4" s="1">
        <f>'Data Sheet'!B42</f>
        <v>26700.14</v>
      </c>
      <c r="C4" s="1">
        <f>'Data Sheet'!C42</f>
        <v>25282.15</v>
      </c>
      <c r="D4" s="1">
        <f>'Data Sheet'!D42</f>
        <v>23291.08</v>
      </c>
      <c r="E4" s="1">
        <f>'Data Sheet'!E42</f>
        <v>28433.5</v>
      </c>
      <c r="F4" s="1">
        <f>'Data Sheet'!F42</f>
        <v>32708.69</v>
      </c>
      <c r="G4" s="1">
        <f>'Data Sheet'!G42</f>
        <v>35092.17</v>
      </c>
      <c r="H4" s="1">
        <f>'Data Sheet'!H42</f>
        <v>29838.07</v>
      </c>
      <c r="I4" s="1">
        <f>'Data Sheet'!I42</f>
        <v>35169.33</v>
      </c>
      <c r="J4" s="1">
        <f>'Data Sheet'!J42</f>
        <v>38152.339999999997</v>
      </c>
      <c r="K4" s="1">
        <f>'Data Sheet'!K42</f>
        <v>35983.21</v>
      </c>
    </row>
    <row r="5" spans="1:11">
      <c r="A5" s="6" t="s">
        <v>7</v>
      </c>
      <c r="B5" s="9">
        <f>'Data Sheet'!B43</f>
        <v>20264.849999999999</v>
      </c>
      <c r="C5" s="9">
        <f>'Data Sheet'!C43</f>
        <v>20439.330000000002</v>
      </c>
      <c r="D5" s="9">
        <f>'Data Sheet'!D43</f>
        <v>19353.84</v>
      </c>
      <c r="E5" s="9">
        <f>'Data Sheet'!E43</f>
        <v>21611.22</v>
      </c>
      <c r="F5" s="9">
        <f>'Data Sheet'!F43</f>
        <v>23606.76</v>
      </c>
      <c r="G5" s="9">
        <f>'Data Sheet'!G43</f>
        <v>22865.32</v>
      </c>
      <c r="H5" s="9">
        <f>'Data Sheet'!H43</f>
        <v>22699.54</v>
      </c>
      <c r="I5" s="9">
        <f>'Data Sheet'!I43</f>
        <v>24780.61</v>
      </c>
      <c r="J5" s="9">
        <f>'Data Sheet'!J43</f>
        <v>31254.2</v>
      </c>
      <c r="K5" s="9">
        <f>'Data Sheet'!K43</f>
        <v>25492.38</v>
      </c>
    </row>
    <row r="6" spans="1:11" s="8" customFormat="1">
      <c r="A6" s="8" t="s">
        <v>8</v>
      </c>
      <c r="B6" s="1">
        <f>'Data Sheet'!B50</f>
        <v>6435.29</v>
      </c>
      <c r="C6" s="1">
        <f>'Data Sheet'!C50</f>
        <v>4842.82</v>
      </c>
      <c r="D6" s="1">
        <f>'Data Sheet'!D50</f>
        <v>3937.24</v>
      </c>
      <c r="E6" s="1">
        <f>'Data Sheet'!E50</f>
        <v>6822.28</v>
      </c>
      <c r="F6" s="1">
        <f>'Data Sheet'!F50</f>
        <v>9101.93</v>
      </c>
      <c r="G6" s="1">
        <f>'Data Sheet'!G50</f>
        <v>12226.85</v>
      </c>
      <c r="H6" s="1">
        <f>'Data Sheet'!H50</f>
        <v>7138.53</v>
      </c>
      <c r="I6" s="1">
        <f>'Data Sheet'!I50</f>
        <v>10388.719999999999</v>
      </c>
      <c r="J6" s="1">
        <f>'Data Sheet'!J50</f>
        <v>6898.14</v>
      </c>
      <c r="K6" s="1">
        <f>'Data Sheet'!K50</f>
        <v>10490.83</v>
      </c>
    </row>
    <row r="7" spans="1:11">
      <c r="A7" s="6" t="s">
        <v>9</v>
      </c>
      <c r="B7" s="9">
        <f>'Data Sheet'!B44</f>
        <v>1224.43</v>
      </c>
      <c r="C7" s="9">
        <f>'Data Sheet'!C44</f>
        <v>680.97</v>
      </c>
      <c r="D7" s="9">
        <f>'Data Sheet'!D44</f>
        <v>781.75</v>
      </c>
      <c r="E7" s="9">
        <f>'Data Sheet'!E44</f>
        <v>652.85</v>
      </c>
      <c r="F7" s="9">
        <f>'Data Sheet'!F44</f>
        <v>1766.59</v>
      </c>
      <c r="G7" s="9">
        <f>'Data Sheet'!G44</f>
        <v>994.51</v>
      </c>
      <c r="H7" s="9">
        <f>'Data Sheet'!H44</f>
        <v>1761.17</v>
      </c>
      <c r="I7" s="9">
        <f>'Data Sheet'!I44</f>
        <v>1670.79</v>
      </c>
      <c r="J7" s="9">
        <f>'Data Sheet'!J44</f>
        <v>2281.6799999999998</v>
      </c>
      <c r="K7" s="9">
        <f>'Data Sheet'!K44</f>
        <v>1537.82</v>
      </c>
    </row>
    <row r="8" spans="1:11">
      <c r="A8" s="6" t="s">
        <v>10</v>
      </c>
      <c r="B8" s="9">
        <f>'Data Sheet'!B45</f>
        <v>1097.03</v>
      </c>
      <c r="C8" s="9">
        <f>'Data Sheet'!C45</f>
        <v>1040.6099999999999</v>
      </c>
      <c r="D8" s="9">
        <f>'Data Sheet'!D45</f>
        <v>934.39</v>
      </c>
      <c r="E8" s="9">
        <f>'Data Sheet'!E45</f>
        <v>1041.32</v>
      </c>
      <c r="F8" s="9">
        <f>'Data Sheet'!F45</f>
        <v>1412.35</v>
      </c>
      <c r="G8" s="9">
        <f>'Data Sheet'!G45</f>
        <v>993.75</v>
      </c>
      <c r="H8" s="9">
        <f>'Data Sheet'!H45</f>
        <v>1077.07</v>
      </c>
      <c r="I8" s="9">
        <f>'Data Sheet'!I45</f>
        <v>1261.97</v>
      </c>
      <c r="J8" s="9">
        <f>'Data Sheet'!J45</f>
        <v>1342.48</v>
      </c>
      <c r="K8" s="9">
        <f>'Data Sheet'!K45</f>
        <v>1138.3800000000001</v>
      </c>
    </row>
    <row r="9" spans="1:11">
      <c r="A9" s="6" t="s">
        <v>11</v>
      </c>
      <c r="B9" s="9">
        <f>'Data Sheet'!B46</f>
        <v>156.57</v>
      </c>
      <c r="C9" s="9">
        <f>'Data Sheet'!C46</f>
        <v>147.62</v>
      </c>
      <c r="D9" s="9">
        <f>'Data Sheet'!D46</f>
        <v>141.36000000000001</v>
      </c>
      <c r="E9" s="9">
        <f>'Data Sheet'!E46</f>
        <v>131.61000000000001</v>
      </c>
      <c r="F9" s="9">
        <f>'Data Sheet'!F46</f>
        <v>120.9</v>
      </c>
      <c r="G9" s="9">
        <f>'Data Sheet'!G46</f>
        <v>150.22999999999999</v>
      </c>
      <c r="H9" s="9">
        <f>'Data Sheet'!H46</f>
        <v>135.15</v>
      </c>
      <c r="I9" s="9">
        <f>'Data Sheet'!I46</f>
        <v>203.86</v>
      </c>
      <c r="J9" s="9">
        <f>'Data Sheet'!J46</f>
        <v>195.07</v>
      </c>
      <c r="K9" s="9">
        <f>'Data Sheet'!K46</f>
        <v>177.94</v>
      </c>
    </row>
    <row r="10" spans="1:11">
      <c r="A10" s="6" t="s">
        <v>12</v>
      </c>
      <c r="B10" s="9">
        <f>'Data Sheet'!B47</f>
        <v>6406.12</v>
      </c>
      <c r="C10" s="9">
        <f>'Data Sheet'!C47</f>
        <v>4335.5600000000004</v>
      </c>
      <c r="D10" s="9">
        <f>'Data Sheet'!D47</f>
        <v>3643.24</v>
      </c>
      <c r="E10" s="9">
        <f>'Data Sheet'!E47</f>
        <v>6302.2</v>
      </c>
      <c r="F10" s="9">
        <f>'Data Sheet'!F47</f>
        <v>9335.27</v>
      </c>
      <c r="G10" s="9">
        <f>'Data Sheet'!G47</f>
        <v>12077.38</v>
      </c>
      <c r="H10" s="9">
        <f>'Data Sheet'!H47</f>
        <v>7687.48</v>
      </c>
      <c r="I10" s="9">
        <f>'Data Sheet'!I47</f>
        <v>10593.68</v>
      </c>
      <c r="J10" s="9">
        <f>'Data Sheet'!J47</f>
        <v>7642.27</v>
      </c>
      <c r="K10" s="9">
        <f>'Data Sheet'!K47</f>
        <v>10712.33</v>
      </c>
    </row>
    <row r="11" spans="1:11">
      <c r="A11" s="6" t="s">
        <v>13</v>
      </c>
      <c r="B11" s="9">
        <f>'Data Sheet'!B48</f>
        <v>1817.16</v>
      </c>
      <c r="C11" s="9">
        <f>'Data Sheet'!C48</f>
        <v>1161.42</v>
      </c>
      <c r="D11" s="9">
        <f>'Data Sheet'!D48</f>
        <v>710.51</v>
      </c>
      <c r="E11" s="9">
        <f>'Data Sheet'!E48</f>
        <v>1745.66</v>
      </c>
      <c r="F11" s="9">
        <f>'Data Sheet'!F48</f>
        <v>2620.27</v>
      </c>
      <c r="G11" s="9">
        <f>'Data Sheet'!G48</f>
        <v>3243.16</v>
      </c>
      <c r="H11" s="9">
        <f>'Data Sheet'!H48</f>
        <v>1643.49</v>
      </c>
      <c r="I11" s="9">
        <f>'Data Sheet'!I48</f>
        <v>2874.57</v>
      </c>
      <c r="J11" s="9">
        <f>'Data Sheet'!J48</f>
        <v>2114.65</v>
      </c>
      <c r="K11" s="9">
        <f>'Data Sheet'!K48</f>
        <v>2770.93</v>
      </c>
    </row>
    <row r="12" spans="1:11" s="8" customFormat="1">
      <c r="A12" s="8" t="s">
        <v>14</v>
      </c>
      <c r="B12" s="1">
        <f>'Data Sheet'!B49</f>
        <v>4586.78</v>
      </c>
      <c r="C12" s="1">
        <f>'Data Sheet'!C49</f>
        <v>3169.85</v>
      </c>
      <c r="D12" s="1">
        <f>'Data Sheet'!D49</f>
        <v>2936.91</v>
      </c>
      <c r="E12" s="1">
        <f>'Data Sheet'!E49</f>
        <v>4558.3900000000003</v>
      </c>
      <c r="F12" s="1">
        <f>'Data Sheet'!F49</f>
        <v>6692.94</v>
      </c>
      <c r="G12" s="1">
        <f>'Data Sheet'!G49</f>
        <v>8832.86</v>
      </c>
      <c r="H12" s="1">
        <f>'Data Sheet'!H49</f>
        <v>6043.55</v>
      </c>
      <c r="I12" s="1">
        <f>'Data Sheet'!I49</f>
        <v>7755.55</v>
      </c>
      <c r="J12" s="1">
        <f>'Data Sheet'!J49</f>
        <v>5533.23</v>
      </c>
      <c r="K12" s="1">
        <f>'Data Sheet'!K49</f>
        <v>7971.04</v>
      </c>
    </row>
    <row r="14" spans="1:11" s="8" customFormat="1">
      <c r="A14" s="2" t="s">
        <v>18</v>
      </c>
      <c r="B14" s="14">
        <f>IF(B4&gt;0,B6/B4,"")</f>
        <v>0.24102083359862533</v>
      </c>
      <c r="C14" s="14">
        <f t="shared" ref="C14:K14" si="0">IF(C4&gt;0,C6/C4,"")</f>
        <v>0.19155095591158186</v>
      </c>
      <c r="D14" s="14">
        <f t="shared" si="0"/>
        <v>0.16904497344047589</v>
      </c>
      <c r="E14" s="14">
        <f t="shared" si="0"/>
        <v>0.23993810118346315</v>
      </c>
      <c r="F14" s="14">
        <f t="shared" si="0"/>
        <v>0.27827253246767147</v>
      </c>
      <c r="G14" s="14">
        <f t="shared" si="0"/>
        <v>0.34842102953450871</v>
      </c>
      <c r="H14" s="14">
        <f t="shared" si="0"/>
        <v>0.23924235046033474</v>
      </c>
      <c r="I14" s="14">
        <f t="shared" si="0"/>
        <v>0.29539146750876399</v>
      </c>
      <c r="J14" s="14">
        <f t="shared" si="0"/>
        <v>0.18080516162311411</v>
      </c>
      <c r="K14" s="14">
        <f t="shared" si="0"/>
        <v>0.29154791915451678</v>
      </c>
    </row>
    <row r="22" s="30" customFormat="1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defaultColWidth="8.77734375" defaultRowHeight="14.4"/>
  <cols>
    <col min="1" max="1" width="22.77734375" style="11" bestFit="1" customWidth="1"/>
    <col min="2" max="2" width="13.44140625" style="11" customWidth="1"/>
    <col min="3" max="11" width="15.44140625" style="11" customWidth="1"/>
    <col min="12" max="16384" width="8.77734375" style="11"/>
  </cols>
  <sheetData>
    <row r="1" spans="1:11" s="8" customFormat="1">
      <c r="A1" s="8" t="str">
        <f>'Profit &amp; Loss'!A1</f>
        <v>COAL INDIA LTD</v>
      </c>
      <c r="E1" t="str">
        <f>UPDATE</f>
        <v/>
      </c>
      <c r="G1"/>
      <c r="J1" s="4" t="s">
        <v>1</v>
      </c>
      <c r="K1" s="4"/>
    </row>
    <row r="2" spans="1:11">
      <c r="G2" s="8"/>
      <c r="H2" s="8"/>
    </row>
    <row r="3" spans="1:11" s="18" customFormat="1">
      <c r="A3" s="15" t="s">
        <v>2</v>
      </c>
      <c r="B3" s="16">
        <f>'Data Sheet'!B56</f>
        <v>41729</v>
      </c>
      <c r="C3" s="16">
        <f>'Data Sheet'!C56</f>
        <v>42094</v>
      </c>
      <c r="D3" s="16">
        <f>'Data Sheet'!D56</f>
        <v>42460</v>
      </c>
      <c r="E3" s="16">
        <f>'Data Sheet'!E56</f>
        <v>42825</v>
      </c>
      <c r="F3" s="16">
        <f>'Data Sheet'!F56</f>
        <v>43190</v>
      </c>
      <c r="G3" s="16">
        <f>'Data Sheet'!G56</f>
        <v>43555</v>
      </c>
      <c r="H3" s="16">
        <f>'Data Sheet'!H56</f>
        <v>43921</v>
      </c>
      <c r="I3" s="16">
        <f>'Data Sheet'!I56</f>
        <v>44286</v>
      </c>
      <c r="J3" s="16">
        <f>'Data Sheet'!J56</f>
        <v>44651</v>
      </c>
      <c r="K3" s="16">
        <f>'Data Sheet'!K56</f>
        <v>45016</v>
      </c>
    </row>
    <row r="4" spans="1:11">
      <c r="A4" s="6" t="s">
        <v>24</v>
      </c>
      <c r="B4" s="19">
        <f>'Data Sheet'!B57</f>
        <v>6316.36</v>
      </c>
      <c r="C4" s="19">
        <f>'Data Sheet'!C57</f>
        <v>6316.36</v>
      </c>
      <c r="D4" s="19">
        <f>'Data Sheet'!D57</f>
        <v>6316.36</v>
      </c>
      <c r="E4" s="19">
        <f>'Data Sheet'!E57</f>
        <v>6207.41</v>
      </c>
      <c r="F4" s="19">
        <f>'Data Sheet'!F57</f>
        <v>6207.41</v>
      </c>
      <c r="G4" s="19">
        <f>'Data Sheet'!G57</f>
        <v>6162.73</v>
      </c>
      <c r="H4" s="19">
        <f>'Data Sheet'!H57</f>
        <v>6162.73</v>
      </c>
      <c r="I4" s="19">
        <f>'Data Sheet'!I57</f>
        <v>6162.73</v>
      </c>
      <c r="J4" s="19">
        <f>'Data Sheet'!J57</f>
        <v>6162.73</v>
      </c>
      <c r="K4" s="19">
        <f>'Data Sheet'!K57</f>
        <v>6162.73</v>
      </c>
    </row>
    <row r="5" spans="1:11" s="6" customFormat="1">
      <c r="A5" s="6" t="s">
        <v>25</v>
      </c>
      <c r="B5" s="19">
        <f>'Data Sheet'!B58</f>
        <v>36088.1</v>
      </c>
      <c r="C5" s="19">
        <f>'Data Sheet'!C58</f>
        <v>34036.71</v>
      </c>
      <c r="D5" s="19">
        <f>'Data Sheet'!D58</f>
        <v>28516.799999999999</v>
      </c>
      <c r="E5" s="19">
        <f>'Data Sheet'!E58</f>
        <v>18310.68</v>
      </c>
      <c r="F5" s="19">
        <f>'Data Sheet'!F58</f>
        <v>13971.33</v>
      </c>
      <c r="G5" s="19">
        <f>'Data Sheet'!G58</f>
        <v>20292.41</v>
      </c>
      <c r="H5" s="19">
        <f>'Data Sheet'!H58</f>
        <v>25994.19</v>
      </c>
      <c r="I5" s="19">
        <f>'Data Sheet'!I58</f>
        <v>30354.63</v>
      </c>
      <c r="J5" s="19">
        <f>'Data Sheet'!J58</f>
        <v>36980.31</v>
      </c>
      <c r="K5" s="19">
        <f>'Data Sheet'!K58</f>
        <v>51082.16</v>
      </c>
    </row>
    <row r="6" spans="1:11">
      <c r="A6" s="11" t="s">
        <v>71</v>
      </c>
      <c r="B6" s="19">
        <f>'Data Sheet'!B59</f>
        <v>178.14</v>
      </c>
      <c r="C6" s="19">
        <f>'Data Sheet'!C59</f>
        <v>408.32</v>
      </c>
      <c r="D6" s="19">
        <f>'Data Sheet'!D59</f>
        <v>1198.79</v>
      </c>
      <c r="E6" s="19">
        <f>'Data Sheet'!E59</f>
        <v>3014.47</v>
      </c>
      <c r="F6" s="19">
        <f>'Data Sheet'!F59</f>
        <v>1537.72</v>
      </c>
      <c r="G6" s="19">
        <f>'Data Sheet'!G59</f>
        <v>2209.94</v>
      </c>
      <c r="H6" s="19">
        <f>'Data Sheet'!H59</f>
        <v>6433.77</v>
      </c>
      <c r="I6" s="19">
        <f>'Data Sheet'!I59</f>
        <v>5884.23</v>
      </c>
      <c r="J6" s="19">
        <f>'Data Sheet'!J59</f>
        <v>3513.64</v>
      </c>
      <c r="K6" s="19">
        <f>'Data Sheet'!K59</f>
        <v>4331.42</v>
      </c>
    </row>
    <row r="7" spans="1:11" s="6" customFormat="1">
      <c r="A7" s="11" t="s">
        <v>72</v>
      </c>
      <c r="B7" s="19">
        <f>'Data Sheet'!B60</f>
        <v>62355.839999999997</v>
      </c>
      <c r="C7" s="19">
        <f>'Data Sheet'!C60</f>
        <v>70505.3</v>
      </c>
      <c r="D7" s="19">
        <f>'Data Sheet'!D60</f>
        <v>77528.31</v>
      </c>
      <c r="E7" s="19">
        <f>'Data Sheet'!E60</f>
        <v>91054.43</v>
      </c>
      <c r="F7" s="19">
        <f>'Data Sheet'!F60</f>
        <v>103754.21</v>
      </c>
      <c r="G7" s="19">
        <f>'Data Sheet'!G60</f>
        <v>104356.37</v>
      </c>
      <c r="H7" s="19">
        <f>'Data Sheet'!H60</f>
        <v>111429.75</v>
      </c>
      <c r="I7" s="19">
        <f>'Data Sheet'!I60</f>
        <v>118649.25</v>
      </c>
      <c r="J7" s="19">
        <f>'Data Sheet'!J60</f>
        <v>132779.65</v>
      </c>
      <c r="K7" s="19">
        <f>'Data Sheet'!K60</f>
        <v>148299.66</v>
      </c>
    </row>
    <row r="8" spans="1:11" s="8" customFormat="1">
      <c r="A8" s="8" t="s">
        <v>26</v>
      </c>
      <c r="B8" s="20">
        <f>'Data Sheet'!B61</f>
        <v>104938.44</v>
      </c>
      <c r="C8" s="20">
        <f>'Data Sheet'!C61</f>
        <v>111266.69</v>
      </c>
      <c r="D8" s="20">
        <f>'Data Sheet'!D61</f>
        <v>113560.26</v>
      </c>
      <c r="E8" s="20">
        <f>'Data Sheet'!E61</f>
        <v>118586.99</v>
      </c>
      <c r="F8" s="20">
        <f>'Data Sheet'!F61</f>
        <v>125470.67</v>
      </c>
      <c r="G8" s="20">
        <f>'Data Sheet'!G61</f>
        <v>133021.45000000001</v>
      </c>
      <c r="H8" s="20">
        <f>'Data Sheet'!H61</f>
        <v>150020.44</v>
      </c>
      <c r="I8" s="20">
        <f>'Data Sheet'!I61</f>
        <v>161050.84</v>
      </c>
      <c r="J8" s="20">
        <f>'Data Sheet'!J61</f>
        <v>179436.33</v>
      </c>
      <c r="K8" s="20">
        <f>'Data Sheet'!K61</f>
        <v>209875.97</v>
      </c>
    </row>
    <row r="9" spans="1:11" s="8" customFormat="1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>
      <c r="A10" s="6" t="s">
        <v>27</v>
      </c>
      <c r="B10" s="19">
        <f>'Data Sheet'!B62</f>
        <v>14784.39</v>
      </c>
      <c r="C10" s="19">
        <f>'Data Sheet'!C62</f>
        <v>16115.04</v>
      </c>
      <c r="D10" s="19">
        <f>'Data Sheet'!D62</f>
        <v>22082.49</v>
      </c>
      <c r="E10" s="19">
        <f>'Data Sheet'!E62</f>
        <v>23811.37</v>
      </c>
      <c r="F10" s="19">
        <f>'Data Sheet'!F62</f>
        <v>27574.09</v>
      </c>
      <c r="G10" s="19">
        <f>'Data Sheet'!G62</f>
        <v>32618.32</v>
      </c>
      <c r="H10" s="19">
        <f>'Data Sheet'!H62</f>
        <v>36783.61</v>
      </c>
      <c r="I10" s="19">
        <f>'Data Sheet'!I62</f>
        <v>42405.22</v>
      </c>
      <c r="J10" s="19">
        <f>'Data Sheet'!J62</f>
        <v>46676.959999999999</v>
      </c>
      <c r="K10" s="19">
        <f>'Data Sheet'!K62</f>
        <v>51960.93</v>
      </c>
    </row>
    <row r="11" spans="1:11">
      <c r="A11" s="6" t="s">
        <v>28</v>
      </c>
      <c r="B11" s="19">
        <f>'Data Sheet'!B63</f>
        <v>4315.8100000000004</v>
      </c>
      <c r="C11" s="19">
        <f>'Data Sheet'!C63</f>
        <v>5159.37</v>
      </c>
      <c r="D11" s="19">
        <f>'Data Sheet'!D63</f>
        <v>4553.22</v>
      </c>
      <c r="E11" s="19">
        <f>'Data Sheet'!E63</f>
        <v>8585.2199999999993</v>
      </c>
      <c r="F11" s="19">
        <f>'Data Sheet'!F63</f>
        <v>10272.700000000001</v>
      </c>
      <c r="G11" s="19">
        <f>'Data Sheet'!G63</f>
        <v>9657.68</v>
      </c>
      <c r="H11" s="19">
        <f>'Data Sheet'!H63</f>
        <v>8328.25</v>
      </c>
      <c r="I11" s="19">
        <f>'Data Sheet'!I63</f>
        <v>10489.83</v>
      </c>
      <c r="J11" s="19">
        <f>'Data Sheet'!J63</f>
        <v>12897.14</v>
      </c>
      <c r="K11" s="19">
        <f>'Data Sheet'!K63</f>
        <v>17621.97</v>
      </c>
    </row>
    <row r="12" spans="1:11">
      <c r="A12" s="6" t="s">
        <v>29</v>
      </c>
      <c r="B12" s="19">
        <f>'Data Sheet'!B64</f>
        <v>3774.9</v>
      </c>
      <c r="C12" s="19">
        <f>'Data Sheet'!C64</f>
        <v>2813.44</v>
      </c>
      <c r="D12" s="19">
        <f>'Data Sheet'!D64</f>
        <v>2906.07</v>
      </c>
      <c r="E12" s="19">
        <f>'Data Sheet'!E64</f>
        <v>1482.86</v>
      </c>
      <c r="F12" s="19">
        <f>'Data Sheet'!F64</f>
        <v>1703.63</v>
      </c>
      <c r="G12" s="19">
        <f>'Data Sheet'!G64</f>
        <v>3169.8</v>
      </c>
      <c r="H12" s="19">
        <f>'Data Sheet'!H64</f>
        <v>1972.87</v>
      </c>
      <c r="I12" s="19">
        <f>'Data Sheet'!I64</f>
        <v>5950.23</v>
      </c>
      <c r="J12" s="19">
        <f>'Data Sheet'!J64</f>
        <v>8920.6</v>
      </c>
      <c r="K12" s="19">
        <f>'Data Sheet'!K64</f>
        <v>7139.41</v>
      </c>
    </row>
    <row r="13" spans="1:11">
      <c r="A13" s="11" t="s">
        <v>73</v>
      </c>
      <c r="B13" s="19">
        <f>'Data Sheet'!B65</f>
        <v>82063.34</v>
      </c>
      <c r="C13" s="19">
        <f>'Data Sheet'!C65</f>
        <v>87178.84</v>
      </c>
      <c r="D13" s="19">
        <f>'Data Sheet'!D65</f>
        <v>84018.48</v>
      </c>
      <c r="E13" s="19">
        <f>'Data Sheet'!E65</f>
        <v>84707.54</v>
      </c>
      <c r="F13" s="19">
        <f>'Data Sheet'!F65</f>
        <v>85920.25</v>
      </c>
      <c r="G13" s="19">
        <f>'Data Sheet'!G65</f>
        <v>87575.65</v>
      </c>
      <c r="H13" s="19">
        <f>'Data Sheet'!H65</f>
        <v>102935.71</v>
      </c>
      <c r="I13" s="19">
        <f>'Data Sheet'!I65</f>
        <v>102205.56</v>
      </c>
      <c r="J13" s="19">
        <f>'Data Sheet'!J65</f>
        <v>110941.63</v>
      </c>
      <c r="K13" s="19">
        <f>'Data Sheet'!K65</f>
        <v>133153.66</v>
      </c>
    </row>
    <row r="14" spans="1:11" s="8" customFormat="1">
      <c r="A14" s="8" t="s">
        <v>26</v>
      </c>
      <c r="B14" s="19">
        <f>'Data Sheet'!B66</f>
        <v>104938.44</v>
      </c>
      <c r="C14" s="19">
        <f>'Data Sheet'!C66</f>
        <v>111266.69</v>
      </c>
      <c r="D14" s="19">
        <f>'Data Sheet'!D66</f>
        <v>113560.26</v>
      </c>
      <c r="E14" s="19">
        <f>'Data Sheet'!E66</f>
        <v>118586.99</v>
      </c>
      <c r="F14" s="19">
        <f>'Data Sheet'!F66</f>
        <v>125470.67</v>
      </c>
      <c r="G14" s="19">
        <f>'Data Sheet'!G66</f>
        <v>133021.45000000001</v>
      </c>
      <c r="H14" s="19">
        <f>'Data Sheet'!H66</f>
        <v>150020.44</v>
      </c>
      <c r="I14" s="19">
        <f>'Data Sheet'!I66</f>
        <v>161050.84</v>
      </c>
      <c r="J14" s="19">
        <f>'Data Sheet'!J66</f>
        <v>179436.33</v>
      </c>
      <c r="K14" s="19">
        <f>'Data Sheet'!K66</f>
        <v>209875.97</v>
      </c>
    </row>
    <row r="15" spans="1:11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>
      <c r="A16" s="29" t="s">
        <v>30</v>
      </c>
      <c r="B16" s="21">
        <f>B13-B7</f>
        <v>19707.5</v>
      </c>
      <c r="C16" s="21">
        <f t="shared" ref="C16:K16" si="0">C13-C7</f>
        <v>16673.539999999994</v>
      </c>
      <c r="D16" s="21">
        <f t="shared" si="0"/>
        <v>6490.1699999999983</v>
      </c>
      <c r="E16" s="21">
        <f t="shared" si="0"/>
        <v>-6346.8899999999994</v>
      </c>
      <c r="F16" s="21">
        <f t="shared" si="0"/>
        <v>-17833.960000000006</v>
      </c>
      <c r="G16" s="21">
        <f t="shared" si="0"/>
        <v>-16780.72</v>
      </c>
      <c r="H16" s="21">
        <f t="shared" si="0"/>
        <v>-8494.0399999999936</v>
      </c>
      <c r="I16" s="21">
        <f t="shared" si="0"/>
        <v>-16443.690000000002</v>
      </c>
      <c r="J16" s="21">
        <f t="shared" si="0"/>
        <v>-21838.01999999999</v>
      </c>
      <c r="K16" s="21">
        <f t="shared" si="0"/>
        <v>-15146</v>
      </c>
    </row>
    <row r="17" spans="1:11">
      <c r="A17" s="11" t="s">
        <v>44</v>
      </c>
      <c r="B17" s="21">
        <f>'Data Sheet'!B67</f>
        <v>8241.0300000000007</v>
      </c>
      <c r="C17" s="21">
        <f>'Data Sheet'!C67</f>
        <v>8521.8799999999992</v>
      </c>
      <c r="D17" s="21">
        <f>'Data Sheet'!D67</f>
        <v>11447.61</v>
      </c>
      <c r="E17" s="21">
        <f>'Data Sheet'!E67</f>
        <v>12476.27</v>
      </c>
      <c r="F17" s="21">
        <f>'Data Sheet'!F67</f>
        <v>6257.8</v>
      </c>
      <c r="G17" s="21">
        <f>'Data Sheet'!G67</f>
        <v>5498.55</v>
      </c>
      <c r="H17" s="21">
        <f>'Data Sheet'!H67</f>
        <v>14408.22</v>
      </c>
      <c r="I17" s="21">
        <f>'Data Sheet'!I67</f>
        <v>19623.12</v>
      </c>
      <c r="J17" s="21">
        <f>'Data Sheet'!J67</f>
        <v>11367.68</v>
      </c>
      <c r="K17" s="21">
        <f>'Data Sheet'!K67</f>
        <v>13060.48</v>
      </c>
    </row>
    <row r="18" spans="1:11">
      <c r="A18" s="11" t="s">
        <v>45</v>
      </c>
      <c r="B18" s="21">
        <f>'Data Sheet'!B68</f>
        <v>6264.16</v>
      </c>
      <c r="C18" s="21">
        <f>'Data Sheet'!C68</f>
        <v>6909.05</v>
      </c>
      <c r="D18" s="21">
        <f>'Data Sheet'!D68</f>
        <v>8301.23</v>
      </c>
      <c r="E18" s="21">
        <f>'Data Sheet'!E68</f>
        <v>9717.0400000000009</v>
      </c>
      <c r="F18" s="21">
        <f>'Data Sheet'!F68</f>
        <v>6443.85</v>
      </c>
      <c r="G18" s="21">
        <f>'Data Sheet'!G68</f>
        <v>5583.93</v>
      </c>
      <c r="H18" s="21">
        <f>'Data Sheet'!H68</f>
        <v>6617.98</v>
      </c>
      <c r="I18" s="21">
        <f>'Data Sheet'!I68</f>
        <v>8947.4699999999993</v>
      </c>
      <c r="J18" s="21">
        <f>'Data Sheet'!J68</f>
        <v>7075.68</v>
      </c>
      <c r="K18" s="21">
        <f>'Data Sheet'!K68</f>
        <v>8154.68</v>
      </c>
    </row>
    <row r="20" spans="1:11">
      <c r="A20" s="11" t="s">
        <v>46</v>
      </c>
      <c r="B20" s="5">
        <f>IF('Profit &amp; Loss'!B4&gt;0,'Balance Sheet'!B17/('Profit &amp; Loss'!B4/365),0)</f>
        <v>42.601353935104932</v>
      </c>
      <c r="C20" s="5">
        <f>IF('Profit &amp; Loss'!C4&gt;0,'Balance Sheet'!C17/('Profit &amp; Loss'!C4/365),0)</f>
        <v>41.965505429231236</v>
      </c>
      <c r="D20" s="5">
        <f>IF('Profit &amp; Loss'!D4&gt;0,'Balance Sheet'!D17/('Profit &amp; Loss'!D4/365),0)</f>
        <v>53.664356704972377</v>
      </c>
      <c r="E20" s="5">
        <f>IF('Profit &amp; Loss'!E4&gt;0,'Balance Sheet'!E17/('Profit &amp; Loss'!E4/365),0)</f>
        <v>58.260348167177554</v>
      </c>
      <c r="F20" s="5">
        <f>IF('Profit &amp; Loss'!F4&gt;0,'Balance Sheet'!F17/('Profit &amp; Loss'!F4/365),0)</f>
        <v>26.794737098952375</v>
      </c>
      <c r="G20" s="5">
        <f>IF('Profit &amp; Loss'!G4&gt;0,'Balance Sheet'!G17/('Profit &amp; Loss'!G4/365),0)</f>
        <v>20.153220430140458</v>
      </c>
      <c r="H20" s="5">
        <f>IF('Profit &amp; Loss'!H4&gt;0,'Balance Sheet'!H17/('Profit &amp; Loss'!H4/365),0)</f>
        <v>54.73544639829543</v>
      </c>
      <c r="I20" s="5">
        <f>IF('Profit &amp; Loss'!I4&gt;0,'Balance Sheet'!I17/('Profit &amp; Loss'!I4/365),0)</f>
        <v>79.559660591422414</v>
      </c>
      <c r="J20" s="5">
        <f>IF('Profit &amp; Loss'!J4&gt;0,'Balance Sheet'!J17/('Profit &amp; Loss'!J4/365),0)</f>
        <v>37.817867351735977</v>
      </c>
      <c r="K20" s="5">
        <f>IF('Profit &amp; Loss'!K4&gt;0,'Balance Sheet'!K17/('Profit &amp; Loss'!K4/365),0)</f>
        <v>34.481080225220758</v>
      </c>
    </row>
    <row r="21" spans="1:11">
      <c r="A21" s="11" t="s">
        <v>47</v>
      </c>
      <c r="B21" s="5">
        <f>IF('Balance Sheet'!B18&gt;0,'Profit &amp; Loss'!B4/'Balance Sheet'!B18,0)</f>
        <v>11.271666113253813</v>
      </c>
      <c r="C21" s="5">
        <f>IF('Balance Sheet'!C18&gt;0,'Profit &amp; Loss'!C4/'Balance Sheet'!C18,0)</f>
        <v>10.727968389286517</v>
      </c>
      <c r="D21" s="5">
        <f>IF('Balance Sheet'!D18&gt;0,'Profit &amp; Loss'!D4/'Balance Sheet'!D18,0)</f>
        <v>9.3794919548066993</v>
      </c>
      <c r="E21" s="5">
        <f>IF('Balance Sheet'!E18&gt;0,'Profit &amp; Loss'!E4/'Balance Sheet'!E18,0)</f>
        <v>8.0439722384594479</v>
      </c>
      <c r="F21" s="5">
        <f>IF('Balance Sheet'!F18&gt;0,'Profit &amp; Loss'!F4/'Balance Sheet'!F18,0)</f>
        <v>13.228774723185673</v>
      </c>
      <c r="G21" s="5">
        <f>IF('Balance Sheet'!G18&gt;0,'Profit &amp; Loss'!G4/'Balance Sheet'!G18,0)</f>
        <v>17.834322779834274</v>
      </c>
      <c r="H21" s="5">
        <f>IF('Balance Sheet'!H18&gt;0,'Profit &amp; Loss'!H4/'Balance Sheet'!H18,0)</f>
        <v>14.51807651277278</v>
      </c>
      <c r="I21" s="5">
        <f>IF('Balance Sheet'!I18&gt;0,'Profit &amp; Loss'!I4/'Balance Sheet'!I18,0)</f>
        <v>10.061616300473766</v>
      </c>
      <c r="J21" s="5">
        <f>IF('Balance Sheet'!J18&gt;0,'Profit &amp; Loss'!J4/'Balance Sheet'!J18,0)</f>
        <v>15.505989530334892</v>
      </c>
      <c r="K21" s="5">
        <f>IF('Balance Sheet'!K18&gt;0,'Profit &amp; Loss'!K4/'Balance Sheet'!K18,0)</f>
        <v>16.953689169899985</v>
      </c>
    </row>
    <row r="23" spans="1:11" s="8" customFormat="1">
      <c r="A23" s="8" t="s">
        <v>59</v>
      </c>
      <c r="B23" s="14">
        <f>IF(SUM('Balance Sheet'!B4:B5)&gt;0,'Profit &amp; Loss'!B12/SUM('Balance Sheet'!B4:B5),"")</f>
        <v>0.35636982524951388</v>
      </c>
      <c r="C23" s="14">
        <f>IF(SUM('Balance Sheet'!C4:C5)&gt;0,'Profit &amp; Loss'!C12/SUM('Balance Sheet'!C4:C5),"")</f>
        <v>0.16280793505921606</v>
      </c>
      <c r="D23" s="14">
        <f>IF(SUM('Balance Sheet'!D4:D5)&gt;0,'Profit &amp; Loss'!D12/SUM('Balance Sheet'!D4:D5),"")</f>
        <v>0.17049587232395799</v>
      </c>
      <c r="E23" s="14">
        <f>IF(SUM('Balance Sheet'!E4:E5)&gt;0,'Profit &amp; Loss'!E12/SUM('Balance Sheet'!E4:E5),"")</f>
        <v>0.21680359277578309</v>
      </c>
      <c r="F23" s="14">
        <f>IF(SUM('Balance Sheet'!F4:F5)&gt;0,'Profit &amp; Loss'!F12/SUM('Balance Sheet'!F4:F5),"")</f>
        <v>0.24654066606735606</v>
      </c>
      <c r="G23" s="14">
        <f>IF(SUM('Balance Sheet'!G4:G5)&gt;0,'Profit &amp; Loss'!G12/SUM('Balance Sheet'!G4:G5),"")</f>
        <v>0.22052916748881315</v>
      </c>
      <c r="H23" s="14">
        <f>IF(SUM('Balance Sheet'!H4:H5)&gt;0,'Profit &amp; Loss'!H12/SUM('Balance Sheet'!H4:H5),"")</f>
        <v>0.20040507610803523</v>
      </c>
      <c r="I23" s="14">
        <f>IF(SUM('Balance Sheet'!I4:I5)&gt;0,'Profit &amp; Loss'!I12/SUM('Balance Sheet'!I4:I5),"")</f>
        <v>0.10246660766276641</v>
      </c>
      <c r="J23" s="14">
        <f>IF(SUM('Balance Sheet'!J4:J5)&gt;0,'Profit &amp; Loss'!J12/SUM('Balance Sheet'!J4:J5),"")</f>
        <v>8.9607269214223212E-2</v>
      </c>
      <c r="K23" s="14">
        <f>IF(SUM('Balance Sheet'!K4:K5)&gt;0,'Profit &amp; Loss'!K12/SUM('Balance Sheet'!K4:K5),"")</f>
        <v>0.11443222268398105</v>
      </c>
    </row>
    <row r="24" spans="1:11" s="8" customFormat="1">
      <c r="A24" s="8" t="s">
        <v>60</v>
      </c>
      <c r="B24" s="14"/>
      <c r="C24" s="14">
        <f>IF((B4+B5+B6+C4+C5+C6)&gt;0,('Profit &amp; Loss'!C10+'Profit &amp; Loss'!C9)*2/(B4+B5+B6+C4+C5+C6),"")</f>
        <v>0.78448559998147427</v>
      </c>
      <c r="D24" s="14">
        <f>IF((C4+C5+C6+D4+D5+D6)&gt;0,('Profit &amp; Loss'!D10+'Profit &amp; Loss'!D9)*2/(C4+C5+C6+D4+D5+D6),"")</f>
        <v>0.87035151746232164</v>
      </c>
      <c r="E24" s="14">
        <f>IF((D4+D5+D6+E4+E5+E6)&gt;0,('Profit &amp; Loss'!E10+'Profit &amp; Loss'!E9)*2/(D4+D5+D6+E4+E5+E6),"")</f>
        <v>1.1794477767546701</v>
      </c>
      <c r="F24" s="14">
        <f>IF((E4+E5+E6+F4+F5+F6)&gt;0,('Profit &amp; Loss'!F10+'Profit &amp; Loss'!F9)*2/(E4+E5+E6+F4+F5+F6),"")</f>
        <v>1.8682942320476628</v>
      </c>
      <c r="G24" s="14">
        <f>IF((F4+F5+F6+G4+G5+G6)&gt;0,('Profit &amp; Loss'!G10+'Profit &amp; Loss'!G9)*2/(F4+F5+F6+G4+G5+G6),"")</f>
        <v>1.6853117233018282</v>
      </c>
      <c r="H24" s="14">
        <f>IF((G4+G5+G6+H4+H5+H6)&gt;0,('Profit &amp; Loss'!H10+'Profit &amp; Loss'!H9)*2/(G4+G5+G6+H4+H5+H6),"")</f>
        <v>1.2771891541796339</v>
      </c>
      <c r="I24" s="14">
        <f>IF((H4+H5+H6+I4+I5+I6)&gt;0,('Profit &amp; Loss'!I10+'Profit &amp; Loss'!I9)*2/(H4+H5+H6+I4+I5+I6),"")</f>
        <v>1.036277778573464</v>
      </c>
      <c r="J24" s="14">
        <f>IF((I4+I5+I6+J4+J5+J6)&gt;0,('Profit &amp; Loss'!J10+'Profit &amp; Loss'!J9)*2/(I4+I5+I6+J4+J5+J6),"")</f>
        <v>0.99563443125495255</v>
      </c>
      <c r="K24" s="14">
        <f>IF((J4+J5+J6+K4+K5+K6)&gt;0,('Profit &amp; Loss'!K10+'Profit &amp; Loss'!K9)*2/(J4+J5+J6+K4+K5+K6),"")</f>
        <v>0.99598893091653495</v>
      </c>
    </row>
    <row r="25" spans="1:11" s="18" customFormat="1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77734375" defaultRowHeight="14.4"/>
  <cols>
    <col min="1" max="1" width="26.77734375" style="6" bestFit="1" customWidth="1"/>
    <col min="2" max="6" width="13.44140625" style="6" customWidth="1"/>
    <col min="7" max="11" width="13.44140625" style="6" bestFit="1" customWidth="1"/>
    <col min="12" max="16384" width="8.77734375" style="6"/>
  </cols>
  <sheetData>
    <row r="1" spans="1:11" s="8" customFormat="1">
      <c r="A1" s="8" t="str">
        <f>'Balance Sheet'!A1</f>
        <v>COAL INDIA LTD</v>
      </c>
      <c r="E1" t="str">
        <f>UPDATE</f>
        <v/>
      </c>
      <c r="F1"/>
      <c r="J1" s="4" t="s">
        <v>1</v>
      </c>
      <c r="K1" s="4"/>
    </row>
    <row r="3" spans="1:11" s="2" customFormat="1">
      <c r="A3" s="15" t="s">
        <v>2</v>
      </c>
      <c r="B3" s="16">
        <f>'Data Sheet'!B81</f>
        <v>41729</v>
      </c>
      <c r="C3" s="16">
        <f>'Data Sheet'!C81</f>
        <v>42094</v>
      </c>
      <c r="D3" s="16">
        <f>'Data Sheet'!D81</f>
        <v>42460</v>
      </c>
      <c r="E3" s="16">
        <f>'Data Sheet'!E81</f>
        <v>42825</v>
      </c>
      <c r="F3" s="16">
        <f>'Data Sheet'!F81</f>
        <v>43190</v>
      </c>
      <c r="G3" s="16">
        <f>'Data Sheet'!G81</f>
        <v>43555</v>
      </c>
      <c r="H3" s="16">
        <f>'Data Sheet'!H81</f>
        <v>43921</v>
      </c>
      <c r="I3" s="16">
        <f>'Data Sheet'!I81</f>
        <v>44286</v>
      </c>
      <c r="J3" s="16">
        <f>'Data Sheet'!J81</f>
        <v>44651</v>
      </c>
      <c r="K3" s="16">
        <f>'Data Sheet'!K81</f>
        <v>45016</v>
      </c>
    </row>
    <row r="4" spans="1:11" s="8" customFormat="1">
      <c r="A4" s="8" t="s">
        <v>32</v>
      </c>
      <c r="B4" s="1">
        <f>'Data Sheet'!B82</f>
        <v>14524.69</v>
      </c>
      <c r="C4" s="1">
        <f>'Data Sheet'!C82</f>
        <v>14381.53</v>
      </c>
      <c r="D4" s="1">
        <f>'Data Sheet'!D82</f>
        <v>13153.77</v>
      </c>
      <c r="E4" s="1">
        <f>'Data Sheet'!E82</f>
        <v>16460.84</v>
      </c>
      <c r="F4" s="1">
        <f>'Data Sheet'!F82</f>
        <v>21114.92</v>
      </c>
      <c r="G4" s="1">
        <f>'Data Sheet'!G82</f>
        <v>16355.52</v>
      </c>
      <c r="H4" s="1">
        <f>'Data Sheet'!H82</f>
        <v>4977.24</v>
      </c>
      <c r="I4" s="1">
        <f>'Data Sheet'!I82</f>
        <v>10592.42</v>
      </c>
      <c r="J4" s="1">
        <f>'Data Sheet'!J82</f>
        <v>41106.769999999997</v>
      </c>
      <c r="K4" s="1">
        <f>'Data Sheet'!K82</f>
        <v>35686.21</v>
      </c>
    </row>
    <row r="5" spans="1:11">
      <c r="A5" s="6" t="s">
        <v>33</v>
      </c>
      <c r="B5" s="9">
        <f>'Data Sheet'!B83</f>
        <v>8579.76</v>
      </c>
      <c r="C5" s="9">
        <f>'Data Sheet'!C83</f>
        <v>894.3</v>
      </c>
      <c r="D5" s="9">
        <f>'Data Sheet'!D83</f>
        <v>8154.09</v>
      </c>
      <c r="E5" s="9">
        <f>'Data Sheet'!E83</f>
        <v>454.64</v>
      </c>
      <c r="F5" s="9">
        <f>'Data Sheet'!F83</f>
        <v>-7746.94</v>
      </c>
      <c r="G5" s="9">
        <f>'Data Sheet'!G83</f>
        <v>-7896.46</v>
      </c>
      <c r="H5" s="9">
        <f>'Data Sheet'!H83</f>
        <v>1032.8399999999999</v>
      </c>
      <c r="I5" s="9">
        <f>'Data Sheet'!I83</f>
        <v>181.9</v>
      </c>
      <c r="J5" s="9">
        <f>'Data Sheet'!J83</f>
        <v>-25714.51</v>
      </c>
      <c r="K5" s="9">
        <f>'Data Sheet'!K83</f>
        <v>-23422.99</v>
      </c>
    </row>
    <row r="6" spans="1:11">
      <c r="A6" s="6" t="s">
        <v>34</v>
      </c>
      <c r="B6" s="9">
        <f>'Data Sheet'!B84</f>
        <v>-25350.25</v>
      </c>
      <c r="C6" s="9">
        <f>'Data Sheet'!C84</f>
        <v>-15025.71</v>
      </c>
      <c r="D6" s="9">
        <f>'Data Sheet'!D84</f>
        <v>-19587.349999999999</v>
      </c>
      <c r="E6" s="9">
        <f>'Data Sheet'!E84</f>
        <v>-17597.97</v>
      </c>
      <c r="F6" s="9">
        <f>'Data Sheet'!F84</f>
        <v>-13564.22</v>
      </c>
      <c r="G6" s="9">
        <f>'Data Sheet'!G84</f>
        <v>-10884.84</v>
      </c>
      <c r="H6" s="9">
        <f>'Data Sheet'!H84</f>
        <v>-4790.87</v>
      </c>
      <c r="I6" s="9">
        <f>'Data Sheet'!I84</f>
        <v>-8453.14</v>
      </c>
      <c r="J6" s="9">
        <f>'Data Sheet'!J84</f>
        <v>-13441.24</v>
      </c>
      <c r="K6" s="9">
        <f>'Data Sheet'!K84</f>
        <v>-13661.14</v>
      </c>
    </row>
    <row r="7" spans="1:11" s="8" customFormat="1">
      <c r="A7" s="8" t="s">
        <v>35</v>
      </c>
      <c r="B7" s="1">
        <f>'Data Sheet'!B85</f>
        <v>-2245.8000000000002</v>
      </c>
      <c r="C7" s="1">
        <f>'Data Sheet'!C85</f>
        <v>250.12</v>
      </c>
      <c r="D7" s="1">
        <f>'Data Sheet'!D85</f>
        <v>1720.51</v>
      </c>
      <c r="E7" s="1">
        <f>'Data Sheet'!E85</f>
        <v>-682.49</v>
      </c>
      <c r="F7" s="1">
        <f>'Data Sheet'!F85</f>
        <v>-196.24</v>
      </c>
      <c r="G7" s="1">
        <f>'Data Sheet'!G85</f>
        <v>-2425.7800000000002</v>
      </c>
      <c r="H7" s="1">
        <f>'Data Sheet'!H85</f>
        <v>1219.21</v>
      </c>
      <c r="I7" s="1">
        <f>'Data Sheet'!I85</f>
        <v>2321.1799999999998</v>
      </c>
      <c r="J7" s="1">
        <f>'Data Sheet'!J85</f>
        <v>1951.02</v>
      </c>
      <c r="K7" s="1">
        <f>'Data Sheet'!K85</f>
        <v>-1397.92</v>
      </c>
    </row>
    <row r="8" spans="1:11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G16"/>
  <sheetViews>
    <sheetView zoomScale="150" zoomScaleNormal="150" zoomScalePageLayoutView="150" workbookViewId="0">
      <selection activeCell="B16" sqref="B16"/>
    </sheetView>
  </sheetViews>
  <sheetFormatPr defaultColWidth="8.77734375" defaultRowHeight="14.4"/>
  <cols>
    <col min="1" max="1" width="8.77734375" style="8"/>
    <col min="2" max="2" width="10.44140625" style="11" customWidth="1"/>
    <col min="3" max="3" width="13.33203125" style="26" customWidth="1"/>
    <col min="4" max="5" width="8.77734375" style="11"/>
    <col min="6" max="6" width="6.77734375" style="11" customWidth="1"/>
    <col min="7" max="16384" width="8.77734375" style="11"/>
  </cols>
  <sheetData>
    <row r="1" spans="1:7" ht="21">
      <c r="A1" s="25" t="s">
        <v>56</v>
      </c>
    </row>
    <row r="3" spans="1:7">
      <c r="A3" s="8" t="s">
        <v>48</v>
      </c>
    </row>
    <row r="4" spans="1:7">
      <c r="B4" s="11" t="s">
        <v>90</v>
      </c>
    </row>
    <row r="5" spans="1:7">
      <c r="B5" s="11" t="s">
        <v>49</v>
      </c>
    </row>
    <row r="7" spans="1:7">
      <c r="A7" s="8" t="s">
        <v>50</v>
      </c>
    </row>
    <row r="8" spans="1:7">
      <c r="B8" s="11" t="s">
        <v>51</v>
      </c>
      <c r="C8" s="27" t="s">
        <v>91</v>
      </c>
    </row>
    <row r="10" spans="1:7">
      <c r="A10" s="8" t="s">
        <v>52</v>
      </c>
    </row>
    <row r="11" spans="1:7">
      <c r="B11" s="11" t="s">
        <v>53</v>
      </c>
    </row>
    <row r="14" spans="1:7">
      <c r="A14" s="8" t="s">
        <v>54</v>
      </c>
    </row>
    <row r="15" spans="1:7">
      <c r="B15" s="11" t="s">
        <v>55</v>
      </c>
    </row>
    <row r="16" spans="1:7">
      <c r="B16" s="11" t="s">
        <v>92</v>
      </c>
      <c r="G16" s="28"/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defaultColWidth="8.77734375" defaultRowHeight="14.4"/>
  <cols>
    <col min="1" max="1" width="27.6640625" style="5" bestFit="1" customWidth="1"/>
    <col min="2" max="11" width="13.44140625" style="5" bestFit="1" customWidth="1"/>
    <col min="12" max="16384" width="8.77734375" style="5"/>
  </cols>
  <sheetData>
    <row r="1" spans="1:11" s="1" customFormat="1">
      <c r="A1" s="1" t="s">
        <v>0</v>
      </c>
      <c r="B1" s="1" t="s">
        <v>63</v>
      </c>
      <c r="E1" s="33" t="str">
        <f>IF(B2&lt;&gt;B3, "A NEW VERSION OF THE WORKSHEET IS AVAILABLE", "")</f>
        <v/>
      </c>
      <c r="F1" s="33"/>
      <c r="G1" s="33"/>
      <c r="H1" s="33"/>
      <c r="I1" s="33"/>
      <c r="J1" s="33"/>
      <c r="K1" s="33"/>
    </row>
    <row r="2" spans="1:11">
      <c r="A2" s="1" t="s">
        <v>61</v>
      </c>
      <c r="B2" s="5">
        <v>2.1</v>
      </c>
      <c r="E2" s="34" t="s">
        <v>36</v>
      </c>
      <c r="F2" s="34"/>
      <c r="G2" s="34"/>
      <c r="H2" s="34"/>
      <c r="I2" s="34"/>
      <c r="J2" s="34"/>
      <c r="K2" s="34"/>
    </row>
    <row r="3" spans="1:11">
      <c r="A3" s="1" t="s">
        <v>62</v>
      </c>
      <c r="B3" s="5">
        <v>2.1</v>
      </c>
    </row>
    <row r="4" spans="1:11">
      <c r="A4" s="1"/>
    </row>
    <row r="5" spans="1:11">
      <c r="A5" s="1" t="s">
        <v>64</v>
      </c>
    </row>
    <row r="6" spans="1:11">
      <c r="A6" s="5" t="s">
        <v>42</v>
      </c>
      <c r="B6" s="5">
        <f>IF(B9&gt;0, B9/B8, 0)</f>
        <v>616.27284009546531</v>
      </c>
    </row>
    <row r="7" spans="1:11">
      <c r="A7" s="5" t="s">
        <v>31</v>
      </c>
      <c r="B7">
        <v>10</v>
      </c>
    </row>
    <row r="8" spans="1:11">
      <c r="A8" s="5" t="s">
        <v>43</v>
      </c>
      <c r="B8">
        <v>314.25</v>
      </c>
    </row>
    <row r="9" spans="1:11">
      <c r="A9" s="5" t="s">
        <v>79</v>
      </c>
      <c r="B9">
        <v>193663.74</v>
      </c>
    </row>
    <row r="15" spans="1:11">
      <c r="A15" s="1" t="s">
        <v>37</v>
      </c>
    </row>
    <row r="16" spans="1:11" s="24" customFormat="1">
      <c r="A16" s="23" t="s">
        <v>38</v>
      </c>
      <c r="B16" s="16">
        <v>41729</v>
      </c>
      <c r="C16" s="16">
        <v>42094</v>
      </c>
      <c r="D16" s="16">
        <v>42460</v>
      </c>
      <c r="E16" s="16">
        <v>42825</v>
      </c>
      <c r="F16" s="16">
        <v>43190</v>
      </c>
      <c r="G16" s="16">
        <v>43555</v>
      </c>
      <c r="H16" s="16">
        <v>43921</v>
      </c>
      <c r="I16" s="16">
        <v>44286</v>
      </c>
      <c r="J16" s="16">
        <v>44651</v>
      </c>
      <c r="K16" s="16">
        <v>45016</v>
      </c>
    </row>
    <row r="17" spans="1:11" s="9" customFormat="1">
      <c r="A17" s="9" t="s">
        <v>6</v>
      </c>
      <c r="B17">
        <v>70607.520000000004</v>
      </c>
      <c r="C17">
        <v>74120.070000000007</v>
      </c>
      <c r="D17">
        <v>77861.320000000007</v>
      </c>
      <c r="E17">
        <v>78163.600000000006</v>
      </c>
      <c r="F17">
        <v>85244.24</v>
      </c>
      <c r="G17">
        <v>99585.61</v>
      </c>
      <c r="H17">
        <v>96080.34</v>
      </c>
      <c r="I17">
        <v>90026.01</v>
      </c>
      <c r="J17">
        <v>109715.42</v>
      </c>
      <c r="K17">
        <v>138251.91</v>
      </c>
    </row>
    <row r="18" spans="1:11" s="9" customFormat="1">
      <c r="A18" s="5" t="s">
        <v>80</v>
      </c>
      <c r="B18">
        <v>7022.05</v>
      </c>
      <c r="C18">
        <v>7256.44</v>
      </c>
      <c r="D18">
        <v>7039.76</v>
      </c>
      <c r="H18">
        <v>60.8</v>
      </c>
      <c r="I18">
        <v>282.33999999999997</v>
      </c>
      <c r="J18">
        <v>103.56</v>
      </c>
      <c r="K18">
        <v>469.74</v>
      </c>
    </row>
    <row r="19" spans="1:11" s="9" customFormat="1">
      <c r="A19" s="5" t="s">
        <v>81</v>
      </c>
      <c r="B19">
        <v>-92.65</v>
      </c>
      <c r="C19">
        <v>530.48</v>
      </c>
      <c r="D19">
        <v>1444.22</v>
      </c>
      <c r="E19">
        <v>1238.3800000000001</v>
      </c>
      <c r="F19">
        <v>-1679.46</v>
      </c>
      <c r="G19">
        <v>-856.24</v>
      </c>
      <c r="H19">
        <v>1042.5</v>
      </c>
      <c r="I19">
        <v>2351.2600000000002</v>
      </c>
      <c r="J19">
        <v>-2308.4899999999998</v>
      </c>
      <c r="K19">
        <v>678.12</v>
      </c>
    </row>
    <row r="20" spans="1:11" s="9" customFormat="1">
      <c r="A20" s="5" t="s">
        <v>82</v>
      </c>
      <c r="B20">
        <v>2282.23</v>
      </c>
      <c r="C20">
        <v>2347.2800000000002</v>
      </c>
      <c r="D20">
        <v>2490.54</v>
      </c>
      <c r="E20">
        <v>2546.4499999999998</v>
      </c>
      <c r="F20">
        <v>2516.42</v>
      </c>
      <c r="G20">
        <v>2443.08</v>
      </c>
      <c r="H20">
        <v>2467.2199999999998</v>
      </c>
      <c r="I20">
        <v>2524.67</v>
      </c>
      <c r="J20">
        <v>2638.46</v>
      </c>
      <c r="K20">
        <v>2759.89</v>
      </c>
    </row>
    <row r="21" spans="1:11" s="9" customFormat="1">
      <c r="A21" s="5" t="s">
        <v>83</v>
      </c>
      <c r="B21">
        <v>7876.34</v>
      </c>
      <c r="C21">
        <v>9770.94</v>
      </c>
      <c r="D21">
        <v>12370.09</v>
      </c>
      <c r="E21">
        <v>20624.080000000002</v>
      </c>
      <c r="F21">
        <v>21077.21</v>
      </c>
      <c r="G21">
        <v>22274.92</v>
      </c>
      <c r="H21">
        <v>22456.959999999999</v>
      </c>
      <c r="I21">
        <v>25278.3</v>
      </c>
      <c r="J21">
        <v>30039.47</v>
      </c>
      <c r="K21">
        <v>38739.07</v>
      </c>
    </row>
    <row r="22" spans="1:11" s="9" customFormat="1">
      <c r="A22" s="5" t="s">
        <v>84</v>
      </c>
      <c r="B22">
        <v>27914.400000000001</v>
      </c>
      <c r="C22">
        <v>29874.12</v>
      </c>
      <c r="D22">
        <v>30126.78</v>
      </c>
      <c r="E22">
        <v>33522.879999999997</v>
      </c>
      <c r="F22">
        <v>42621.84</v>
      </c>
      <c r="G22">
        <v>38772.85</v>
      </c>
      <c r="H22">
        <v>39404.18</v>
      </c>
      <c r="I22">
        <v>38592.42</v>
      </c>
      <c r="J22">
        <v>40473.21</v>
      </c>
      <c r="K22">
        <v>49409.16</v>
      </c>
    </row>
    <row r="23" spans="1:11" s="9" customFormat="1">
      <c r="A23" s="5" t="s">
        <v>85</v>
      </c>
      <c r="B23">
        <v>2718.39</v>
      </c>
      <c r="C23">
        <v>2816.96</v>
      </c>
      <c r="D23">
        <v>3291.82</v>
      </c>
      <c r="E23">
        <v>3962.63</v>
      </c>
      <c r="F23">
        <v>3383.99</v>
      </c>
      <c r="G23">
        <v>3681.45</v>
      </c>
      <c r="H23">
        <v>3544.99</v>
      </c>
      <c r="I23">
        <v>3372.83</v>
      </c>
      <c r="J23">
        <v>3861.53</v>
      </c>
      <c r="K23">
        <v>4490.2700000000004</v>
      </c>
    </row>
    <row r="24" spans="1:11" s="9" customFormat="1">
      <c r="A24" s="5" t="s">
        <v>86</v>
      </c>
      <c r="B24">
        <v>4935.68</v>
      </c>
      <c r="C24">
        <v>5241.8100000000004</v>
      </c>
      <c r="D24">
        <v>5272.09</v>
      </c>
      <c r="E24">
        <v>6298.04</v>
      </c>
      <c r="F24">
        <v>4677.09</v>
      </c>
      <c r="G24">
        <v>6550.29</v>
      </c>
      <c r="H24">
        <v>7608.03</v>
      </c>
      <c r="I24">
        <v>3699.19</v>
      </c>
      <c r="J24">
        <v>5570.19</v>
      </c>
      <c r="K24">
        <v>6252.17</v>
      </c>
    </row>
    <row r="25" spans="1:11" s="9" customFormat="1">
      <c r="A25" s="9" t="s">
        <v>9</v>
      </c>
      <c r="B25">
        <v>7169.05</v>
      </c>
      <c r="C25">
        <v>6569.8</v>
      </c>
      <c r="D25">
        <v>5938.91</v>
      </c>
      <c r="E25">
        <v>5315.61</v>
      </c>
      <c r="F25">
        <v>4974.88</v>
      </c>
      <c r="G25">
        <v>5834.13</v>
      </c>
      <c r="H25">
        <v>6444.41</v>
      </c>
      <c r="I25">
        <v>3741.81</v>
      </c>
      <c r="J25">
        <v>3865.93</v>
      </c>
      <c r="K25">
        <v>6550.66</v>
      </c>
    </row>
    <row r="26" spans="1:11" s="9" customFormat="1">
      <c r="A26" s="9" t="s">
        <v>10</v>
      </c>
      <c r="B26">
        <v>1996.41</v>
      </c>
      <c r="C26">
        <v>2319.8000000000002</v>
      </c>
      <c r="D26">
        <v>2825.91</v>
      </c>
      <c r="E26">
        <v>2906.75</v>
      </c>
      <c r="F26">
        <v>3062.7</v>
      </c>
      <c r="G26">
        <v>3450.36</v>
      </c>
      <c r="H26">
        <v>3450.83</v>
      </c>
      <c r="I26">
        <v>3717.85</v>
      </c>
      <c r="J26">
        <v>4428.67</v>
      </c>
      <c r="K26">
        <v>4675.2700000000004</v>
      </c>
    </row>
    <row r="27" spans="1:11" s="9" customFormat="1">
      <c r="A27" s="9" t="s">
        <v>11</v>
      </c>
      <c r="B27">
        <v>58.89</v>
      </c>
      <c r="C27">
        <v>9.09</v>
      </c>
      <c r="D27">
        <v>387.67</v>
      </c>
      <c r="E27">
        <v>410.44</v>
      </c>
      <c r="F27">
        <v>430.1</v>
      </c>
      <c r="G27">
        <v>263.68</v>
      </c>
      <c r="H27">
        <v>502.92</v>
      </c>
      <c r="I27">
        <v>642.24</v>
      </c>
      <c r="J27">
        <v>541.49</v>
      </c>
      <c r="K27">
        <v>684.31</v>
      </c>
    </row>
    <row r="28" spans="1:11" s="9" customFormat="1">
      <c r="A28" s="9" t="s">
        <v>12</v>
      </c>
      <c r="B28">
        <v>22879.53</v>
      </c>
      <c r="C28">
        <v>21583.91</v>
      </c>
      <c r="D28">
        <v>21439.79</v>
      </c>
      <c r="E28">
        <v>14446.32</v>
      </c>
      <c r="F28">
        <v>10770.31</v>
      </c>
      <c r="G28">
        <v>27126.87</v>
      </c>
      <c r="H28">
        <v>24071.32</v>
      </c>
      <c r="I28">
        <v>18009.240000000002</v>
      </c>
      <c r="J28">
        <v>23616.28</v>
      </c>
      <c r="K28">
        <v>38000.81</v>
      </c>
    </row>
    <row r="29" spans="1:11" s="9" customFormat="1">
      <c r="A29" s="9" t="s">
        <v>13</v>
      </c>
      <c r="B29">
        <v>7767.9</v>
      </c>
      <c r="C29">
        <v>7857.3</v>
      </c>
      <c r="D29">
        <v>7171.87</v>
      </c>
      <c r="E29">
        <v>5164.79</v>
      </c>
      <c r="F29">
        <v>3732.31</v>
      </c>
      <c r="G29">
        <v>9662.4500000000007</v>
      </c>
      <c r="H29">
        <v>7370.98</v>
      </c>
      <c r="I29">
        <v>5307.07</v>
      </c>
      <c r="J29">
        <v>6237.86</v>
      </c>
      <c r="K29">
        <v>9875.8700000000008</v>
      </c>
    </row>
    <row r="30" spans="1:11" s="9" customFormat="1">
      <c r="A30" s="9" t="s">
        <v>14</v>
      </c>
      <c r="B30">
        <v>15111.67</v>
      </c>
      <c r="C30">
        <v>13726.7</v>
      </c>
      <c r="D30">
        <v>14266.78</v>
      </c>
      <c r="E30">
        <v>9280.02</v>
      </c>
      <c r="F30">
        <v>7038.56</v>
      </c>
      <c r="G30">
        <v>17463.07</v>
      </c>
      <c r="H30">
        <v>16714.189999999999</v>
      </c>
      <c r="I30">
        <v>12699.89</v>
      </c>
      <c r="J30">
        <v>17358.099999999999</v>
      </c>
      <c r="K30">
        <v>28165.19</v>
      </c>
    </row>
    <row r="31" spans="1:11" s="9" customFormat="1">
      <c r="A31" s="9" t="s">
        <v>70</v>
      </c>
      <c r="B31">
        <v>18317.439999999999</v>
      </c>
      <c r="C31">
        <v>13074.87</v>
      </c>
      <c r="D31">
        <v>17306.830000000002</v>
      </c>
      <c r="E31">
        <v>12352.75</v>
      </c>
      <c r="F31">
        <v>10242.23</v>
      </c>
      <c r="G31">
        <v>8073.18</v>
      </c>
      <c r="H31">
        <v>7395.28</v>
      </c>
      <c r="I31">
        <v>9860.3700000000008</v>
      </c>
      <c r="J31">
        <v>10476.64</v>
      </c>
      <c r="K31">
        <v>14944.62</v>
      </c>
    </row>
    <row r="32" spans="1:11" s="9" customFormat="1"/>
    <row r="33" spans="1:11">
      <c r="A33" s="9"/>
    </row>
    <row r="34" spans="1:11">
      <c r="A34" s="9"/>
    </row>
    <row r="35" spans="1:11">
      <c r="A35" s="9"/>
    </row>
    <row r="36" spans="1:11">
      <c r="A36" s="9"/>
    </row>
    <row r="37" spans="1:11">
      <c r="A37" s="9"/>
    </row>
    <row r="38" spans="1:11">
      <c r="A38" s="9"/>
    </row>
    <row r="39" spans="1:11">
      <c r="A39" s="9"/>
    </row>
    <row r="40" spans="1:11">
      <c r="A40" s="1" t="s">
        <v>39</v>
      </c>
    </row>
    <row r="41" spans="1:11" s="24" customFormat="1">
      <c r="A41" s="23" t="s">
        <v>38</v>
      </c>
      <c r="B41" s="16">
        <v>44286</v>
      </c>
      <c r="C41" s="16">
        <v>44377</v>
      </c>
      <c r="D41" s="16">
        <v>44469</v>
      </c>
      <c r="E41" s="16">
        <v>44561</v>
      </c>
      <c r="F41" s="16">
        <v>44651</v>
      </c>
      <c r="G41" s="16">
        <v>44742</v>
      </c>
      <c r="H41" s="16">
        <v>44834</v>
      </c>
      <c r="I41" s="16">
        <v>44926</v>
      </c>
      <c r="J41" s="16">
        <v>45016</v>
      </c>
      <c r="K41" s="16">
        <v>45107</v>
      </c>
    </row>
    <row r="42" spans="1:11" s="9" customFormat="1">
      <c r="A42" s="9" t="s">
        <v>6</v>
      </c>
      <c r="B42">
        <v>26700.14</v>
      </c>
      <c r="C42">
        <v>25282.15</v>
      </c>
      <c r="D42">
        <v>23291.08</v>
      </c>
      <c r="E42">
        <v>28433.5</v>
      </c>
      <c r="F42">
        <v>32708.69</v>
      </c>
      <c r="G42">
        <v>35092.17</v>
      </c>
      <c r="H42">
        <v>29838.07</v>
      </c>
      <c r="I42">
        <v>35169.33</v>
      </c>
      <c r="J42">
        <v>38152.339999999997</v>
      </c>
      <c r="K42">
        <v>35983.21</v>
      </c>
    </row>
    <row r="43" spans="1:11" s="9" customFormat="1">
      <c r="A43" s="9" t="s">
        <v>7</v>
      </c>
      <c r="B43">
        <v>20264.849999999999</v>
      </c>
      <c r="C43">
        <v>20439.330000000002</v>
      </c>
      <c r="D43">
        <v>19353.84</v>
      </c>
      <c r="E43">
        <v>21611.22</v>
      </c>
      <c r="F43">
        <v>23606.76</v>
      </c>
      <c r="G43">
        <v>22865.32</v>
      </c>
      <c r="H43">
        <v>22699.54</v>
      </c>
      <c r="I43">
        <v>24780.61</v>
      </c>
      <c r="J43">
        <v>31254.2</v>
      </c>
      <c r="K43">
        <v>25492.38</v>
      </c>
    </row>
    <row r="44" spans="1:11" s="9" customFormat="1">
      <c r="A44" s="9" t="s">
        <v>9</v>
      </c>
      <c r="B44">
        <v>1224.43</v>
      </c>
      <c r="C44">
        <v>680.97</v>
      </c>
      <c r="D44">
        <v>781.75</v>
      </c>
      <c r="E44">
        <v>652.85</v>
      </c>
      <c r="F44">
        <v>1766.59</v>
      </c>
      <c r="G44">
        <v>994.51</v>
      </c>
      <c r="H44">
        <v>1761.17</v>
      </c>
      <c r="I44">
        <v>1670.79</v>
      </c>
      <c r="J44">
        <v>2281.6799999999998</v>
      </c>
      <c r="K44">
        <v>1537.82</v>
      </c>
    </row>
    <row r="45" spans="1:11" s="9" customFormat="1">
      <c r="A45" s="9" t="s">
        <v>10</v>
      </c>
      <c r="B45">
        <v>1097.03</v>
      </c>
      <c r="C45">
        <v>1040.6099999999999</v>
      </c>
      <c r="D45">
        <v>934.39</v>
      </c>
      <c r="E45">
        <v>1041.32</v>
      </c>
      <c r="F45">
        <v>1412.35</v>
      </c>
      <c r="G45">
        <v>993.75</v>
      </c>
      <c r="H45">
        <v>1077.07</v>
      </c>
      <c r="I45">
        <v>1261.97</v>
      </c>
      <c r="J45">
        <v>1342.48</v>
      </c>
      <c r="K45">
        <v>1138.3800000000001</v>
      </c>
    </row>
    <row r="46" spans="1:11" s="9" customFormat="1">
      <c r="A46" s="9" t="s">
        <v>11</v>
      </c>
      <c r="B46">
        <v>156.57</v>
      </c>
      <c r="C46">
        <v>147.62</v>
      </c>
      <c r="D46">
        <v>141.36000000000001</v>
      </c>
      <c r="E46">
        <v>131.61000000000001</v>
      </c>
      <c r="F46">
        <v>120.9</v>
      </c>
      <c r="G46">
        <v>150.22999999999999</v>
      </c>
      <c r="H46">
        <v>135.15</v>
      </c>
      <c r="I46">
        <v>203.86</v>
      </c>
      <c r="J46">
        <v>195.07</v>
      </c>
      <c r="K46">
        <v>177.94</v>
      </c>
    </row>
    <row r="47" spans="1:11" s="9" customFormat="1">
      <c r="A47" s="9" t="s">
        <v>12</v>
      </c>
      <c r="B47">
        <v>6406.12</v>
      </c>
      <c r="C47">
        <v>4335.5600000000004</v>
      </c>
      <c r="D47">
        <v>3643.24</v>
      </c>
      <c r="E47">
        <v>6302.2</v>
      </c>
      <c r="F47">
        <v>9335.27</v>
      </c>
      <c r="G47">
        <v>12077.38</v>
      </c>
      <c r="H47">
        <v>7687.48</v>
      </c>
      <c r="I47">
        <v>10593.68</v>
      </c>
      <c r="J47">
        <v>7642.27</v>
      </c>
      <c r="K47">
        <v>10712.33</v>
      </c>
    </row>
    <row r="48" spans="1:11" s="9" customFormat="1">
      <c r="A48" s="9" t="s">
        <v>13</v>
      </c>
      <c r="B48">
        <v>1817.16</v>
      </c>
      <c r="C48">
        <v>1161.42</v>
      </c>
      <c r="D48">
        <v>710.51</v>
      </c>
      <c r="E48">
        <v>1745.66</v>
      </c>
      <c r="F48">
        <v>2620.27</v>
      </c>
      <c r="G48">
        <v>3243.16</v>
      </c>
      <c r="H48">
        <v>1643.49</v>
      </c>
      <c r="I48">
        <v>2874.57</v>
      </c>
      <c r="J48">
        <v>2114.65</v>
      </c>
      <c r="K48">
        <v>2770.93</v>
      </c>
    </row>
    <row r="49" spans="1:11" s="9" customFormat="1">
      <c r="A49" s="9" t="s">
        <v>14</v>
      </c>
      <c r="B49">
        <v>4586.78</v>
      </c>
      <c r="C49">
        <v>3169.85</v>
      </c>
      <c r="D49">
        <v>2936.91</v>
      </c>
      <c r="E49">
        <v>4558.3900000000003</v>
      </c>
      <c r="F49">
        <v>6692.94</v>
      </c>
      <c r="G49">
        <v>8832.86</v>
      </c>
      <c r="H49">
        <v>6043.55</v>
      </c>
      <c r="I49">
        <v>7755.55</v>
      </c>
      <c r="J49">
        <v>5533.23</v>
      </c>
      <c r="K49">
        <v>7971.04</v>
      </c>
    </row>
    <row r="50" spans="1:11">
      <c r="A50" s="9" t="s">
        <v>8</v>
      </c>
      <c r="B50">
        <v>6435.29</v>
      </c>
      <c r="C50">
        <v>4842.82</v>
      </c>
      <c r="D50">
        <v>3937.24</v>
      </c>
      <c r="E50">
        <v>6822.28</v>
      </c>
      <c r="F50">
        <v>9101.93</v>
      </c>
      <c r="G50">
        <v>12226.85</v>
      </c>
      <c r="H50">
        <v>7138.53</v>
      </c>
      <c r="I50">
        <v>10388.719999999999</v>
      </c>
      <c r="J50">
        <v>6898.14</v>
      </c>
      <c r="K50">
        <v>10490.83</v>
      </c>
    </row>
    <row r="51" spans="1:11">
      <c r="A51" s="9"/>
    </row>
    <row r="52" spans="1:11">
      <c r="A52" s="9"/>
    </row>
    <row r="53" spans="1:11">
      <c r="A53" s="9"/>
    </row>
    <row r="54" spans="1:11">
      <c r="A54" s="9"/>
    </row>
    <row r="55" spans="1:11">
      <c r="A55" s="1" t="s">
        <v>40</v>
      </c>
    </row>
    <row r="56" spans="1:11" s="24" customFormat="1">
      <c r="A56" s="23" t="s">
        <v>38</v>
      </c>
      <c r="B56" s="16">
        <v>41729</v>
      </c>
      <c r="C56" s="16">
        <v>42094</v>
      </c>
      <c r="D56" s="16">
        <v>42460</v>
      </c>
      <c r="E56" s="16">
        <v>42825</v>
      </c>
      <c r="F56" s="16">
        <v>43190</v>
      </c>
      <c r="G56" s="16">
        <v>43555</v>
      </c>
      <c r="H56" s="16">
        <v>43921</v>
      </c>
      <c r="I56" s="16">
        <v>44286</v>
      </c>
      <c r="J56" s="16">
        <v>44651</v>
      </c>
      <c r="K56" s="16">
        <v>45016</v>
      </c>
    </row>
    <row r="57" spans="1:11">
      <c r="A57" s="9" t="s">
        <v>24</v>
      </c>
      <c r="B57">
        <v>6316.36</v>
      </c>
      <c r="C57">
        <v>6316.36</v>
      </c>
      <c r="D57">
        <v>6316.36</v>
      </c>
      <c r="E57">
        <v>6207.41</v>
      </c>
      <c r="F57">
        <v>6207.41</v>
      </c>
      <c r="G57">
        <v>6162.73</v>
      </c>
      <c r="H57">
        <v>6162.73</v>
      </c>
      <c r="I57">
        <v>6162.73</v>
      </c>
      <c r="J57">
        <v>6162.73</v>
      </c>
      <c r="K57">
        <v>6162.73</v>
      </c>
    </row>
    <row r="58" spans="1:11">
      <c r="A58" s="9" t="s">
        <v>25</v>
      </c>
      <c r="B58">
        <v>36088.1</v>
      </c>
      <c r="C58">
        <v>34036.71</v>
      </c>
      <c r="D58">
        <v>28516.799999999999</v>
      </c>
      <c r="E58">
        <v>18310.68</v>
      </c>
      <c r="F58">
        <v>13971.33</v>
      </c>
      <c r="G58">
        <v>20292.41</v>
      </c>
      <c r="H58">
        <v>25994.19</v>
      </c>
      <c r="I58">
        <v>30354.63</v>
      </c>
      <c r="J58">
        <v>36980.31</v>
      </c>
      <c r="K58">
        <v>51082.16</v>
      </c>
    </row>
    <row r="59" spans="1:11">
      <c r="A59" s="9" t="s">
        <v>71</v>
      </c>
      <c r="B59">
        <v>178.14</v>
      </c>
      <c r="C59">
        <v>408.32</v>
      </c>
      <c r="D59">
        <v>1198.79</v>
      </c>
      <c r="E59">
        <v>3014.47</v>
      </c>
      <c r="F59">
        <v>1537.72</v>
      </c>
      <c r="G59">
        <v>2209.94</v>
      </c>
      <c r="H59">
        <v>6433.77</v>
      </c>
      <c r="I59">
        <v>5884.23</v>
      </c>
      <c r="J59">
        <v>3513.64</v>
      </c>
      <c r="K59">
        <v>4331.42</v>
      </c>
    </row>
    <row r="60" spans="1:11">
      <c r="A60" s="9" t="s">
        <v>72</v>
      </c>
      <c r="B60">
        <v>62355.839999999997</v>
      </c>
      <c r="C60">
        <v>70505.3</v>
      </c>
      <c r="D60">
        <v>77528.31</v>
      </c>
      <c r="E60">
        <v>91054.43</v>
      </c>
      <c r="F60">
        <v>103754.21</v>
      </c>
      <c r="G60">
        <v>104356.37</v>
      </c>
      <c r="H60">
        <v>111429.75</v>
      </c>
      <c r="I60">
        <v>118649.25</v>
      </c>
      <c r="J60">
        <v>132779.65</v>
      </c>
      <c r="K60">
        <v>148299.66</v>
      </c>
    </row>
    <row r="61" spans="1:11" s="1" customFormat="1">
      <c r="A61" s="1" t="s">
        <v>26</v>
      </c>
      <c r="B61">
        <v>104938.44</v>
      </c>
      <c r="C61">
        <v>111266.69</v>
      </c>
      <c r="D61">
        <v>113560.26</v>
      </c>
      <c r="E61">
        <v>118586.99</v>
      </c>
      <c r="F61">
        <v>125470.67</v>
      </c>
      <c r="G61">
        <v>133021.45000000001</v>
      </c>
      <c r="H61">
        <v>150020.44</v>
      </c>
      <c r="I61">
        <v>161050.84</v>
      </c>
      <c r="J61">
        <v>179436.33</v>
      </c>
      <c r="K61">
        <v>209875.97</v>
      </c>
    </row>
    <row r="62" spans="1:11">
      <c r="A62" s="9" t="s">
        <v>27</v>
      </c>
      <c r="B62">
        <v>14784.39</v>
      </c>
      <c r="C62">
        <v>16115.04</v>
      </c>
      <c r="D62">
        <v>22082.49</v>
      </c>
      <c r="E62">
        <v>23811.37</v>
      </c>
      <c r="F62">
        <v>27574.09</v>
      </c>
      <c r="G62">
        <v>32618.32</v>
      </c>
      <c r="H62">
        <v>36783.61</v>
      </c>
      <c r="I62">
        <v>42405.22</v>
      </c>
      <c r="J62">
        <v>46676.959999999999</v>
      </c>
      <c r="K62">
        <v>51960.93</v>
      </c>
    </row>
    <row r="63" spans="1:11">
      <c r="A63" s="9" t="s">
        <v>28</v>
      </c>
      <c r="B63">
        <v>4315.8100000000004</v>
      </c>
      <c r="C63">
        <v>5159.37</v>
      </c>
      <c r="D63">
        <v>4553.22</v>
      </c>
      <c r="E63">
        <v>8585.2199999999993</v>
      </c>
      <c r="F63">
        <v>10272.700000000001</v>
      </c>
      <c r="G63">
        <v>9657.68</v>
      </c>
      <c r="H63">
        <v>8328.25</v>
      </c>
      <c r="I63">
        <v>10489.83</v>
      </c>
      <c r="J63">
        <v>12897.14</v>
      </c>
      <c r="K63">
        <v>17621.97</v>
      </c>
    </row>
    <row r="64" spans="1:11">
      <c r="A64" s="9" t="s">
        <v>29</v>
      </c>
      <c r="B64">
        <v>3774.9</v>
      </c>
      <c r="C64">
        <v>2813.44</v>
      </c>
      <c r="D64">
        <v>2906.07</v>
      </c>
      <c r="E64">
        <v>1482.86</v>
      </c>
      <c r="F64">
        <v>1703.63</v>
      </c>
      <c r="G64">
        <v>3169.8</v>
      </c>
      <c r="H64">
        <v>1972.87</v>
      </c>
      <c r="I64">
        <v>5950.23</v>
      </c>
      <c r="J64">
        <v>8920.6</v>
      </c>
      <c r="K64">
        <v>7139.41</v>
      </c>
    </row>
    <row r="65" spans="1:11">
      <c r="A65" s="9" t="s">
        <v>73</v>
      </c>
      <c r="B65">
        <v>82063.34</v>
      </c>
      <c r="C65">
        <v>87178.84</v>
      </c>
      <c r="D65">
        <v>84018.48</v>
      </c>
      <c r="E65">
        <v>84707.54</v>
      </c>
      <c r="F65">
        <v>85920.25</v>
      </c>
      <c r="G65">
        <v>87575.65</v>
      </c>
      <c r="H65">
        <v>102935.71</v>
      </c>
      <c r="I65">
        <v>102205.56</v>
      </c>
      <c r="J65">
        <v>110941.63</v>
      </c>
      <c r="K65">
        <v>133153.66</v>
      </c>
    </row>
    <row r="66" spans="1:11" s="1" customFormat="1">
      <c r="A66" s="1" t="s">
        <v>26</v>
      </c>
      <c r="B66">
        <v>104938.44</v>
      </c>
      <c r="C66">
        <v>111266.69</v>
      </c>
      <c r="D66">
        <v>113560.26</v>
      </c>
      <c r="E66">
        <v>118586.99</v>
      </c>
      <c r="F66">
        <v>125470.67</v>
      </c>
      <c r="G66">
        <v>133021.45000000001</v>
      </c>
      <c r="H66">
        <v>150020.44</v>
      </c>
      <c r="I66">
        <v>161050.84</v>
      </c>
      <c r="J66">
        <v>179436.33</v>
      </c>
      <c r="K66">
        <v>209875.97</v>
      </c>
    </row>
    <row r="67" spans="1:11" s="9" customFormat="1">
      <c r="A67" s="9" t="s">
        <v>78</v>
      </c>
      <c r="B67">
        <v>8241.0300000000007</v>
      </c>
      <c r="C67">
        <v>8521.8799999999992</v>
      </c>
      <c r="D67">
        <v>11447.61</v>
      </c>
      <c r="E67">
        <v>12476.27</v>
      </c>
      <c r="F67">
        <v>6257.8</v>
      </c>
      <c r="G67">
        <v>5498.55</v>
      </c>
      <c r="H67">
        <v>14408.22</v>
      </c>
      <c r="I67">
        <v>19623.12</v>
      </c>
      <c r="J67">
        <v>11367.68</v>
      </c>
      <c r="K67">
        <v>13060.48</v>
      </c>
    </row>
    <row r="68" spans="1:11">
      <c r="A68" s="9" t="s">
        <v>45</v>
      </c>
      <c r="B68">
        <v>6264.16</v>
      </c>
      <c r="C68">
        <v>6909.05</v>
      </c>
      <c r="D68">
        <v>8301.23</v>
      </c>
      <c r="E68">
        <v>9717.0400000000009</v>
      </c>
      <c r="F68">
        <v>6443.85</v>
      </c>
      <c r="G68">
        <v>5583.93</v>
      </c>
      <c r="H68">
        <v>6617.98</v>
      </c>
      <c r="I68">
        <v>8947.4699999999993</v>
      </c>
      <c r="J68">
        <v>7075.68</v>
      </c>
      <c r="K68">
        <v>8154.68</v>
      </c>
    </row>
    <row r="69" spans="1:11">
      <c r="A69" s="5" t="s">
        <v>87</v>
      </c>
      <c r="B69">
        <v>52389.53</v>
      </c>
      <c r="C69">
        <v>47268.89</v>
      </c>
      <c r="D69">
        <v>38014.910000000003</v>
      </c>
      <c r="E69">
        <v>31149.19</v>
      </c>
      <c r="F69">
        <v>31279.98</v>
      </c>
      <c r="G69">
        <v>31124.23</v>
      </c>
      <c r="H69">
        <v>28448.959999999999</v>
      </c>
      <c r="I69">
        <v>17310.3</v>
      </c>
      <c r="J69">
        <v>29965.23</v>
      </c>
      <c r="K69">
        <v>39921.85</v>
      </c>
    </row>
    <row r="70" spans="1:11">
      <c r="A70" s="5" t="s">
        <v>74</v>
      </c>
      <c r="B70">
        <v>6316364400</v>
      </c>
      <c r="C70">
        <v>6316364400</v>
      </c>
      <c r="D70">
        <v>6316364400</v>
      </c>
      <c r="E70">
        <v>6207409177</v>
      </c>
      <c r="F70">
        <v>6207409177</v>
      </c>
      <c r="G70">
        <v>6162728327</v>
      </c>
      <c r="H70">
        <v>6162728327</v>
      </c>
      <c r="I70">
        <v>6162728327</v>
      </c>
      <c r="J70">
        <v>6162728327</v>
      </c>
      <c r="K70">
        <v>6162728327</v>
      </c>
    </row>
    <row r="71" spans="1:11">
      <c r="A71" s="5" t="s">
        <v>75</v>
      </c>
    </row>
    <row r="72" spans="1:11">
      <c r="A72" s="5" t="s">
        <v>88</v>
      </c>
      <c r="B72">
        <v>10</v>
      </c>
      <c r="C72">
        <v>10</v>
      </c>
      <c r="D72">
        <v>10</v>
      </c>
      <c r="E72">
        <v>10</v>
      </c>
      <c r="F72">
        <v>10</v>
      </c>
      <c r="G72">
        <v>10</v>
      </c>
      <c r="H72">
        <v>10</v>
      </c>
      <c r="I72">
        <v>10</v>
      </c>
      <c r="J72">
        <v>10</v>
      </c>
      <c r="K72">
        <v>10</v>
      </c>
    </row>
    <row r="74" spans="1:11">
      <c r="A74" s="9"/>
    </row>
    <row r="75" spans="1:11">
      <c r="A75" s="9"/>
    </row>
    <row r="76" spans="1:11">
      <c r="A76" s="9"/>
    </row>
    <row r="77" spans="1:11">
      <c r="A77" s="9"/>
    </row>
    <row r="78" spans="1:11">
      <c r="A78" s="9"/>
    </row>
    <row r="79" spans="1:11">
      <c r="A79" s="9"/>
    </row>
    <row r="80" spans="1:11">
      <c r="A80" s="1" t="s">
        <v>41</v>
      </c>
    </row>
    <row r="81" spans="1:11" s="24" customFormat="1">
      <c r="A81" s="23" t="s">
        <v>38</v>
      </c>
      <c r="B81" s="16">
        <v>41729</v>
      </c>
      <c r="C81" s="16">
        <v>42094</v>
      </c>
      <c r="D81" s="16">
        <v>42460</v>
      </c>
      <c r="E81" s="16">
        <v>42825</v>
      </c>
      <c r="F81" s="16">
        <v>43190</v>
      </c>
      <c r="G81" s="16">
        <v>43555</v>
      </c>
      <c r="H81" s="16">
        <v>43921</v>
      </c>
      <c r="I81" s="16">
        <v>44286</v>
      </c>
      <c r="J81" s="16">
        <v>44651</v>
      </c>
      <c r="K81" s="16">
        <v>45016</v>
      </c>
    </row>
    <row r="82" spans="1:11" s="1" customFormat="1">
      <c r="A82" s="9" t="s">
        <v>32</v>
      </c>
      <c r="B82">
        <v>14524.69</v>
      </c>
      <c r="C82">
        <v>14381.53</v>
      </c>
      <c r="D82">
        <v>13153.77</v>
      </c>
      <c r="E82">
        <v>16460.84</v>
      </c>
      <c r="F82">
        <v>21114.92</v>
      </c>
      <c r="G82">
        <v>16355.52</v>
      </c>
      <c r="H82">
        <v>4977.24</v>
      </c>
      <c r="I82">
        <v>10592.42</v>
      </c>
      <c r="J82">
        <v>41106.769999999997</v>
      </c>
      <c r="K82">
        <v>35686.21</v>
      </c>
    </row>
    <row r="83" spans="1:11" s="9" customFormat="1">
      <c r="A83" s="9" t="s">
        <v>33</v>
      </c>
      <c r="B83">
        <v>8579.76</v>
      </c>
      <c r="C83">
        <v>894.3</v>
      </c>
      <c r="D83">
        <v>8154.09</v>
      </c>
      <c r="E83">
        <v>454.64</v>
      </c>
      <c r="F83">
        <v>-7746.94</v>
      </c>
      <c r="G83">
        <v>-7896.46</v>
      </c>
      <c r="H83">
        <v>1032.8399999999999</v>
      </c>
      <c r="I83">
        <v>181.9</v>
      </c>
      <c r="J83">
        <v>-25714.51</v>
      </c>
      <c r="K83">
        <v>-23422.99</v>
      </c>
    </row>
    <row r="84" spans="1:11" s="9" customFormat="1">
      <c r="A84" s="9" t="s">
        <v>34</v>
      </c>
      <c r="B84">
        <v>-25350.25</v>
      </c>
      <c r="C84">
        <v>-15025.71</v>
      </c>
      <c r="D84">
        <v>-19587.349999999999</v>
      </c>
      <c r="E84">
        <v>-17597.97</v>
      </c>
      <c r="F84">
        <v>-13564.22</v>
      </c>
      <c r="G84">
        <v>-10884.84</v>
      </c>
      <c r="H84">
        <v>-4790.87</v>
      </c>
      <c r="I84">
        <v>-8453.14</v>
      </c>
      <c r="J84">
        <v>-13441.24</v>
      </c>
      <c r="K84">
        <v>-13661.14</v>
      </c>
    </row>
    <row r="85" spans="1:11" s="1" customFormat="1">
      <c r="A85" s="9" t="s">
        <v>35</v>
      </c>
      <c r="B85">
        <v>-2245.8000000000002</v>
      </c>
      <c r="C85">
        <v>250.12</v>
      </c>
      <c r="D85">
        <v>1720.51</v>
      </c>
      <c r="E85">
        <v>-682.49</v>
      </c>
      <c r="F85">
        <v>-196.24</v>
      </c>
      <c r="G85">
        <v>-2425.7800000000002</v>
      </c>
      <c r="H85">
        <v>1219.21</v>
      </c>
      <c r="I85">
        <v>2321.1799999999998</v>
      </c>
      <c r="J85">
        <v>1951.02</v>
      </c>
      <c r="K85">
        <v>-1397.92</v>
      </c>
    </row>
    <row r="86" spans="1:11">
      <c r="A86" s="9"/>
    </row>
    <row r="87" spans="1:11">
      <c r="A87" s="9"/>
    </row>
    <row r="88" spans="1:11">
      <c r="A88" s="9"/>
    </row>
    <row r="89" spans="1:11">
      <c r="A89" s="9"/>
    </row>
    <row r="90" spans="1:11" s="1" customFormat="1">
      <c r="A90" s="1" t="s">
        <v>77</v>
      </c>
      <c r="B90">
        <v>288.75</v>
      </c>
      <c r="C90">
        <v>362.9</v>
      </c>
      <c r="D90">
        <v>291.95</v>
      </c>
      <c r="E90">
        <v>292.64999999999998</v>
      </c>
      <c r="F90">
        <v>283.3</v>
      </c>
      <c r="G90">
        <v>237.2</v>
      </c>
      <c r="H90">
        <v>140.05000000000001</v>
      </c>
      <c r="I90">
        <v>130.35</v>
      </c>
      <c r="J90">
        <v>183.05</v>
      </c>
      <c r="K90">
        <v>213.65</v>
      </c>
    </row>
    <row r="92" spans="1:11" s="1" customFormat="1">
      <c r="A92" s="1" t="s">
        <v>76</v>
      </c>
    </row>
    <row r="93" spans="1:11">
      <c r="A93" s="5" t="s">
        <v>89</v>
      </c>
      <c r="B93" s="31">
        <v>631.64</v>
      </c>
      <c r="C93" s="31">
        <v>631.64</v>
      </c>
      <c r="D93" s="31">
        <v>631.64</v>
      </c>
      <c r="E93" s="31">
        <v>620.74</v>
      </c>
      <c r="F93" s="31">
        <v>620.74</v>
      </c>
      <c r="G93" s="31">
        <v>616.27</v>
      </c>
      <c r="H93" s="31">
        <v>616.27</v>
      </c>
      <c r="I93" s="31">
        <v>616.27</v>
      </c>
      <c r="J93" s="31">
        <v>616.27</v>
      </c>
      <c r="K93" s="31">
        <v>616.27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Lenovo</cp:lastModifiedBy>
  <cp:lastPrinted>2012-12-06T18:14:13Z</cp:lastPrinted>
  <dcterms:created xsi:type="dcterms:W3CDTF">2012-08-17T09:55:37Z</dcterms:created>
  <dcterms:modified xsi:type="dcterms:W3CDTF">2023-10-31T18:16:34Z</dcterms:modified>
</cp:coreProperties>
</file>