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externalLinks/externalLink87.xml" ContentType="application/vnd.openxmlformats-officedocument.spreadsheetml.externalLink+xml"/>
  <Override PartName="/xl/externalLinks/externalLink88.xml" ContentType="application/vnd.openxmlformats-officedocument.spreadsheetml.externalLink+xml"/>
  <Override PartName="/xl/externalLinks/externalLink89.xml" ContentType="application/vnd.openxmlformats-officedocument.spreadsheetml.externalLink+xml"/>
  <Override PartName="/xl/externalLinks/externalLink90.xml" ContentType="application/vnd.openxmlformats-officedocument.spreadsheetml.externalLink+xml"/>
  <Override PartName="/xl/externalLinks/externalLink91.xml" ContentType="application/vnd.openxmlformats-officedocument.spreadsheetml.externalLink+xml"/>
  <Override PartName="/xl/externalLinks/externalLink92.xml" ContentType="application/vnd.openxmlformats-officedocument.spreadsheetml.externalLink+xml"/>
  <Override PartName="/xl/externalLinks/externalLink93.xml" ContentType="application/vnd.openxmlformats-officedocument.spreadsheetml.externalLink+xml"/>
  <Override PartName="/xl/externalLinks/externalLink94.xml" ContentType="application/vnd.openxmlformats-officedocument.spreadsheetml.externalLink+xml"/>
  <Override PartName="/xl/externalLinks/externalLink95.xml" ContentType="application/vnd.openxmlformats-officedocument.spreadsheetml.externalLink+xml"/>
  <Override PartName="/xl/externalLinks/externalLink96.xml" ContentType="application/vnd.openxmlformats-officedocument.spreadsheetml.externalLink+xml"/>
  <Override PartName="/xl/externalLinks/externalLink97.xml" ContentType="application/vnd.openxmlformats-officedocument.spreadsheetml.externalLink+xml"/>
  <Override PartName="/xl/externalLinks/externalLink98.xml" ContentType="application/vnd.openxmlformats-officedocument.spreadsheetml.externalLink+xml"/>
  <Override PartName="/xl/externalLinks/externalLink99.xml" ContentType="application/vnd.openxmlformats-officedocument.spreadsheetml.externalLink+xml"/>
  <Override PartName="/xl/externalLinks/externalLink100.xml" ContentType="application/vnd.openxmlformats-officedocument.spreadsheetml.externalLink+xml"/>
  <Override PartName="/xl/externalLinks/externalLink101.xml" ContentType="application/vnd.openxmlformats-officedocument.spreadsheetml.externalLink+xml"/>
  <Override PartName="/xl/externalLinks/externalLink102.xml" ContentType="application/vnd.openxmlformats-officedocument.spreadsheetml.externalLink+xml"/>
  <Override PartName="/xl/externalLinks/externalLink103.xml" ContentType="application/vnd.openxmlformats-officedocument.spreadsheetml.externalLink+xml"/>
  <Override PartName="/xl/externalLinks/externalLink104.xml" ContentType="application/vnd.openxmlformats-officedocument.spreadsheetml.externalLink+xml"/>
  <Override PartName="/xl/externalLinks/externalLink105.xml" ContentType="application/vnd.openxmlformats-officedocument.spreadsheetml.externalLink+xml"/>
  <Override PartName="/xl/externalLinks/externalLink106.xml" ContentType="application/vnd.openxmlformats-officedocument.spreadsheetml.externalLink+xml"/>
  <Override PartName="/xl/externalLinks/externalLink107.xml" ContentType="application/vnd.openxmlformats-officedocument.spreadsheetml.externalLink+xml"/>
  <Override PartName="/xl/externalLinks/externalLink108.xml" ContentType="application/vnd.openxmlformats-officedocument.spreadsheetml.externalLink+xml"/>
  <Override PartName="/xl/externalLinks/externalLink109.xml" ContentType="application/vnd.openxmlformats-officedocument.spreadsheetml.externalLink+xml"/>
  <Override PartName="/xl/externalLinks/externalLink110.xml" ContentType="application/vnd.openxmlformats-officedocument.spreadsheetml.externalLink+xml"/>
  <Override PartName="/xl/externalLinks/externalLink111.xml" ContentType="application/vnd.openxmlformats-officedocument.spreadsheetml.externalLink+xml"/>
  <Override PartName="/xl/externalLinks/externalLink11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aouad.boumtira.ext\Desktop\2 - BILAN\secretariat technique\Exercice-2023\Cumul Annuel\"/>
    </mc:Choice>
  </mc:AlternateContent>
  <bookViews>
    <workbookView xWindow="0" yWindow="0" windowWidth="21570" windowHeight="9570" tabRatio="599"/>
  </bookViews>
  <sheets>
    <sheet name="BA-2023" sheetId="7" r:id="rId1"/>
    <sheet name="BA-2022" sheetId="1" r:id="rId2"/>
    <sheet name="BA-2021" sheetId="2" r:id="rId3"/>
    <sheet name="BA-2020" sheetId="3" r:id="rId4"/>
    <sheet name="BA-2019" sheetId="4" r:id="rId5"/>
    <sheet name="BA-2018" sheetId="5" r:id="rId6"/>
    <sheet name="H,MARCH-GTA" sheetId="6" r:id="rId7"/>
  </sheets>
  <externalReferences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  <externalReference r:id="rId89"/>
    <externalReference r:id="rId90"/>
    <externalReference r:id="rId91"/>
    <externalReference r:id="rId92"/>
    <externalReference r:id="rId93"/>
    <externalReference r:id="rId94"/>
    <externalReference r:id="rId95"/>
    <externalReference r:id="rId96"/>
    <externalReference r:id="rId97"/>
    <externalReference r:id="rId98"/>
    <externalReference r:id="rId99"/>
    <externalReference r:id="rId100"/>
    <externalReference r:id="rId101"/>
    <externalReference r:id="rId102"/>
    <externalReference r:id="rId103"/>
    <externalReference r:id="rId104"/>
    <externalReference r:id="rId105"/>
    <externalReference r:id="rId106"/>
    <externalReference r:id="rId107"/>
    <externalReference r:id="rId108"/>
    <externalReference r:id="rId109"/>
    <externalReference r:id="rId110"/>
    <externalReference r:id="rId111"/>
    <externalReference r:id="rId112"/>
    <externalReference r:id="rId113"/>
    <externalReference r:id="rId114"/>
    <externalReference r:id="rId115"/>
    <externalReference r:id="rId116"/>
    <externalReference r:id="rId117"/>
    <externalReference r:id="rId118"/>
    <externalReference r:id="rId119"/>
  </externalReferences>
  <definedNames>
    <definedName name="_xlnm.Print_Area" localSheetId="5">'BA-2018'!#REF!</definedName>
    <definedName name="_xlnm.Print_Area" localSheetId="4">'BA-2019'!#REF!</definedName>
    <definedName name="_xlnm.Print_Area" localSheetId="3">'BA-2020'!#REF!</definedName>
    <definedName name="_xlnm.Print_Area" localSheetId="2">'BA-2021'!#REF!</definedName>
    <definedName name="_xlnm.Print_Area" localSheetId="1">'BA-2022'!$B$2:$V$104</definedName>
    <definedName name="_xlnm.Print_Area" localSheetId="0">'BA-2023'!$B$2:$V$104</definedName>
    <definedName name="_xlnm.Print_Area" localSheetId="6">'H,MARCH-GTA'!$D$13:$N$55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Q7" i="7" l="1"/>
  <c r="AO7" i="7"/>
  <c r="AR6" i="7" l="1"/>
  <c r="E110" i="7"/>
  <c r="AO76" i="7" l="1"/>
  <c r="Z75" i="7"/>
  <c r="Y75" i="7"/>
  <c r="X75" i="7"/>
  <c r="AF75" i="7"/>
  <c r="AI75" i="7"/>
  <c r="AL75" i="7"/>
  <c r="AL76" i="7"/>
  <c r="AD76" i="7"/>
  <c r="AG76" i="7"/>
  <c r="AJ77" i="7"/>
  <c r="AJ76" i="7"/>
  <c r="AD77" i="7"/>
  <c r="AC76" i="7"/>
  <c r="X60" i="7" l="1"/>
  <c r="Z6" i="1" l="1"/>
  <c r="S58" i="7" l="1"/>
  <c r="L75" i="7"/>
  <c r="K41" i="7"/>
  <c r="L41" i="7"/>
  <c r="Q58" i="7"/>
  <c r="E41" i="7"/>
  <c r="D41" i="7"/>
  <c r="C41" i="7"/>
  <c r="J41" i="7"/>
  <c r="F158" i="7"/>
  <c r="E158" i="7"/>
  <c r="D158" i="7"/>
  <c r="C158" i="7"/>
  <c r="K142" i="7"/>
  <c r="C142" i="7"/>
  <c r="I126" i="7"/>
  <c r="H126" i="7"/>
  <c r="G126" i="7"/>
  <c r="E126" i="7"/>
  <c r="D126" i="7"/>
  <c r="C126" i="7"/>
  <c r="D110" i="7"/>
  <c r="C110" i="7"/>
  <c r="G92" i="7"/>
  <c r="F92" i="7"/>
  <c r="E92" i="7"/>
  <c r="D92" i="7"/>
  <c r="C92" i="7"/>
  <c r="Q76" i="7"/>
  <c r="U76" i="7" s="1"/>
  <c r="Q75" i="7"/>
  <c r="P75" i="7"/>
  <c r="N75" i="7"/>
  <c r="J75" i="7"/>
  <c r="I75" i="7"/>
  <c r="H75" i="7"/>
  <c r="F75" i="7"/>
  <c r="D75" i="7"/>
  <c r="E75" i="7" s="1"/>
  <c r="C75" i="7"/>
  <c r="N58" i="7"/>
  <c r="M58" i="7"/>
  <c r="E58" i="7"/>
  <c r="D58" i="7"/>
  <c r="K24" i="7"/>
  <c r="J24" i="7"/>
  <c r="H24" i="7"/>
  <c r="G24" i="7"/>
  <c r="E24" i="7"/>
  <c r="D24" i="7"/>
  <c r="C24" i="7"/>
  <c r="S7" i="7"/>
  <c r="R7" i="7"/>
  <c r="Q7" i="7"/>
  <c r="K7" i="7"/>
  <c r="J7" i="7"/>
  <c r="I7" i="7"/>
  <c r="G7" i="7"/>
  <c r="F7" i="7"/>
  <c r="E7" i="7"/>
  <c r="S6" i="7"/>
  <c r="R6" i="7"/>
  <c r="Q6" i="7"/>
  <c r="K6" i="7"/>
  <c r="J6" i="7"/>
  <c r="I6" i="7"/>
  <c r="G6" i="7"/>
  <c r="F6" i="7"/>
  <c r="E6" i="7"/>
  <c r="D6" i="7"/>
  <c r="C6" i="7"/>
  <c r="G75" i="7" l="1"/>
  <c r="R58" i="7"/>
  <c r="C58" i="7"/>
  <c r="I41" i="7"/>
  <c r="F41" i="7"/>
  <c r="K75" i="7"/>
  <c r="F24" i="7"/>
  <c r="T6" i="7"/>
  <c r="L6" i="7"/>
  <c r="H7" i="7"/>
  <c r="H6" i="7"/>
  <c r="G41" i="7" l="1"/>
  <c r="H58" i="7" s="1"/>
  <c r="O75" i="7"/>
  <c r="S75" i="7" s="1"/>
  <c r="G58" i="7"/>
  <c r="T7" i="7"/>
  <c r="L7" i="7"/>
  <c r="K170" i="7"/>
  <c r="J170" i="7"/>
  <c r="I170" i="7"/>
  <c r="H170" i="7"/>
  <c r="G170" i="7"/>
  <c r="F170" i="7"/>
  <c r="E170" i="7"/>
  <c r="D170" i="7"/>
  <c r="B169" i="7"/>
  <c r="B168" i="7"/>
  <c r="B167" i="7"/>
  <c r="B166" i="7"/>
  <c r="B165" i="7"/>
  <c r="B164" i="7"/>
  <c r="B163" i="7"/>
  <c r="B162" i="7"/>
  <c r="B161" i="7"/>
  <c r="B160" i="7"/>
  <c r="B159" i="7"/>
  <c r="T158" i="7"/>
  <c r="B158" i="7"/>
  <c r="T157" i="7"/>
  <c r="L154" i="7"/>
  <c r="H154" i="7"/>
  <c r="E154" i="7"/>
  <c r="AC154" i="7" s="1"/>
  <c r="AE154" i="7" s="1"/>
  <c r="D154" i="7"/>
  <c r="C154" i="7"/>
  <c r="AL153" i="7"/>
  <c r="AM153" i="7" s="1"/>
  <c r="AH153" i="7"/>
  <c r="AI153" i="7" s="1"/>
  <c r="AC153" i="7"/>
  <c r="AE153" i="7" s="1"/>
  <c r="B153" i="7"/>
  <c r="AM152" i="7"/>
  <c r="AL152" i="7"/>
  <c r="AI152" i="7"/>
  <c r="AH152" i="7"/>
  <c r="AC152" i="7"/>
  <c r="AE152" i="7" s="1"/>
  <c r="B152" i="7"/>
  <c r="AM151" i="7"/>
  <c r="AL151" i="7"/>
  <c r="AI151" i="7"/>
  <c r="AH151" i="7"/>
  <c r="AE151" i="7"/>
  <c r="AC151" i="7"/>
  <c r="W151" i="7"/>
  <c r="B151" i="7"/>
  <c r="AL150" i="7"/>
  <c r="AM150" i="7" s="1"/>
  <c r="AH150" i="7"/>
  <c r="AI150" i="7" s="1"/>
  <c r="AC150" i="7"/>
  <c r="AE150" i="7" s="1"/>
  <c r="W150" i="7"/>
  <c r="B150" i="7"/>
  <c r="AL149" i="7"/>
  <c r="AM149" i="7" s="1"/>
  <c r="AH149" i="7"/>
  <c r="AI149" i="7" s="1"/>
  <c r="AE149" i="7"/>
  <c r="AC149" i="7"/>
  <c r="W149" i="7"/>
  <c r="W148" i="7" s="1"/>
  <c r="W147" i="7" s="1"/>
  <c r="W146" i="7" s="1"/>
  <c r="W145" i="7" s="1"/>
  <c r="W144" i="7" s="1"/>
  <c r="S149" i="7"/>
  <c r="B149" i="7"/>
  <c r="AL148" i="7"/>
  <c r="AM148" i="7" s="1"/>
  <c r="AH148" i="7"/>
  <c r="AI148" i="7" s="1"/>
  <c r="AE148" i="7"/>
  <c r="AC148" i="7"/>
  <c r="S148" i="7"/>
  <c r="P148" i="7"/>
  <c r="P147" i="7" s="1"/>
  <c r="P146" i="7" s="1"/>
  <c r="P145" i="7" s="1"/>
  <c r="P144" i="7" s="1"/>
  <c r="P143" i="7" s="1"/>
  <c r="P142" i="7" s="1"/>
  <c r="B148" i="7"/>
  <c r="AM147" i="7"/>
  <c r="AL147" i="7"/>
  <c r="AH147" i="7"/>
  <c r="AI147" i="7" s="1"/>
  <c r="AC147" i="7"/>
  <c r="AE147" i="7" s="1"/>
  <c r="S147" i="7"/>
  <c r="S146" i="7" s="1"/>
  <c r="B147" i="7"/>
  <c r="AL146" i="7"/>
  <c r="AM146" i="7" s="1"/>
  <c r="AC146" i="7"/>
  <c r="AE146" i="7" s="1"/>
  <c r="B146" i="7"/>
  <c r="AM145" i="7"/>
  <c r="AL145" i="7"/>
  <c r="AE145" i="7"/>
  <c r="AC145" i="7"/>
  <c r="B145" i="7"/>
  <c r="AL144" i="7"/>
  <c r="AM144" i="7" s="1"/>
  <c r="AE144" i="7"/>
  <c r="AC144" i="7"/>
  <c r="B144" i="7"/>
  <c r="AC143" i="7"/>
  <c r="AE143" i="7" s="1"/>
  <c r="M154" i="7"/>
  <c r="AL154" i="7" s="1"/>
  <c r="AM154" i="7" s="1"/>
  <c r="B143" i="7"/>
  <c r="AL142" i="7"/>
  <c r="AM142" i="7" s="1"/>
  <c r="AC142" i="7"/>
  <c r="AE142" i="7" s="1"/>
  <c r="F142" i="7"/>
  <c r="C143" i="7" s="1"/>
  <c r="F143" i="7" s="1"/>
  <c r="B142" i="7"/>
  <c r="B137" i="7"/>
  <c r="B136" i="7"/>
  <c r="P135" i="7"/>
  <c r="B135" i="7"/>
  <c r="B134" i="7"/>
  <c r="B133" i="7"/>
  <c r="B132" i="7"/>
  <c r="B131" i="7"/>
  <c r="B130" i="7"/>
  <c r="B129" i="7"/>
  <c r="B128" i="7"/>
  <c r="B127" i="7"/>
  <c r="C138" i="7"/>
  <c r="B126" i="7"/>
  <c r="E122" i="7"/>
  <c r="B121" i="7"/>
  <c r="B120" i="7"/>
  <c r="B119" i="7"/>
  <c r="B118" i="7"/>
  <c r="B117" i="7"/>
  <c r="B116" i="7"/>
  <c r="B115" i="7"/>
  <c r="B114" i="7"/>
  <c r="B113" i="7"/>
  <c r="B112" i="7"/>
  <c r="B111" i="7"/>
  <c r="G110" i="7"/>
  <c r="B110" i="7"/>
  <c r="M103" i="7"/>
  <c r="I103" i="7"/>
  <c r="B103" i="7"/>
  <c r="B102" i="7"/>
  <c r="B101" i="7"/>
  <c r="B100" i="7"/>
  <c r="B99" i="7"/>
  <c r="K98" i="7"/>
  <c r="N98" i="7"/>
  <c r="B98" i="7"/>
  <c r="N97" i="7"/>
  <c r="B97" i="7"/>
  <c r="O96" i="7"/>
  <c r="N96" i="7"/>
  <c r="L96" i="7"/>
  <c r="B96" i="7"/>
  <c r="L95" i="7"/>
  <c r="N95" i="7" s="1"/>
  <c r="O95" i="7" s="1"/>
  <c r="B95" i="7"/>
  <c r="B94" i="7"/>
  <c r="B93" i="7"/>
  <c r="M92" i="7"/>
  <c r="B92" i="7"/>
  <c r="R91" i="7"/>
  <c r="AJ87" i="7"/>
  <c r="AL87" i="7" s="1"/>
  <c r="AI87" i="7"/>
  <c r="AG87" i="7"/>
  <c r="AD87" i="7"/>
  <c r="AF87" i="7" s="1"/>
  <c r="R87" i="7"/>
  <c r="AJ86" i="7"/>
  <c r="AL86" i="7" s="1"/>
  <c r="AG86" i="7"/>
  <c r="AI86" i="7" s="1"/>
  <c r="AD86" i="7"/>
  <c r="AF86" i="7" s="1"/>
  <c r="U86" i="7"/>
  <c r="AC87" i="7"/>
  <c r="Z87" i="7" s="1"/>
  <c r="B86" i="7"/>
  <c r="AJ85" i="7"/>
  <c r="AL85" i="7" s="1"/>
  <c r="AI85" i="7"/>
  <c r="AG85" i="7"/>
  <c r="AD85" i="7"/>
  <c r="AF85" i="7" s="1"/>
  <c r="B85" i="7"/>
  <c r="AJ84" i="7"/>
  <c r="AL84" i="7" s="1"/>
  <c r="AG84" i="7"/>
  <c r="AI84" i="7" s="1"/>
  <c r="AD84" i="7"/>
  <c r="AF84" i="7" s="1"/>
  <c r="AA85" i="7"/>
  <c r="B84" i="7"/>
  <c r="AL83" i="7"/>
  <c r="AJ83" i="7"/>
  <c r="AG83" i="7"/>
  <c r="AI83" i="7" s="1"/>
  <c r="AD83" i="7"/>
  <c r="AF83" i="7" s="1"/>
  <c r="V83" i="7"/>
  <c r="B83" i="7"/>
  <c r="AJ82" i="7"/>
  <c r="AL82" i="7" s="1"/>
  <c r="AG82" i="7"/>
  <c r="AI82" i="7" s="1"/>
  <c r="AD82" i="7"/>
  <c r="AF82" i="7" s="1"/>
  <c r="B82" i="7"/>
  <c r="AJ81" i="7"/>
  <c r="AL81" i="7" s="1"/>
  <c r="AG81" i="7"/>
  <c r="AI81" i="7" s="1"/>
  <c r="AD81" i="7"/>
  <c r="AF81" i="7" s="1"/>
  <c r="U81" i="7"/>
  <c r="B81" i="7"/>
  <c r="AJ80" i="7"/>
  <c r="AL80" i="7" s="1"/>
  <c r="AG80" i="7"/>
  <c r="AI80" i="7" s="1"/>
  <c r="AD80" i="7"/>
  <c r="AF80" i="7" s="1"/>
  <c r="U80" i="7"/>
  <c r="B80" i="7"/>
  <c r="AJ79" i="7"/>
  <c r="AL79" i="7" s="1"/>
  <c r="AG79" i="7"/>
  <c r="AI79" i="7" s="1"/>
  <c r="Y79" i="7" s="1"/>
  <c r="AD79" i="7"/>
  <c r="AF79" i="7" s="1"/>
  <c r="AH146" i="7"/>
  <c r="AI146" i="7" s="1"/>
  <c r="B79" i="7"/>
  <c r="AJ78" i="7"/>
  <c r="AL78" i="7" s="1"/>
  <c r="AG78" i="7"/>
  <c r="AI78" i="7" s="1"/>
  <c r="AD78" i="7"/>
  <c r="AF78" i="7" s="1"/>
  <c r="AH145" i="7"/>
  <c r="AI145" i="7" s="1"/>
  <c r="B78" i="7"/>
  <c r="AL77" i="7"/>
  <c r="AG77" i="7"/>
  <c r="AI77" i="7" s="1"/>
  <c r="AF77" i="7"/>
  <c r="B77" i="7"/>
  <c r="Z76" i="7"/>
  <c r="AI76" i="7"/>
  <c r="AF76" i="7"/>
  <c r="B76" i="7"/>
  <c r="B75" i="7"/>
  <c r="B69" i="7"/>
  <c r="L69" i="7" s="1"/>
  <c r="B68" i="7"/>
  <c r="L68" i="7" s="1"/>
  <c r="L67" i="7"/>
  <c r="B67" i="7"/>
  <c r="B66" i="7"/>
  <c r="L66" i="7" s="1"/>
  <c r="B65" i="7"/>
  <c r="L65" i="7" s="1"/>
  <c r="B64" i="7"/>
  <c r="L64" i="7" s="1"/>
  <c r="B63" i="7"/>
  <c r="L63" i="7" s="1"/>
  <c r="B62" i="7"/>
  <c r="L62" i="7" s="1"/>
  <c r="B61" i="7"/>
  <c r="L61" i="7" s="1"/>
  <c r="B60" i="7"/>
  <c r="L60" i="7" s="1"/>
  <c r="B59" i="7"/>
  <c r="L59" i="7" s="1"/>
  <c r="B58" i="7"/>
  <c r="L58" i="7" s="1"/>
  <c r="B52" i="7"/>
  <c r="X68" i="7"/>
  <c r="B51" i="7"/>
  <c r="X67" i="7"/>
  <c r="B50" i="7"/>
  <c r="B49" i="7"/>
  <c r="B48" i="7"/>
  <c r="B47" i="7"/>
  <c r="B46" i="7"/>
  <c r="B45" i="7"/>
  <c r="B44" i="7"/>
  <c r="B43" i="7"/>
  <c r="B42" i="7"/>
  <c r="B41" i="7"/>
  <c r="B35" i="7"/>
  <c r="B34" i="7"/>
  <c r="B33" i="7"/>
  <c r="B32" i="7"/>
  <c r="B31" i="7"/>
  <c r="B30" i="7"/>
  <c r="B29" i="7"/>
  <c r="B28" i="7"/>
  <c r="B27" i="7"/>
  <c r="B26" i="7"/>
  <c r="B25" i="7"/>
  <c r="L24" i="7"/>
  <c r="B24" i="7"/>
  <c r="AK18" i="7"/>
  <c r="AJ18" i="7"/>
  <c r="AI18" i="7"/>
  <c r="AH18" i="7"/>
  <c r="AF18" i="7"/>
  <c r="AR17" i="7"/>
  <c r="AP17" i="7"/>
  <c r="AO16" i="7"/>
  <c r="AR16" i="7"/>
  <c r="AQ16" i="7"/>
  <c r="AP16" i="7"/>
  <c r="AR15" i="7"/>
  <c r="AP15" i="7"/>
  <c r="AO15" i="7"/>
  <c r="AR14" i="7"/>
  <c r="AP14" i="7"/>
  <c r="AO14" i="7"/>
  <c r="AR13" i="7"/>
  <c r="AP13" i="7"/>
  <c r="AR12" i="7"/>
  <c r="AP12" i="7"/>
  <c r="AO12" i="7"/>
  <c r="AR11" i="7"/>
  <c r="AP11" i="7"/>
  <c r="AO11" i="7"/>
  <c r="AR10" i="7"/>
  <c r="AP10" i="7"/>
  <c r="AO10" i="7"/>
  <c r="AR9" i="7"/>
  <c r="AP9" i="7"/>
  <c r="AO9" i="7"/>
  <c r="AR8" i="7"/>
  <c r="AP8" i="7"/>
  <c r="AO8" i="7"/>
  <c r="N7" i="7"/>
  <c r="AP6" i="7"/>
  <c r="DP22" i="5"/>
  <c r="DO22" i="5"/>
  <c r="DN22" i="5"/>
  <c r="DM22" i="5"/>
  <c r="DP21" i="5"/>
  <c r="DO21" i="5"/>
  <c r="DN21" i="5"/>
  <c r="DM21" i="5"/>
  <c r="DP20" i="5"/>
  <c r="DO20" i="5"/>
  <c r="DN20" i="5"/>
  <c r="DM20" i="5"/>
  <c r="DP19" i="5"/>
  <c r="DO19" i="5"/>
  <c r="DN19" i="5"/>
  <c r="DM19" i="5"/>
  <c r="DP18" i="5"/>
  <c r="DO18" i="5"/>
  <c r="DN18" i="5"/>
  <c r="DM18" i="5"/>
  <c r="DP17" i="5"/>
  <c r="DO17" i="5"/>
  <c r="DN17" i="5"/>
  <c r="DM17" i="5"/>
  <c r="DP16" i="5"/>
  <c r="DO16" i="5"/>
  <c r="DN16" i="5"/>
  <c r="DM16" i="5"/>
  <c r="DP15" i="5"/>
  <c r="DO15" i="5"/>
  <c r="DN15" i="5"/>
  <c r="DM15" i="5"/>
  <c r="DP14" i="5"/>
  <c r="DO14" i="5"/>
  <c r="DN14" i="5"/>
  <c r="DM14" i="5"/>
  <c r="DP13" i="5"/>
  <c r="DO13" i="5"/>
  <c r="DN13" i="5"/>
  <c r="DM13" i="5"/>
  <c r="DP12" i="5"/>
  <c r="DO12" i="5"/>
  <c r="DN12" i="5"/>
  <c r="DM12" i="5"/>
  <c r="DP11" i="5"/>
  <c r="DO11" i="5"/>
  <c r="DN11" i="5"/>
  <c r="DM11" i="5"/>
  <c r="DX23" i="5"/>
  <c r="DW23" i="5"/>
  <c r="DV23" i="5"/>
  <c r="DU23" i="5"/>
  <c r="DT23" i="5"/>
  <c r="DS23" i="5"/>
  <c r="DR23" i="5"/>
  <c r="DQ23" i="5"/>
  <c r="DI23" i="5"/>
  <c r="DH23" i="5"/>
  <c r="DG23" i="5"/>
  <c r="DJ23" i="5" s="1"/>
  <c r="DE23" i="5"/>
  <c r="DD23" i="5"/>
  <c r="DC23" i="5"/>
  <c r="DF23" i="5" s="1"/>
  <c r="DA23" i="5"/>
  <c r="CZ23" i="5"/>
  <c r="CY23" i="5"/>
  <c r="CX23" i="5"/>
  <c r="DB23" i="5" s="1"/>
  <c r="CH23" i="5"/>
  <c r="BS23" i="5"/>
  <c r="AA23" i="5"/>
  <c r="DL22" i="5"/>
  <c r="CW22" i="5"/>
  <c r="CP22" i="5"/>
  <c r="CO22" i="5"/>
  <c r="CM22" i="5"/>
  <c r="CJ22" i="5"/>
  <c r="CE22" i="5"/>
  <c r="CB22" i="5"/>
  <c r="CA22" i="5"/>
  <c r="BZ22" i="5"/>
  <c r="BY22" i="5"/>
  <c r="BX22" i="5"/>
  <c r="BW22" i="5"/>
  <c r="BR22" i="5"/>
  <c r="BQ22" i="5"/>
  <c r="BP22" i="5"/>
  <c r="BO22" i="5"/>
  <c r="BM22" i="5"/>
  <c r="BL22" i="5"/>
  <c r="BK22" i="5"/>
  <c r="BJ22" i="5"/>
  <c r="BI22" i="5"/>
  <c r="BG22" i="5"/>
  <c r="BE22" i="5"/>
  <c r="BF22" i="5" s="1"/>
  <c r="BD22" i="5"/>
  <c r="BC22" i="5"/>
  <c r="BB22" i="5"/>
  <c r="BA22" i="5"/>
  <c r="AW22" i="5"/>
  <c r="AP22" i="5"/>
  <c r="AQ22" i="5" s="1"/>
  <c r="AJ22" i="5"/>
  <c r="AM22" i="5" s="1"/>
  <c r="AI22" i="5"/>
  <c r="AS22" i="5" s="1"/>
  <c r="AF22" i="5"/>
  <c r="AE22" i="5"/>
  <c r="AD22" i="5"/>
  <c r="AC22" i="5"/>
  <c r="AA22" i="5"/>
  <c r="Z22" i="5"/>
  <c r="Y22" i="5"/>
  <c r="X22" i="5"/>
  <c r="W22" i="5"/>
  <c r="V22" i="5"/>
  <c r="S22" i="5"/>
  <c r="R22" i="5"/>
  <c r="P22" i="5"/>
  <c r="O22" i="5"/>
  <c r="M22" i="5"/>
  <c r="L22" i="5"/>
  <c r="K22" i="5"/>
  <c r="J22" i="5"/>
  <c r="H22" i="5"/>
  <c r="F22" i="5"/>
  <c r="E22" i="5"/>
  <c r="D22" i="5"/>
  <c r="C22" i="5"/>
  <c r="DL21" i="5"/>
  <c r="CW21" i="5"/>
  <c r="CP21" i="5"/>
  <c r="CO21" i="5"/>
  <c r="CM21" i="5"/>
  <c r="CJ21" i="5"/>
  <c r="CE21" i="5"/>
  <c r="CB21" i="5"/>
  <c r="CA21" i="5"/>
  <c r="BZ21" i="5"/>
  <c r="BY21" i="5"/>
  <c r="BX21" i="5"/>
  <c r="BW21" i="5"/>
  <c r="BR21" i="5"/>
  <c r="BQ21" i="5"/>
  <c r="BP21" i="5"/>
  <c r="BO21" i="5"/>
  <c r="BM21" i="5"/>
  <c r="BL21" i="5"/>
  <c r="BK21" i="5"/>
  <c r="BJ21" i="5"/>
  <c r="BI21" i="5"/>
  <c r="BG21" i="5"/>
  <c r="BE21" i="5"/>
  <c r="BF21" i="5" s="1"/>
  <c r="BD21" i="5"/>
  <c r="BC21" i="5"/>
  <c r="BB21" i="5"/>
  <c r="BA21" i="5"/>
  <c r="AW21" i="5"/>
  <c r="AP21" i="5"/>
  <c r="AQ21" i="5" s="1"/>
  <c r="AJ21" i="5"/>
  <c r="AM21" i="5" s="1"/>
  <c r="AI21" i="5"/>
  <c r="AS21" i="5" s="1"/>
  <c r="AF21" i="5"/>
  <c r="AE21" i="5"/>
  <c r="AD21" i="5"/>
  <c r="AC21" i="5"/>
  <c r="AA21" i="5"/>
  <c r="Z21" i="5"/>
  <c r="Y21" i="5"/>
  <c r="X21" i="5"/>
  <c r="W21" i="5"/>
  <c r="V21" i="5"/>
  <c r="S21" i="5"/>
  <c r="R21" i="5"/>
  <c r="P21" i="5"/>
  <c r="O21" i="5"/>
  <c r="M21" i="5"/>
  <c r="L21" i="5"/>
  <c r="K21" i="5"/>
  <c r="J21" i="5"/>
  <c r="H21" i="5"/>
  <c r="F21" i="5"/>
  <c r="E21" i="5"/>
  <c r="D21" i="5"/>
  <c r="C21" i="5"/>
  <c r="DL20" i="5"/>
  <c r="CW20" i="5"/>
  <c r="CP20" i="5"/>
  <c r="CO20" i="5"/>
  <c r="CM20" i="5"/>
  <c r="CJ20" i="5"/>
  <c r="CE20" i="5"/>
  <c r="CB20" i="5"/>
  <c r="CA20" i="5"/>
  <c r="BZ20" i="5"/>
  <c r="BY20" i="5"/>
  <c r="BX20" i="5"/>
  <c r="BW20" i="5"/>
  <c r="BR20" i="5"/>
  <c r="BQ20" i="5"/>
  <c r="BP20" i="5"/>
  <c r="BO20" i="5"/>
  <c r="BM20" i="5"/>
  <c r="BL20" i="5"/>
  <c r="BK20" i="5"/>
  <c r="BJ20" i="5"/>
  <c r="BI20" i="5"/>
  <c r="BG20" i="5"/>
  <c r="BE20" i="5"/>
  <c r="BF20" i="5" s="1"/>
  <c r="BD20" i="5"/>
  <c r="BC20" i="5"/>
  <c r="BB20" i="5"/>
  <c r="BA20" i="5"/>
  <c r="AW20" i="5"/>
  <c r="AP20" i="5"/>
  <c r="AQ20" i="5" s="1"/>
  <c r="AJ20" i="5"/>
  <c r="AM20" i="5" s="1"/>
  <c r="AI20" i="5"/>
  <c r="AS20" i="5" s="1"/>
  <c r="AF20" i="5"/>
  <c r="AE20" i="5"/>
  <c r="AD20" i="5"/>
  <c r="AC20" i="5"/>
  <c r="AA20" i="5"/>
  <c r="Z20" i="5"/>
  <c r="Y20" i="5"/>
  <c r="X20" i="5"/>
  <c r="W20" i="5"/>
  <c r="V20" i="5"/>
  <c r="S20" i="5"/>
  <c r="R20" i="5"/>
  <c r="P20" i="5"/>
  <c r="O20" i="5"/>
  <c r="M20" i="5"/>
  <c r="L20" i="5"/>
  <c r="K20" i="5"/>
  <c r="J20" i="5"/>
  <c r="H20" i="5"/>
  <c r="F20" i="5"/>
  <c r="E20" i="5"/>
  <c r="D20" i="5"/>
  <c r="C20" i="5"/>
  <c r="DL19" i="5"/>
  <c r="CW19" i="5"/>
  <c r="CP19" i="5"/>
  <c r="CO19" i="5"/>
  <c r="CM19" i="5"/>
  <c r="CJ19" i="5"/>
  <c r="CE19" i="5"/>
  <c r="CB19" i="5"/>
  <c r="CA19" i="5"/>
  <c r="BZ19" i="5"/>
  <c r="BY19" i="5"/>
  <c r="BX19" i="5"/>
  <c r="BW19" i="5"/>
  <c r="BR19" i="5"/>
  <c r="BQ19" i="5"/>
  <c r="BP19" i="5"/>
  <c r="BO19" i="5"/>
  <c r="BM19" i="5"/>
  <c r="BL19" i="5"/>
  <c r="BK19" i="5"/>
  <c r="BJ19" i="5"/>
  <c r="BI19" i="5"/>
  <c r="BG19" i="5"/>
  <c r="BE19" i="5"/>
  <c r="BF19" i="5" s="1"/>
  <c r="BD19" i="5"/>
  <c r="BC19" i="5"/>
  <c r="BB19" i="5"/>
  <c r="BA19" i="5"/>
  <c r="AW19" i="5"/>
  <c r="AP19" i="5"/>
  <c r="AQ19" i="5" s="1"/>
  <c r="AJ19" i="5"/>
  <c r="AM19" i="5" s="1"/>
  <c r="AI19" i="5"/>
  <c r="AS19" i="5" s="1"/>
  <c r="AF19" i="5"/>
  <c r="AE19" i="5"/>
  <c r="AD19" i="5"/>
  <c r="AC19" i="5"/>
  <c r="AA19" i="5"/>
  <c r="Z19" i="5"/>
  <c r="Y19" i="5"/>
  <c r="X19" i="5"/>
  <c r="W19" i="5"/>
  <c r="V19" i="5"/>
  <c r="S19" i="5"/>
  <c r="R19" i="5"/>
  <c r="P19" i="5"/>
  <c r="O19" i="5"/>
  <c r="M19" i="5"/>
  <c r="L19" i="5"/>
  <c r="K19" i="5"/>
  <c r="J19" i="5"/>
  <c r="H19" i="5"/>
  <c r="F19" i="5"/>
  <c r="E19" i="5"/>
  <c r="D19" i="5"/>
  <c r="C19" i="5"/>
  <c r="DL18" i="5"/>
  <c r="CW18" i="5"/>
  <c r="CP18" i="5"/>
  <c r="CO18" i="5"/>
  <c r="CM18" i="5"/>
  <c r="CJ18" i="5"/>
  <c r="CE18" i="5"/>
  <c r="CB18" i="5"/>
  <c r="CA18" i="5"/>
  <c r="BZ18" i="5"/>
  <c r="BY18" i="5"/>
  <c r="BX18" i="5"/>
  <c r="BW18" i="5"/>
  <c r="BR18" i="5"/>
  <c r="BQ18" i="5"/>
  <c r="BP18" i="5"/>
  <c r="BO18" i="5"/>
  <c r="BM18" i="5"/>
  <c r="BL18" i="5"/>
  <c r="BK18" i="5"/>
  <c r="BJ18" i="5"/>
  <c r="BI18" i="5"/>
  <c r="BG18" i="5"/>
  <c r="BE18" i="5"/>
  <c r="BD18" i="5"/>
  <c r="BC18" i="5"/>
  <c r="BB18" i="5"/>
  <c r="BA18" i="5"/>
  <c r="AW18" i="5"/>
  <c r="AP18" i="5"/>
  <c r="AQ18" i="5" s="1"/>
  <c r="AJ18" i="5"/>
  <c r="AM18" i="5" s="1"/>
  <c r="AI18" i="5"/>
  <c r="AS18" i="5" s="1"/>
  <c r="AF18" i="5"/>
  <c r="AE18" i="5"/>
  <c r="AD18" i="5"/>
  <c r="AC18" i="5"/>
  <c r="AA18" i="5"/>
  <c r="Z18" i="5"/>
  <c r="Y18" i="5"/>
  <c r="X18" i="5"/>
  <c r="W18" i="5"/>
  <c r="V18" i="5"/>
  <c r="S18" i="5"/>
  <c r="R18" i="5"/>
  <c r="P18" i="5"/>
  <c r="O18" i="5"/>
  <c r="M18" i="5"/>
  <c r="L18" i="5"/>
  <c r="K18" i="5"/>
  <c r="J18" i="5"/>
  <c r="H18" i="5"/>
  <c r="F18" i="5"/>
  <c r="E18" i="5"/>
  <c r="D18" i="5"/>
  <c r="C18" i="5"/>
  <c r="DL17" i="5"/>
  <c r="CW17" i="5"/>
  <c r="CP17" i="5"/>
  <c r="CO17" i="5"/>
  <c r="CM17" i="5"/>
  <c r="CJ17" i="5"/>
  <c r="CE17" i="5"/>
  <c r="CB17" i="5"/>
  <c r="CA17" i="5"/>
  <c r="BZ17" i="5"/>
  <c r="BY17" i="5"/>
  <c r="BX17" i="5"/>
  <c r="BW17" i="5"/>
  <c r="BR17" i="5"/>
  <c r="BQ17" i="5"/>
  <c r="BP17" i="5"/>
  <c r="BO17" i="5"/>
  <c r="BM17" i="5"/>
  <c r="BL17" i="5"/>
  <c r="BK17" i="5"/>
  <c r="BJ17" i="5"/>
  <c r="BI17" i="5"/>
  <c r="BG17" i="5"/>
  <c r="BE17" i="5"/>
  <c r="BF17" i="5" s="1"/>
  <c r="BH17" i="5" s="1"/>
  <c r="BD17" i="5"/>
  <c r="BC17" i="5"/>
  <c r="BB17" i="5"/>
  <c r="BA17" i="5"/>
  <c r="AW17" i="5"/>
  <c r="AP17" i="5"/>
  <c r="AQ17" i="5" s="1"/>
  <c r="AJ17" i="5"/>
  <c r="AM17" i="5" s="1"/>
  <c r="AI17" i="5"/>
  <c r="AS17" i="5" s="1"/>
  <c r="AF17" i="5"/>
  <c r="AE17" i="5"/>
  <c r="AD17" i="5"/>
  <c r="AC17" i="5"/>
  <c r="AA17" i="5"/>
  <c r="Z17" i="5"/>
  <c r="Y17" i="5"/>
  <c r="X17" i="5"/>
  <c r="W17" i="5"/>
  <c r="V17" i="5"/>
  <c r="S17" i="5"/>
  <c r="R17" i="5"/>
  <c r="P17" i="5"/>
  <c r="O17" i="5"/>
  <c r="M17" i="5"/>
  <c r="L17" i="5"/>
  <c r="K17" i="5"/>
  <c r="J17" i="5"/>
  <c r="H17" i="5"/>
  <c r="F17" i="5"/>
  <c r="E17" i="5"/>
  <c r="D17" i="5"/>
  <c r="C17" i="5"/>
  <c r="DL16" i="5"/>
  <c r="CW16" i="5"/>
  <c r="CT16" i="5"/>
  <c r="CS16" i="5"/>
  <c r="CP16" i="5"/>
  <c r="CO16" i="5"/>
  <c r="CM16" i="5"/>
  <c r="CI16" i="5"/>
  <c r="CJ16" i="5" s="1"/>
  <c r="CG16" i="5"/>
  <c r="CE16" i="5"/>
  <c r="CB16" i="5"/>
  <c r="CA16" i="5"/>
  <c r="BZ16" i="5"/>
  <c r="BY16" i="5"/>
  <c r="BX16" i="5"/>
  <c r="BW16" i="5"/>
  <c r="BR16" i="5"/>
  <c r="BQ16" i="5"/>
  <c r="BP16" i="5"/>
  <c r="BO16" i="5"/>
  <c r="BM16" i="5"/>
  <c r="BL16" i="5"/>
  <c r="BK16" i="5"/>
  <c r="BJ16" i="5"/>
  <c r="BI16" i="5"/>
  <c r="BG16" i="5"/>
  <c r="BE16" i="5"/>
  <c r="BF16" i="5" s="1"/>
  <c r="BD16" i="5"/>
  <c r="BC16" i="5"/>
  <c r="BB16" i="5"/>
  <c r="BA16" i="5"/>
  <c r="AW16" i="5"/>
  <c r="AS16" i="5"/>
  <c r="AP16" i="5"/>
  <c r="AJ16" i="5"/>
  <c r="AR16" i="5" s="1"/>
  <c r="AI16" i="5"/>
  <c r="AF16" i="5"/>
  <c r="AE16" i="5"/>
  <c r="AD16" i="5"/>
  <c r="AC16" i="5"/>
  <c r="AA16" i="5"/>
  <c r="Z16" i="5"/>
  <c r="Y16" i="5"/>
  <c r="X16" i="5"/>
  <c r="W16" i="5"/>
  <c r="V16" i="5"/>
  <c r="S16" i="5"/>
  <c r="R16" i="5"/>
  <c r="P16" i="5"/>
  <c r="O16" i="5"/>
  <c r="M16" i="5"/>
  <c r="L16" i="5"/>
  <c r="K16" i="5"/>
  <c r="J16" i="5"/>
  <c r="H16" i="5"/>
  <c r="F16" i="5"/>
  <c r="E16" i="5"/>
  <c r="D16" i="5"/>
  <c r="C16" i="5"/>
  <c r="DL15" i="5"/>
  <c r="CW15" i="5"/>
  <c r="CT15" i="5"/>
  <c r="CS15" i="5"/>
  <c r="CP15" i="5"/>
  <c r="CO15" i="5"/>
  <c r="CM15" i="5"/>
  <c r="CI15" i="5"/>
  <c r="CJ15" i="5" s="1"/>
  <c r="CG15" i="5"/>
  <c r="CE15" i="5"/>
  <c r="CB15" i="5"/>
  <c r="CA15" i="5"/>
  <c r="BZ15" i="5"/>
  <c r="BY15" i="5"/>
  <c r="BX15" i="5"/>
  <c r="BW15" i="5"/>
  <c r="BR15" i="5"/>
  <c r="BQ15" i="5"/>
  <c r="BP15" i="5"/>
  <c r="BO15" i="5"/>
  <c r="BM15" i="5"/>
  <c r="BL15" i="5"/>
  <c r="BK15" i="5"/>
  <c r="BJ15" i="5"/>
  <c r="BI15" i="5"/>
  <c r="BG15" i="5"/>
  <c r="BE15" i="5"/>
  <c r="BF15" i="5" s="1"/>
  <c r="BD15" i="5"/>
  <c r="BC15" i="5"/>
  <c r="BA15" i="5"/>
  <c r="AW15" i="5"/>
  <c r="BB15" i="5" s="1"/>
  <c r="AP15" i="5"/>
  <c r="AJ15" i="5"/>
  <c r="AR15" i="5" s="1"/>
  <c r="AI15" i="5"/>
  <c r="AS15" i="5" s="1"/>
  <c r="AF15" i="5"/>
  <c r="AE15" i="5"/>
  <c r="AD15" i="5"/>
  <c r="AC15" i="5"/>
  <c r="AA15" i="5"/>
  <c r="Z15" i="5"/>
  <c r="Y15" i="5"/>
  <c r="X15" i="5"/>
  <c r="W15" i="5"/>
  <c r="V15" i="5"/>
  <c r="S15" i="5"/>
  <c r="R15" i="5"/>
  <c r="P15" i="5"/>
  <c r="O15" i="5"/>
  <c r="M15" i="5"/>
  <c r="L15" i="5"/>
  <c r="K15" i="5"/>
  <c r="J15" i="5"/>
  <c r="H15" i="5"/>
  <c r="F15" i="5"/>
  <c r="E15" i="5"/>
  <c r="D15" i="5"/>
  <c r="C15" i="5"/>
  <c r="DL14" i="5"/>
  <c r="CW14" i="5"/>
  <c r="CT14" i="5"/>
  <c r="CS14" i="5"/>
  <c r="CP14" i="5"/>
  <c r="CO14" i="5"/>
  <c r="CM14" i="5"/>
  <c r="CI14" i="5"/>
  <c r="CJ14" i="5" s="1"/>
  <c r="CG14" i="5"/>
  <c r="CE14" i="5"/>
  <c r="CB14" i="5"/>
  <c r="CA14" i="5"/>
  <c r="BZ14" i="5"/>
  <c r="BY14" i="5"/>
  <c r="BX14" i="5"/>
  <c r="BW14" i="5"/>
  <c r="BR14" i="5"/>
  <c r="BQ14" i="5"/>
  <c r="BP14" i="5"/>
  <c r="BO14" i="5"/>
  <c r="BM14" i="5"/>
  <c r="BL14" i="5"/>
  <c r="BK14" i="5"/>
  <c r="BJ14" i="5"/>
  <c r="BI14" i="5"/>
  <c r="BG14" i="5"/>
  <c r="BF14" i="5"/>
  <c r="BE14" i="5"/>
  <c r="BD14" i="5"/>
  <c r="BC14" i="5"/>
  <c r="BA14" i="5"/>
  <c r="BB14" i="5" s="1"/>
  <c r="AW14" i="5"/>
  <c r="AP14" i="5"/>
  <c r="AJ14" i="5"/>
  <c r="AR14" i="5" s="1"/>
  <c r="AI14" i="5"/>
  <c r="AS14" i="5" s="1"/>
  <c r="AF14" i="5"/>
  <c r="AE14" i="5"/>
  <c r="AD14" i="5"/>
  <c r="AC14" i="5"/>
  <c r="AA14" i="5"/>
  <c r="Z14" i="5"/>
  <c r="Y14" i="5"/>
  <c r="X14" i="5"/>
  <c r="W14" i="5"/>
  <c r="V14" i="5"/>
  <c r="S14" i="5"/>
  <c r="R14" i="5"/>
  <c r="P14" i="5"/>
  <c r="O14" i="5"/>
  <c r="M14" i="5"/>
  <c r="L14" i="5"/>
  <c r="K14" i="5"/>
  <c r="J14" i="5"/>
  <c r="H14" i="5"/>
  <c r="F14" i="5"/>
  <c r="E14" i="5"/>
  <c r="D14" i="5"/>
  <c r="C14" i="5"/>
  <c r="DL13" i="5"/>
  <c r="CW13" i="5"/>
  <c r="CT13" i="5"/>
  <c r="CS13" i="5"/>
  <c r="CP13" i="5"/>
  <c r="CO13" i="5"/>
  <c r="CM13" i="5"/>
  <c r="CI13" i="5"/>
  <c r="CJ13" i="5" s="1"/>
  <c r="CG13" i="5"/>
  <c r="CE13" i="5"/>
  <c r="CB13" i="5"/>
  <c r="CA13" i="5"/>
  <c r="BZ13" i="5"/>
  <c r="BY13" i="5"/>
  <c r="BX13" i="5"/>
  <c r="BW13" i="5"/>
  <c r="BR13" i="5"/>
  <c r="BQ13" i="5"/>
  <c r="BP13" i="5"/>
  <c r="BO13" i="5"/>
  <c r="BM13" i="5"/>
  <c r="BL13" i="5"/>
  <c r="BK13" i="5"/>
  <c r="BJ13" i="5"/>
  <c r="BI13" i="5"/>
  <c r="BG13" i="5"/>
  <c r="BE13" i="5"/>
  <c r="BF13" i="5" s="1"/>
  <c r="BH13" i="5" s="1"/>
  <c r="BD13" i="5"/>
  <c r="BC13" i="5"/>
  <c r="BA13" i="5"/>
  <c r="BB13" i="5" s="1"/>
  <c r="AW13" i="5"/>
  <c r="AP13" i="5"/>
  <c r="AJ13" i="5"/>
  <c r="AR13" i="5" s="1"/>
  <c r="AI13" i="5"/>
  <c r="AS13" i="5" s="1"/>
  <c r="AF13" i="5"/>
  <c r="AE13" i="5"/>
  <c r="AD13" i="5"/>
  <c r="AC13" i="5"/>
  <c r="AA13" i="5"/>
  <c r="Z13" i="5"/>
  <c r="Y13" i="5"/>
  <c r="X13" i="5"/>
  <c r="W13" i="5"/>
  <c r="V13" i="5"/>
  <c r="S13" i="5"/>
  <c r="R13" i="5"/>
  <c r="P13" i="5"/>
  <c r="O13" i="5"/>
  <c r="M13" i="5"/>
  <c r="L13" i="5"/>
  <c r="K13" i="5"/>
  <c r="J13" i="5"/>
  <c r="H13" i="5"/>
  <c r="F13" i="5"/>
  <c r="E13" i="5"/>
  <c r="D13" i="5"/>
  <c r="C13" i="5"/>
  <c r="DL12" i="5"/>
  <c r="DG12" i="5"/>
  <c r="DJ12" i="5" s="1"/>
  <c r="DG13" i="5" s="1"/>
  <c r="DJ13" i="5" s="1"/>
  <c r="DG14" i="5" s="1"/>
  <c r="DJ14" i="5" s="1"/>
  <c r="DG15" i="5" s="1"/>
  <c r="DJ15" i="5" s="1"/>
  <c r="DG16" i="5" s="1"/>
  <c r="DJ16" i="5" s="1"/>
  <c r="DG17" i="5" s="1"/>
  <c r="DJ17" i="5" s="1"/>
  <c r="DG18" i="5" s="1"/>
  <c r="DJ18" i="5" s="1"/>
  <c r="DG19" i="5" s="1"/>
  <c r="DJ19" i="5" s="1"/>
  <c r="DG20" i="5" s="1"/>
  <c r="DJ20" i="5" s="1"/>
  <c r="DG21" i="5" s="1"/>
  <c r="DJ21" i="5" s="1"/>
  <c r="DG22" i="5" s="1"/>
  <c r="DJ22" i="5" s="1"/>
  <c r="CW12" i="5"/>
  <c r="CT12" i="5"/>
  <c r="CS12" i="5"/>
  <c r="CP12" i="5"/>
  <c r="CO12" i="5"/>
  <c r="CM12" i="5"/>
  <c r="CI12" i="5"/>
  <c r="CJ12" i="5" s="1"/>
  <c r="CG12" i="5"/>
  <c r="CE12" i="5"/>
  <c r="CB12" i="5"/>
  <c r="CA12" i="5"/>
  <c r="BZ12" i="5"/>
  <c r="BY12" i="5"/>
  <c r="BX12" i="5"/>
  <c r="BW12" i="5"/>
  <c r="BR12" i="5"/>
  <c r="BQ12" i="5"/>
  <c r="BP12" i="5"/>
  <c r="BO12" i="5"/>
  <c r="BM12" i="5"/>
  <c r="BL12" i="5"/>
  <c r="BK12" i="5"/>
  <c r="BJ12" i="5"/>
  <c r="BI12" i="5"/>
  <c r="BG12" i="5"/>
  <c r="BE12" i="5"/>
  <c r="BD12" i="5"/>
  <c r="BC12" i="5"/>
  <c r="BB12" i="5"/>
  <c r="BA12" i="5"/>
  <c r="AW12" i="5"/>
  <c r="AP12" i="5"/>
  <c r="AJ12" i="5"/>
  <c r="AR12" i="5" s="1"/>
  <c r="AI12" i="5"/>
  <c r="AS12" i="5" s="1"/>
  <c r="AF12" i="5"/>
  <c r="AE12" i="5"/>
  <c r="AD12" i="5"/>
  <c r="AC12" i="5"/>
  <c r="AA12" i="5"/>
  <c r="Z12" i="5"/>
  <c r="Y12" i="5"/>
  <c r="X12" i="5"/>
  <c r="W12" i="5"/>
  <c r="V12" i="5"/>
  <c r="S12" i="5"/>
  <c r="R12" i="5"/>
  <c r="P12" i="5"/>
  <c r="O12" i="5"/>
  <c r="M12" i="5"/>
  <c r="L12" i="5"/>
  <c r="K12" i="5"/>
  <c r="J12" i="5"/>
  <c r="H12" i="5"/>
  <c r="F12" i="5"/>
  <c r="E12" i="5"/>
  <c r="D12" i="5"/>
  <c r="C12" i="5"/>
  <c r="DL11" i="5"/>
  <c r="DJ11" i="5"/>
  <c r="DF11" i="5"/>
  <c r="DC12" i="5" s="1"/>
  <c r="DF12" i="5" s="1"/>
  <c r="DC13" i="5" s="1"/>
  <c r="DF13" i="5" s="1"/>
  <c r="DC14" i="5" s="1"/>
  <c r="DF14" i="5" s="1"/>
  <c r="DC15" i="5" s="1"/>
  <c r="DF15" i="5" s="1"/>
  <c r="DC16" i="5" s="1"/>
  <c r="DF16" i="5" s="1"/>
  <c r="DC17" i="5" s="1"/>
  <c r="DF17" i="5" s="1"/>
  <c r="DC18" i="5" s="1"/>
  <c r="DF18" i="5" s="1"/>
  <c r="DC19" i="5" s="1"/>
  <c r="DF19" i="5" s="1"/>
  <c r="DC20" i="5" s="1"/>
  <c r="DF20" i="5" s="1"/>
  <c r="DC21" i="5" s="1"/>
  <c r="DF21" i="5" s="1"/>
  <c r="DC22" i="5" s="1"/>
  <c r="DF22" i="5" s="1"/>
  <c r="DB11" i="5"/>
  <c r="CX12" i="5" s="1"/>
  <c r="DB12" i="5" s="1"/>
  <c r="CX13" i="5" s="1"/>
  <c r="DB13" i="5" s="1"/>
  <c r="CX14" i="5" s="1"/>
  <c r="DB14" i="5" s="1"/>
  <c r="CX15" i="5" s="1"/>
  <c r="DB15" i="5" s="1"/>
  <c r="CX16" i="5" s="1"/>
  <c r="DB16" i="5" s="1"/>
  <c r="CX17" i="5" s="1"/>
  <c r="DB17" i="5" s="1"/>
  <c r="CX18" i="5" s="1"/>
  <c r="DB18" i="5" s="1"/>
  <c r="CX19" i="5" s="1"/>
  <c r="DB19" i="5" s="1"/>
  <c r="CX20" i="5" s="1"/>
  <c r="DB20" i="5" s="1"/>
  <c r="CX21" i="5" s="1"/>
  <c r="DB21" i="5" s="1"/>
  <c r="CX22" i="5" s="1"/>
  <c r="DB22" i="5" s="1"/>
  <c r="CW11" i="5"/>
  <c r="CT11" i="5"/>
  <c r="CS11" i="5"/>
  <c r="CR11" i="5"/>
  <c r="CR23" i="5" s="1"/>
  <c r="CP11" i="5"/>
  <c r="CO11" i="5"/>
  <c r="CN11" i="5"/>
  <c r="CN23" i="5" s="1"/>
  <c r="CM11" i="5"/>
  <c r="CI11" i="5"/>
  <c r="CG11" i="5"/>
  <c r="CF11" i="5"/>
  <c r="CE11" i="5"/>
  <c r="CB11" i="5"/>
  <c r="CA11" i="5"/>
  <c r="BZ11" i="5"/>
  <c r="BY11" i="5"/>
  <c r="BX11" i="5"/>
  <c r="BW11" i="5"/>
  <c r="BR11" i="5"/>
  <c r="BQ11" i="5"/>
  <c r="BP11" i="5"/>
  <c r="BO11" i="5"/>
  <c r="BM11" i="5"/>
  <c r="BL11" i="5"/>
  <c r="BK11" i="5"/>
  <c r="BJ11" i="5"/>
  <c r="BI11" i="5"/>
  <c r="BG11" i="5"/>
  <c r="BE11" i="5"/>
  <c r="BD11" i="5"/>
  <c r="BC11" i="5"/>
  <c r="AZ11" i="5"/>
  <c r="AZ23" i="5" s="1"/>
  <c r="AY11" i="5"/>
  <c r="AY23" i="5" s="1"/>
  <c r="AX11" i="5"/>
  <c r="AX23" i="5" s="1"/>
  <c r="AV11" i="5"/>
  <c r="AV23" i="5" s="1"/>
  <c r="AU11" i="5"/>
  <c r="AU23" i="5" s="1"/>
  <c r="AT11" i="5"/>
  <c r="AT23" i="5" s="1"/>
  <c r="AP11" i="5"/>
  <c r="AO11" i="5"/>
  <c r="AO23" i="5" s="1"/>
  <c r="AN11" i="5"/>
  <c r="AN23" i="5" s="1"/>
  <c r="AL11" i="5"/>
  <c r="AL23" i="5" s="1"/>
  <c r="AK11" i="5"/>
  <c r="AK23" i="5" s="1"/>
  <c r="AJ11" i="5"/>
  <c r="AI11" i="5"/>
  <c r="AS11" i="5" s="1"/>
  <c r="AF11" i="5"/>
  <c r="AE11" i="5"/>
  <c r="AD11" i="5"/>
  <c r="AC11" i="5"/>
  <c r="AA11" i="5"/>
  <c r="Z11" i="5"/>
  <c r="Y11" i="5"/>
  <c r="X11" i="5"/>
  <c r="W11" i="5"/>
  <c r="V11" i="5"/>
  <c r="S11" i="5"/>
  <c r="R11" i="5"/>
  <c r="P11" i="5"/>
  <c r="O11" i="5"/>
  <c r="M11" i="5"/>
  <c r="L11" i="5"/>
  <c r="K11" i="5"/>
  <c r="J11" i="5"/>
  <c r="H11" i="5"/>
  <c r="F11" i="5"/>
  <c r="E11" i="5"/>
  <c r="D11" i="5"/>
  <c r="C11" i="5"/>
  <c r="DP22" i="4"/>
  <c r="DO22" i="4"/>
  <c r="DN22" i="4"/>
  <c r="DM22" i="4"/>
  <c r="DP21" i="4"/>
  <c r="DO21" i="4"/>
  <c r="DN21" i="4"/>
  <c r="DM21" i="4"/>
  <c r="DP20" i="4"/>
  <c r="DO20" i="4"/>
  <c r="DN20" i="4"/>
  <c r="DM20" i="4"/>
  <c r="DP19" i="4"/>
  <c r="DO19" i="4"/>
  <c r="DN19" i="4"/>
  <c r="DM19" i="4"/>
  <c r="DP18" i="4"/>
  <c r="DO18" i="4"/>
  <c r="DN18" i="4"/>
  <c r="DM18" i="4"/>
  <c r="DP17" i="4"/>
  <c r="DO17" i="4"/>
  <c r="DN17" i="4"/>
  <c r="DM17" i="4"/>
  <c r="DP16" i="4"/>
  <c r="DO16" i="4"/>
  <c r="DN16" i="4"/>
  <c r="DM16" i="4"/>
  <c r="DP15" i="4"/>
  <c r="DO15" i="4"/>
  <c r="DN15" i="4"/>
  <c r="DM15" i="4"/>
  <c r="DP14" i="4"/>
  <c r="DO14" i="4"/>
  <c r="DN14" i="4"/>
  <c r="DM14" i="4"/>
  <c r="DP13" i="4"/>
  <c r="DO13" i="4"/>
  <c r="DN13" i="4"/>
  <c r="DM13" i="4"/>
  <c r="DP12" i="4"/>
  <c r="DO12" i="4"/>
  <c r="DN12" i="4"/>
  <c r="DM12" i="4"/>
  <c r="DP11" i="4"/>
  <c r="DP23" i="4" s="1"/>
  <c r="DO11" i="4"/>
  <c r="DN11" i="4"/>
  <c r="DM11" i="4"/>
  <c r="DP22" i="3"/>
  <c r="DO22" i="3"/>
  <c r="DN22" i="3"/>
  <c r="DM22" i="3"/>
  <c r="DP21" i="3"/>
  <c r="DO21" i="3"/>
  <c r="DN21" i="3"/>
  <c r="DM21" i="3"/>
  <c r="DP20" i="3"/>
  <c r="DO20" i="3"/>
  <c r="DN20" i="3"/>
  <c r="DM20" i="3"/>
  <c r="DP19" i="3"/>
  <c r="DO19" i="3"/>
  <c r="DN19" i="3"/>
  <c r="DM19" i="3"/>
  <c r="DP18" i="3"/>
  <c r="DO18" i="3"/>
  <c r="DN18" i="3"/>
  <c r="DM18" i="3"/>
  <c r="DP17" i="3"/>
  <c r="DO17" i="3"/>
  <c r="DN17" i="3"/>
  <c r="DM17" i="3"/>
  <c r="DP16" i="3"/>
  <c r="DO16" i="3"/>
  <c r="DN16" i="3"/>
  <c r="DM16" i="3"/>
  <c r="DP15" i="3"/>
  <c r="DO15" i="3"/>
  <c r="DN15" i="3"/>
  <c r="DM15" i="3"/>
  <c r="DP14" i="3"/>
  <c r="DO14" i="3"/>
  <c r="DN14" i="3"/>
  <c r="DM14" i="3"/>
  <c r="DP13" i="3"/>
  <c r="DO13" i="3"/>
  <c r="DN13" i="3"/>
  <c r="DM13" i="3"/>
  <c r="DP12" i="3"/>
  <c r="DO12" i="3"/>
  <c r="DN12" i="3"/>
  <c r="DM12" i="3"/>
  <c r="DP11" i="3"/>
  <c r="DO11" i="3"/>
  <c r="DN11" i="3"/>
  <c r="DM11" i="3"/>
  <c r="DP22" i="2"/>
  <c r="DO22" i="2"/>
  <c r="DN22" i="2"/>
  <c r="DM22" i="2"/>
  <c r="DP21" i="2"/>
  <c r="DO21" i="2"/>
  <c r="DN21" i="2"/>
  <c r="DM21" i="2"/>
  <c r="DP20" i="2"/>
  <c r="DO20" i="2"/>
  <c r="DN20" i="2"/>
  <c r="DM20" i="2"/>
  <c r="DP19" i="2"/>
  <c r="DO19" i="2"/>
  <c r="DN19" i="2"/>
  <c r="DM19" i="2"/>
  <c r="DP18" i="2"/>
  <c r="DO18" i="2"/>
  <c r="DN18" i="2"/>
  <c r="DM18" i="2"/>
  <c r="DP17" i="2"/>
  <c r="DO17" i="2"/>
  <c r="DN17" i="2"/>
  <c r="DM17" i="2"/>
  <c r="DP16" i="2"/>
  <c r="DO16" i="2"/>
  <c r="DN16" i="2"/>
  <c r="DM16" i="2"/>
  <c r="DP15" i="2"/>
  <c r="DO15" i="2"/>
  <c r="DN15" i="2"/>
  <c r="DM15" i="2"/>
  <c r="DP14" i="2"/>
  <c r="DO14" i="2"/>
  <c r="DN14" i="2"/>
  <c r="DM14" i="2"/>
  <c r="DP13" i="2"/>
  <c r="DO13" i="2"/>
  <c r="DN13" i="2"/>
  <c r="DM13" i="2"/>
  <c r="DP12" i="2"/>
  <c r="DO12" i="2"/>
  <c r="DN12" i="2"/>
  <c r="DM12" i="2"/>
  <c r="DP11" i="2"/>
  <c r="DO11" i="2"/>
  <c r="DN11" i="2"/>
  <c r="DM11" i="2"/>
  <c r="F158" i="1"/>
  <c r="E158" i="1"/>
  <c r="D158" i="1"/>
  <c r="C158" i="1"/>
  <c r="F159" i="1"/>
  <c r="E159" i="1"/>
  <c r="D159" i="1"/>
  <c r="C159" i="1"/>
  <c r="F160" i="1"/>
  <c r="E160" i="1"/>
  <c r="D160" i="1"/>
  <c r="C160" i="1"/>
  <c r="F161" i="1"/>
  <c r="E161" i="1"/>
  <c r="D161" i="1"/>
  <c r="C161" i="1"/>
  <c r="F162" i="1"/>
  <c r="E162" i="1"/>
  <c r="D162" i="1"/>
  <c r="C162" i="1"/>
  <c r="F163" i="1"/>
  <c r="E163" i="1"/>
  <c r="D163" i="1"/>
  <c r="C163" i="1"/>
  <c r="F164" i="1"/>
  <c r="E164" i="1"/>
  <c r="D164" i="1"/>
  <c r="C164" i="1"/>
  <c r="F165" i="1"/>
  <c r="E165" i="1"/>
  <c r="D165" i="1"/>
  <c r="C165" i="1"/>
  <c r="F166" i="1"/>
  <c r="E166" i="1"/>
  <c r="D166" i="1"/>
  <c r="C166" i="1"/>
  <c r="F167" i="1"/>
  <c r="E167" i="1"/>
  <c r="D167" i="1"/>
  <c r="C167" i="1"/>
  <c r="F168" i="1"/>
  <c r="E168" i="1"/>
  <c r="D168" i="1"/>
  <c r="C168" i="1"/>
  <c r="F169" i="1"/>
  <c r="E169" i="1"/>
  <c r="D169" i="1"/>
  <c r="C169" i="1"/>
  <c r="AA76" i="7" l="1"/>
  <c r="X76" i="7" s="1"/>
  <c r="AM76" i="7"/>
  <c r="X85" i="7"/>
  <c r="AR7" i="7"/>
  <c r="DP23" i="5"/>
  <c r="DP23" i="3"/>
  <c r="DM23" i="5"/>
  <c r="AR20" i="5"/>
  <c r="DO23" i="2"/>
  <c r="N12" i="5"/>
  <c r="G20" i="5"/>
  <c r="I58" i="7"/>
  <c r="J58" i="7" s="1"/>
  <c r="AL143" i="7"/>
  <c r="AM143" i="7" s="1"/>
  <c r="W143" i="7"/>
  <c r="W142" i="7" s="1"/>
  <c r="T14" i="5"/>
  <c r="AG17" i="5"/>
  <c r="BH21" i="5"/>
  <c r="AR21" i="5"/>
  <c r="AB19" i="5"/>
  <c r="BN22" i="5"/>
  <c r="BV22" i="5" s="1"/>
  <c r="AG11" i="5"/>
  <c r="AB14" i="5"/>
  <c r="BH15" i="5"/>
  <c r="AB17" i="5"/>
  <c r="T21" i="5"/>
  <c r="K154" i="7"/>
  <c r="N154" i="7" s="1"/>
  <c r="N142" i="7"/>
  <c r="F154" i="7"/>
  <c r="DM23" i="4"/>
  <c r="BM23" i="5"/>
  <c r="BZ23" i="5"/>
  <c r="G13" i="5"/>
  <c r="AR18" i="5"/>
  <c r="AM86" i="7"/>
  <c r="AP23" i="5"/>
  <c r="AB15" i="5"/>
  <c r="AB85" i="7"/>
  <c r="Y85" i="7" s="1"/>
  <c r="W23" i="5"/>
  <c r="BT12" i="5"/>
  <c r="BU12" i="5" s="1"/>
  <c r="T13" i="5"/>
  <c r="DN23" i="5"/>
  <c r="DM23" i="2"/>
  <c r="AB16" i="5"/>
  <c r="BH16" i="5"/>
  <c r="AG21" i="5"/>
  <c r="DO23" i="5"/>
  <c r="E18" i="7"/>
  <c r="AG15" i="5"/>
  <c r="DN23" i="4"/>
  <c r="G12" i="5"/>
  <c r="I12" i="5" s="1"/>
  <c r="N13" i="5"/>
  <c r="Q16" i="5"/>
  <c r="AB21" i="5"/>
  <c r="AH21" i="5" s="1"/>
  <c r="X65" i="7"/>
  <c r="O51" i="7"/>
  <c r="I102" i="7"/>
  <c r="AB13" i="5"/>
  <c r="N14" i="5"/>
  <c r="BH14" i="5"/>
  <c r="BH19" i="5"/>
  <c r="BT19" i="5"/>
  <c r="BU19" i="5" s="1"/>
  <c r="X69" i="7"/>
  <c r="I100" i="7"/>
  <c r="N15" i="5"/>
  <c r="BN20" i="5"/>
  <c r="BV20" i="5" s="1"/>
  <c r="AA79" i="7"/>
  <c r="X79" i="7" s="1"/>
  <c r="AB82" i="7"/>
  <c r="AA83" i="7"/>
  <c r="I98" i="7"/>
  <c r="BN14" i="5"/>
  <c r="BV14" i="5" s="1"/>
  <c r="T19" i="5"/>
  <c r="CC20" i="5"/>
  <c r="V82" i="7"/>
  <c r="V78" i="7"/>
  <c r="U82" i="7"/>
  <c r="BT13" i="5"/>
  <c r="BU13" i="5" s="1"/>
  <c r="AM81" i="7"/>
  <c r="F126" i="7"/>
  <c r="C127" i="7" s="1"/>
  <c r="G16" i="5"/>
  <c r="N17" i="5"/>
  <c r="N18" i="5"/>
  <c r="BT18" i="5"/>
  <c r="BU18" i="5" s="1"/>
  <c r="N20" i="5"/>
  <c r="N22" i="5"/>
  <c r="K63" i="7"/>
  <c r="DO23" i="4"/>
  <c r="K23" i="5"/>
  <c r="CP23" i="5"/>
  <c r="CC13" i="5"/>
  <c r="CD13" i="5" s="1"/>
  <c r="AQ10" i="7"/>
  <c r="V81" i="7"/>
  <c r="U83" i="7"/>
  <c r="Q14" i="5"/>
  <c r="Q19" i="5"/>
  <c r="AQ12" i="7"/>
  <c r="AQ13" i="7"/>
  <c r="X64" i="7"/>
  <c r="AB79" i="7"/>
  <c r="AB80" i="7"/>
  <c r="Y80" i="7" s="1"/>
  <c r="CU11" i="5"/>
  <c r="CR12" i="5" s="1"/>
  <c r="CU12" i="5" s="1"/>
  <c r="CR13" i="5" s="1"/>
  <c r="CU13" i="5" s="1"/>
  <c r="CR14" i="5" s="1"/>
  <c r="CU14" i="5" s="1"/>
  <c r="CR15" i="5" s="1"/>
  <c r="CU15" i="5" s="1"/>
  <c r="CR16" i="5" s="1"/>
  <c r="CU16" i="5" s="1"/>
  <c r="CR17" i="5" s="1"/>
  <c r="CU17" i="5" s="1"/>
  <c r="CR18" i="5" s="1"/>
  <c r="CU18" i="5" s="1"/>
  <c r="CR19" i="5" s="1"/>
  <c r="CU19" i="5" s="1"/>
  <c r="CR20" i="5" s="1"/>
  <c r="CU20" i="5" s="1"/>
  <c r="CR21" i="5" s="1"/>
  <c r="CU21" i="5" s="1"/>
  <c r="CR22" i="5" s="1"/>
  <c r="CU22" i="5" s="1"/>
  <c r="Q12" i="5"/>
  <c r="Q18" i="5"/>
  <c r="BN18" i="5"/>
  <c r="BV18" i="5" s="1"/>
  <c r="Q20" i="5"/>
  <c r="P6" i="7"/>
  <c r="AQ6" i="7" s="1"/>
  <c r="AQ8" i="7"/>
  <c r="I95" i="7"/>
  <c r="CG23" i="5"/>
  <c r="CT23" i="5"/>
  <c r="Q21" i="5"/>
  <c r="CI23" i="5"/>
  <c r="BT16" i="5"/>
  <c r="BU16" i="5" s="1"/>
  <c r="T17" i="5"/>
  <c r="T18" i="5"/>
  <c r="T20" i="5"/>
  <c r="G21" i="5"/>
  <c r="I21" i="5" s="1"/>
  <c r="T22" i="5"/>
  <c r="P7" i="7"/>
  <c r="X58" i="7"/>
  <c r="H92" i="7"/>
  <c r="I92" i="7" s="1"/>
  <c r="CC12" i="5"/>
  <c r="CD12" i="5" s="1"/>
  <c r="CC22" i="5"/>
  <c r="CD22" i="5" s="1"/>
  <c r="X66" i="7"/>
  <c r="AC85" i="7"/>
  <c r="Z85" i="7" s="1"/>
  <c r="L23" i="5"/>
  <c r="X23" i="5"/>
  <c r="BD23" i="5"/>
  <c r="BO23" i="5"/>
  <c r="CA23" i="5"/>
  <c r="D23" i="5"/>
  <c r="G14" i="5"/>
  <c r="I14" i="5" s="1"/>
  <c r="BT14" i="5"/>
  <c r="BU14" i="5" s="1"/>
  <c r="T15" i="5"/>
  <c r="CC15" i="5"/>
  <c r="CD15" i="5" s="1"/>
  <c r="BN17" i="5"/>
  <c r="BV17" i="5" s="1"/>
  <c r="G18" i="5"/>
  <c r="I18" i="5" s="1"/>
  <c r="Q22" i="5"/>
  <c r="AR22" i="5"/>
  <c r="AQ11" i="7"/>
  <c r="AQ15" i="7"/>
  <c r="N32" i="7"/>
  <c r="N35" i="7"/>
  <c r="W67" i="7"/>
  <c r="AB81" i="7"/>
  <c r="Y81" i="7" s="1"/>
  <c r="I101" i="7"/>
  <c r="DM23" i="3"/>
  <c r="C23" i="5"/>
  <c r="M23" i="5"/>
  <c r="AB11" i="5"/>
  <c r="BE23" i="5"/>
  <c r="BP23" i="5"/>
  <c r="CB23" i="5"/>
  <c r="AG18" i="5"/>
  <c r="I20" i="5"/>
  <c r="AB20" i="5"/>
  <c r="BH20" i="5"/>
  <c r="BN21" i="5"/>
  <c r="BV21" i="5" s="1"/>
  <c r="G22" i="5"/>
  <c r="I22" i="5" s="1"/>
  <c r="M7" i="7"/>
  <c r="U9" i="7"/>
  <c r="W69" i="7"/>
  <c r="AN79" i="7"/>
  <c r="AO82" i="7"/>
  <c r="DN23" i="3"/>
  <c r="O23" i="5"/>
  <c r="AM11" i="5"/>
  <c r="AM23" i="5" s="1"/>
  <c r="BG23" i="5"/>
  <c r="BQ23" i="5"/>
  <c r="Q13" i="5"/>
  <c r="AG14" i="5"/>
  <c r="AF23" i="5"/>
  <c r="T16" i="5"/>
  <c r="BN16" i="5"/>
  <c r="BV16" i="5" s="1"/>
  <c r="CC17" i="5"/>
  <c r="CD17" i="5" s="1"/>
  <c r="G19" i="5"/>
  <c r="I19" i="5" s="1"/>
  <c r="AR19" i="5"/>
  <c r="AG22" i="5"/>
  <c r="BT22" i="5"/>
  <c r="BU22" i="5" s="1"/>
  <c r="N31" i="7"/>
  <c r="X63" i="7"/>
  <c r="W61" i="7"/>
  <c r="U78" i="7"/>
  <c r="I96" i="7"/>
  <c r="DO23" i="3"/>
  <c r="G11" i="5"/>
  <c r="I11" i="5" s="1"/>
  <c r="P23" i="5"/>
  <c r="AW11" i="5"/>
  <c r="AW23" i="5" s="1"/>
  <c r="BI23" i="5"/>
  <c r="AB12" i="5"/>
  <c r="BT15" i="5"/>
  <c r="BU15" i="5" s="1"/>
  <c r="BT20" i="5"/>
  <c r="BU20" i="5" s="1"/>
  <c r="N21" i="5"/>
  <c r="CC21" i="5"/>
  <c r="CD21" i="5" s="1"/>
  <c r="M6" i="7"/>
  <c r="O7" i="7"/>
  <c r="AQ17" i="7"/>
  <c r="W63" i="7"/>
  <c r="K69" i="7"/>
  <c r="AM84" i="7"/>
  <c r="F23" i="5"/>
  <c r="R23" i="5"/>
  <c r="AC23" i="5"/>
  <c r="BN11" i="5"/>
  <c r="BV11" i="5" s="1"/>
  <c r="BR23" i="5"/>
  <c r="I13" i="5"/>
  <c r="CC16" i="5"/>
  <c r="CD16" i="5" s="1"/>
  <c r="BN19" i="5"/>
  <c r="BV19" i="5" s="1"/>
  <c r="CD20" i="5"/>
  <c r="J18" i="7"/>
  <c r="K68" i="7"/>
  <c r="W65" i="7"/>
  <c r="AN83" i="7"/>
  <c r="AB86" i="7"/>
  <c r="Y86" i="7" s="1"/>
  <c r="AA87" i="7"/>
  <c r="X87" i="7" s="1"/>
  <c r="H23" i="5"/>
  <c r="S23" i="5"/>
  <c r="AD23" i="5"/>
  <c r="BK23" i="5"/>
  <c r="BX23" i="5"/>
  <c r="BJ23" i="5"/>
  <c r="CC14" i="5"/>
  <c r="CD14" i="5" s="1"/>
  <c r="CO23" i="5"/>
  <c r="CQ23" i="5" s="1"/>
  <c r="AG16" i="5"/>
  <c r="Q17" i="5"/>
  <c r="BT17" i="5"/>
  <c r="BU17" i="5" s="1"/>
  <c r="AB18" i="5"/>
  <c r="AG19" i="5"/>
  <c r="AH19" i="5" s="1"/>
  <c r="AG20" i="5"/>
  <c r="AQ14" i="7"/>
  <c r="W64" i="7"/>
  <c r="AB84" i="7"/>
  <c r="Y84" i="7" s="1"/>
  <c r="AE23" i="5"/>
  <c r="BL23" i="5"/>
  <c r="CC11" i="5"/>
  <c r="CD11" i="5" s="1"/>
  <c r="CJ11" i="5"/>
  <c r="CK11" i="5" s="1"/>
  <c r="CF12" i="5" s="1"/>
  <c r="CK12" i="5" s="1"/>
  <c r="CF13" i="5" s="1"/>
  <c r="CK13" i="5" s="1"/>
  <c r="CF14" i="5" s="1"/>
  <c r="CK14" i="5" s="1"/>
  <c r="CF15" i="5" s="1"/>
  <c r="CK15" i="5" s="1"/>
  <c r="CF16" i="5" s="1"/>
  <c r="CK16" i="5" s="1"/>
  <c r="CF17" i="5" s="1"/>
  <c r="CK17" i="5" s="1"/>
  <c r="CF18" i="5" s="1"/>
  <c r="CK18" i="5" s="1"/>
  <c r="CF19" i="5" s="1"/>
  <c r="CK19" i="5" s="1"/>
  <c r="CF20" i="5" s="1"/>
  <c r="CK20" i="5" s="1"/>
  <c r="CF21" i="5" s="1"/>
  <c r="CK21" i="5" s="1"/>
  <c r="CF22" i="5" s="1"/>
  <c r="CK22" i="5" s="1"/>
  <c r="T12" i="5"/>
  <c r="U13" i="5" s="1"/>
  <c r="AG12" i="5"/>
  <c r="AG13" i="5"/>
  <c r="BN13" i="5"/>
  <c r="BV13" i="5" s="1"/>
  <c r="G15" i="5"/>
  <c r="I15" i="5" s="1"/>
  <c r="Q15" i="5"/>
  <c r="BN15" i="5"/>
  <c r="BV15" i="5" s="1"/>
  <c r="N16" i="5"/>
  <c r="G17" i="5"/>
  <c r="I17" i="5" s="1"/>
  <c r="AR17" i="5"/>
  <c r="BF18" i="5"/>
  <c r="BH18" i="5" s="1"/>
  <c r="CC18" i="5"/>
  <c r="CD18" i="5" s="1"/>
  <c r="N19" i="5"/>
  <c r="CC19" i="5"/>
  <c r="CD19" i="5" s="1"/>
  <c r="BT21" i="5"/>
  <c r="BU21" i="5" s="1"/>
  <c r="AB22" i="5"/>
  <c r="BH22" i="5"/>
  <c r="L18" i="7"/>
  <c r="O50" i="7"/>
  <c r="AA78" i="7"/>
  <c r="X78" i="7" s="1"/>
  <c r="I94" i="7"/>
  <c r="R18" i="7"/>
  <c r="U153" i="7"/>
  <c r="P153" i="7"/>
  <c r="R153" i="7" s="1"/>
  <c r="S153" i="7" s="1"/>
  <c r="T153" i="7" s="1"/>
  <c r="AQ9" i="7"/>
  <c r="AB83" i="7"/>
  <c r="Y83" i="7" s="1"/>
  <c r="P152" i="7"/>
  <c r="K18" i="7"/>
  <c r="T18" i="7"/>
  <c r="AR18" i="7" s="1"/>
  <c r="AM79" i="7"/>
  <c r="N28" i="7"/>
  <c r="Q87" i="7"/>
  <c r="U75" i="7"/>
  <c r="AN82" i="7"/>
  <c r="X83" i="7"/>
  <c r="U12" i="7"/>
  <c r="U16" i="7"/>
  <c r="AO17" i="7"/>
  <c r="O49" i="7"/>
  <c r="W68" i="7"/>
  <c r="V75" i="7"/>
  <c r="AN80" i="7"/>
  <c r="F58" i="7"/>
  <c r="S18" i="7"/>
  <c r="U8" i="7"/>
  <c r="AC86" i="7"/>
  <c r="Z86" i="7" s="1"/>
  <c r="AO86" i="7"/>
  <c r="F18" i="7"/>
  <c r="N6" i="7"/>
  <c r="AO6" i="7"/>
  <c r="V79" i="7"/>
  <c r="U79" i="7"/>
  <c r="AA81" i="7"/>
  <c r="X81" i="7" s="1"/>
  <c r="AM85" i="7"/>
  <c r="AN87" i="7"/>
  <c r="AB87" i="7"/>
  <c r="Y87" i="7" s="1"/>
  <c r="C122" i="7"/>
  <c r="H110" i="7"/>
  <c r="C111" i="7" s="1"/>
  <c r="G18" i="7"/>
  <c r="O6" i="7"/>
  <c r="U10" i="7"/>
  <c r="H18" i="7"/>
  <c r="N29" i="7"/>
  <c r="O43" i="7"/>
  <c r="O44" i="7"/>
  <c r="AA80" i="7"/>
  <c r="X80" i="7" s="1"/>
  <c r="AO87" i="7"/>
  <c r="I99" i="7"/>
  <c r="AO13" i="7"/>
  <c r="U13" i="7"/>
  <c r="N34" i="7"/>
  <c r="V58" i="7"/>
  <c r="W60" i="7"/>
  <c r="U77" i="7"/>
  <c r="V77" i="7"/>
  <c r="AM83" i="7"/>
  <c r="AC82" i="7"/>
  <c r="Z82" i="7" s="1"/>
  <c r="AM87" i="7"/>
  <c r="V86" i="7"/>
  <c r="G138" i="7"/>
  <c r="J126" i="7"/>
  <c r="G127" i="7" s="1"/>
  <c r="I18" i="7"/>
  <c r="Q18" i="7"/>
  <c r="I24" i="7"/>
  <c r="K60" i="7"/>
  <c r="O45" i="7"/>
  <c r="O47" i="7"/>
  <c r="AH144" i="7"/>
  <c r="AI144" i="7" s="1"/>
  <c r="AB78" i="7"/>
  <c r="Y78" i="7" s="1"/>
  <c r="Y82" i="7"/>
  <c r="AN84" i="7"/>
  <c r="AN85" i="7"/>
  <c r="V84" i="7"/>
  <c r="U84" i="7"/>
  <c r="H41" i="7"/>
  <c r="O48" i="7"/>
  <c r="M75" i="7"/>
  <c r="AN76" i="7" s="1"/>
  <c r="I142" i="7"/>
  <c r="L98" i="7"/>
  <c r="M98" i="7" s="1"/>
  <c r="AO85" i="7"/>
  <c r="I97" i="7"/>
  <c r="U14" i="7"/>
  <c r="X61" i="7"/>
  <c r="AA86" i="7"/>
  <c r="X86" i="7" s="1"/>
  <c r="AA82" i="7"/>
  <c r="X82" i="7" s="1"/>
  <c r="M41" i="7"/>
  <c r="X62" i="7"/>
  <c r="AN81" i="7"/>
  <c r="V80" i="7"/>
  <c r="V85" i="7"/>
  <c r="U85" i="7"/>
  <c r="S145" i="7"/>
  <c r="S144" i="7" s="1"/>
  <c r="S143" i="7" s="1"/>
  <c r="I16" i="5"/>
  <c r="Q11" i="5"/>
  <c r="BF11" i="5"/>
  <c r="BH11" i="5" s="1"/>
  <c r="E23" i="5"/>
  <c r="CF23" i="5"/>
  <c r="AQ11" i="5"/>
  <c r="AJ23" i="5"/>
  <c r="CQ11" i="5"/>
  <c r="CN12" i="5" s="1"/>
  <c r="CQ12" i="5" s="1"/>
  <c r="CN13" i="5" s="1"/>
  <c r="CQ13" i="5" s="1"/>
  <c r="CN14" i="5" s="1"/>
  <c r="CQ14" i="5" s="1"/>
  <c r="CN15" i="5" s="1"/>
  <c r="CQ15" i="5" s="1"/>
  <c r="CN16" i="5" s="1"/>
  <c r="CQ16" i="5" s="1"/>
  <c r="CN17" i="5" s="1"/>
  <c r="CQ17" i="5" s="1"/>
  <c r="CN18" i="5" s="1"/>
  <c r="CQ18" i="5" s="1"/>
  <c r="CN19" i="5" s="1"/>
  <c r="CQ19" i="5" s="1"/>
  <c r="CN20" i="5" s="1"/>
  <c r="CQ20" i="5" s="1"/>
  <c r="CN21" i="5" s="1"/>
  <c r="CQ21" i="5" s="1"/>
  <c r="CN22" i="5" s="1"/>
  <c r="CQ22" i="5" s="1"/>
  <c r="T11" i="5"/>
  <c r="BA11" i="5"/>
  <c r="BF12" i="5"/>
  <c r="BH12" i="5" s="1"/>
  <c r="BN12" i="5"/>
  <c r="BV12" i="5" s="1"/>
  <c r="BY23" i="5"/>
  <c r="CS23" i="5"/>
  <c r="N11" i="5"/>
  <c r="BT11" i="5"/>
  <c r="DN23" i="2"/>
  <c r="DP23" i="2"/>
  <c r="T157" i="1"/>
  <c r="T158" i="1" s="1"/>
  <c r="K143" i="7" l="1"/>
  <c r="N143" i="7" s="1"/>
  <c r="U6" i="7"/>
  <c r="AH14" i="5"/>
  <c r="AH11" i="5"/>
  <c r="AH17" i="5"/>
  <c r="CU23" i="5"/>
  <c r="AH18" i="5"/>
  <c r="L126" i="7"/>
  <c r="Z23" i="5"/>
  <c r="U19" i="5"/>
  <c r="U15" i="5"/>
  <c r="U22" i="5"/>
  <c r="U14" i="5"/>
  <c r="O58" i="7"/>
  <c r="O41" i="7"/>
  <c r="U23" i="5"/>
  <c r="AH16" i="5"/>
  <c r="AH22" i="5"/>
  <c r="AH15" i="5"/>
  <c r="U20" i="5"/>
  <c r="AB23" i="5"/>
  <c r="AH13" i="5"/>
  <c r="K62" i="7"/>
  <c r="M18" i="7"/>
  <c r="U16" i="5"/>
  <c r="CJ23" i="5"/>
  <c r="CK23" i="5" s="1"/>
  <c r="N33" i="7"/>
  <c r="AN86" i="7"/>
  <c r="AA84" i="7"/>
  <c r="X84" i="7" s="1"/>
  <c r="AH20" i="5"/>
  <c r="N27" i="7"/>
  <c r="U18" i="5"/>
  <c r="U21" i="5"/>
  <c r="N30" i="7"/>
  <c r="N26" i="7"/>
  <c r="M126" i="7"/>
  <c r="BN23" i="5"/>
  <c r="U17" i="5"/>
  <c r="AM78" i="7"/>
  <c r="N23" i="5"/>
  <c r="Q23" i="5"/>
  <c r="G23" i="5"/>
  <c r="P18" i="7"/>
  <c r="AQ18" i="7" s="1"/>
  <c r="AC81" i="7"/>
  <c r="Z81" i="7" s="1"/>
  <c r="AO81" i="7"/>
  <c r="U17" i="7"/>
  <c r="W62" i="7"/>
  <c r="U15" i="7"/>
  <c r="K67" i="7"/>
  <c r="T23" i="5"/>
  <c r="CC23" i="5"/>
  <c r="N18" i="7"/>
  <c r="K65" i="7"/>
  <c r="AH12" i="5"/>
  <c r="U11" i="7"/>
  <c r="AG23" i="5"/>
  <c r="W66" i="7"/>
  <c r="AM82" i="7"/>
  <c r="L128" i="7"/>
  <c r="O18" i="7"/>
  <c r="AM80" i="7"/>
  <c r="O46" i="7"/>
  <c r="AC80" i="7"/>
  <c r="Z80" i="7" s="1"/>
  <c r="AO80" i="7"/>
  <c r="AC84" i="7"/>
  <c r="Z84" i="7" s="1"/>
  <c r="AO84" i="7"/>
  <c r="AC79" i="7"/>
  <c r="Z79" i="7" s="1"/>
  <c r="AO79" i="7"/>
  <c r="AH142" i="7"/>
  <c r="AI142" i="7" s="1"/>
  <c r="AB76" i="7"/>
  <c r="Y76" i="7" s="1"/>
  <c r="K61" i="7"/>
  <c r="K66" i="7"/>
  <c r="N24" i="7"/>
  <c r="AO83" i="7"/>
  <c r="AC83" i="7"/>
  <c r="Z83" i="7" s="1"/>
  <c r="K58" i="7"/>
  <c r="I110" i="7"/>
  <c r="AN78" i="7"/>
  <c r="O52" i="7"/>
  <c r="K64" i="7"/>
  <c r="BH23" i="5"/>
  <c r="BU11" i="5"/>
  <c r="BT23" i="5"/>
  <c r="BB11" i="5"/>
  <c r="BA23" i="5"/>
  <c r="U12" i="5"/>
  <c r="AR11" i="5"/>
  <c r="AQ23" i="5"/>
  <c r="BF23" i="5"/>
  <c r="S149" i="1"/>
  <c r="P58" i="7" l="1"/>
  <c r="L129" i="7"/>
  <c r="AC78" i="7"/>
  <c r="Z78" i="7" s="1"/>
  <c r="AO78" i="7"/>
  <c r="T159" i="7"/>
  <c r="N86" i="1"/>
  <c r="W58" i="7" l="1"/>
  <c r="M128" i="7"/>
  <c r="I112" i="7"/>
  <c r="L131" i="7"/>
  <c r="L130" i="7"/>
  <c r="BD31" i="2"/>
  <c r="BD32" i="2" s="1"/>
  <c r="BE28" i="2"/>
  <c r="I113" i="7" l="1"/>
  <c r="M129" i="7"/>
  <c r="T17" i="1"/>
  <c r="S17" i="1"/>
  <c r="R17" i="1"/>
  <c r="Q17" i="1"/>
  <c r="L17" i="1"/>
  <c r="K17" i="1"/>
  <c r="J17" i="1"/>
  <c r="I17" i="1"/>
  <c r="H17" i="1"/>
  <c r="G17" i="1"/>
  <c r="F17" i="1"/>
  <c r="E17" i="1"/>
  <c r="L132" i="7" l="1"/>
  <c r="M130" i="7"/>
  <c r="I114" i="7"/>
  <c r="P148" i="1"/>
  <c r="P147" i="1" s="1"/>
  <c r="P146" i="1" s="1"/>
  <c r="P145" i="1" s="1"/>
  <c r="P144" i="1" s="1"/>
  <c r="P143" i="1" s="1"/>
  <c r="P142" i="1" s="1"/>
  <c r="L133" i="7" l="1"/>
  <c r="M131" i="7"/>
  <c r="I115" i="7"/>
  <c r="M103" i="1"/>
  <c r="I116" i="7" l="1"/>
  <c r="L135" i="7"/>
  <c r="L134" i="7"/>
  <c r="M132" i="7"/>
  <c r="J51" i="1"/>
  <c r="O85" i="1"/>
  <c r="L85" i="1"/>
  <c r="K85" i="1"/>
  <c r="S68" i="1"/>
  <c r="R68" i="1"/>
  <c r="R67" i="1"/>
  <c r="Q68" i="1"/>
  <c r="O68" i="1"/>
  <c r="C68" i="1"/>
  <c r="L51" i="1"/>
  <c r="K51" i="1"/>
  <c r="I51" i="1"/>
  <c r="G51" i="1"/>
  <c r="H68" i="1" s="1"/>
  <c r="F51" i="1"/>
  <c r="D51" i="1"/>
  <c r="C51" i="1"/>
  <c r="S16" i="1"/>
  <c r="R16" i="1"/>
  <c r="Q16" i="1"/>
  <c r="K16" i="1"/>
  <c r="J16" i="1"/>
  <c r="I16" i="1"/>
  <c r="G16" i="1"/>
  <c r="F16" i="1"/>
  <c r="E16" i="1"/>
  <c r="M133" i="7" l="1"/>
  <c r="L136" i="7"/>
  <c r="I117" i="7"/>
  <c r="E51" i="1"/>
  <c r="S11" i="1"/>
  <c r="R11" i="1"/>
  <c r="M134" i="7" l="1"/>
  <c r="I118" i="7"/>
  <c r="F138" i="7"/>
  <c r="CP22" i="4"/>
  <c r="CO22" i="4"/>
  <c r="CP21" i="4"/>
  <c r="CO21" i="4"/>
  <c r="CP20" i="4"/>
  <c r="CO20" i="4"/>
  <c r="CP19" i="4"/>
  <c r="CO19" i="4"/>
  <c r="CP18" i="4"/>
  <c r="CO18" i="4"/>
  <c r="CP17" i="4"/>
  <c r="CO17" i="4"/>
  <c r="CP16" i="4"/>
  <c r="CO16" i="4"/>
  <c r="CP15" i="4"/>
  <c r="CO15" i="4"/>
  <c r="CP14" i="4"/>
  <c r="CO14" i="4"/>
  <c r="CP13" i="4"/>
  <c r="CO13" i="4"/>
  <c r="CP12" i="4"/>
  <c r="CO12" i="4"/>
  <c r="CO11" i="4"/>
  <c r="CN11" i="4"/>
  <c r="L137" i="7" l="1"/>
  <c r="M135" i="7"/>
  <c r="I119" i="7"/>
  <c r="BG22" i="4"/>
  <c r="BE22" i="4"/>
  <c r="BF22" i="4" s="1"/>
  <c r="BD22" i="4"/>
  <c r="BD21" i="4"/>
  <c r="BE21" i="4"/>
  <c r="BF21" i="4" s="1"/>
  <c r="BG21" i="4"/>
  <c r="BG20" i="4"/>
  <c r="BE20" i="4"/>
  <c r="BF20" i="4" s="1"/>
  <c r="BD20" i="4"/>
  <c r="BD19" i="4"/>
  <c r="BE19" i="4"/>
  <c r="BF19" i="4" s="1"/>
  <c r="BG19" i="4"/>
  <c r="BD18" i="4"/>
  <c r="BE18" i="4"/>
  <c r="BF18" i="4" s="1"/>
  <c r="BG18" i="4"/>
  <c r="BG17" i="4"/>
  <c r="BE17" i="4"/>
  <c r="BF17" i="4" s="1"/>
  <c r="BD17" i="4"/>
  <c r="BD16" i="4"/>
  <c r="BE16" i="4"/>
  <c r="BF16" i="4" s="1"/>
  <c r="BG16" i="4"/>
  <c r="BG15" i="4"/>
  <c r="BE15" i="4"/>
  <c r="BF15" i="4" s="1"/>
  <c r="BD15" i="4"/>
  <c r="BD14" i="4"/>
  <c r="BE14" i="4"/>
  <c r="BF14" i="4" s="1"/>
  <c r="BG14" i="4"/>
  <c r="BG12" i="4"/>
  <c r="BG13" i="4"/>
  <c r="BE13" i="4"/>
  <c r="BF13" i="4" s="1"/>
  <c r="BD13" i="4"/>
  <c r="BE12" i="4"/>
  <c r="BF12" i="4" s="1"/>
  <c r="BD12" i="4"/>
  <c r="BG11" i="4"/>
  <c r="BE11" i="4"/>
  <c r="BF11" i="4" s="1"/>
  <c r="BD11" i="4"/>
  <c r="BR22" i="4"/>
  <c r="BR21" i="4"/>
  <c r="BR20" i="4"/>
  <c r="BR19" i="4"/>
  <c r="BR18" i="4"/>
  <c r="BR17" i="4"/>
  <c r="BR16" i="4"/>
  <c r="BR15" i="4"/>
  <c r="BR14" i="4"/>
  <c r="BR13" i="4"/>
  <c r="BR12" i="4"/>
  <c r="BQ22" i="4"/>
  <c r="BQ21" i="4"/>
  <c r="BQ20" i="4"/>
  <c r="BQ19" i="4"/>
  <c r="BQ18" i="4"/>
  <c r="BQ17" i="4"/>
  <c r="BQ16" i="4"/>
  <c r="BQ15" i="4"/>
  <c r="BQ14" i="4"/>
  <c r="BQ13" i="4"/>
  <c r="BQ12" i="4"/>
  <c r="BP22" i="4"/>
  <c r="BP21" i="4"/>
  <c r="BP20" i="4"/>
  <c r="BP19" i="4"/>
  <c r="BP18" i="4"/>
  <c r="BP17" i="4"/>
  <c r="BP16" i="4"/>
  <c r="BP15" i="4"/>
  <c r="BP14" i="4"/>
  <c r="BP13" i="4"/>
  <c r="BP12" i="4"/>
  <c r="BO22" i="4"/>
  <c r="BO21" i="4"/>
  <c r="BO20" i="4"/>
  <c r="BO19" i="4"/>
  <c r="BO18" i="4"/>
  <c r="BO17" i="4"/>
  <c r="BO16" i="4"/>
  <c r="BO15" i="4"/>
  <c r="BO14" i="4"/>
  <c r="BO13" i="4"/>
  <c r="BO12" i="4"/>
  <c r="BM11" i="4"/>
  <c r="M136" i="7" l="1"/>
  <c r="I121" i="7"/>
  <c r="M137" i="7"/>
  <c r="I120" i="7"/>
  <c r="BT22" i="4"/>
  <c r="BT18" i="4"/>
  <c r="BT20" i="4"/>
  <c r="BT21" i="4"/>
  <c r="BT17" i="4"/>
  <c r="BT19" i="4"/>
  <c r="BR11" i="4"/>
  <c r="BQ11" i="4"/>
  <c r="BP11" i="4"/>
  <c r="BO11" i="4"/>
  <c r="BM22" i="4"/>
  <c r="BM21" i="4"/>
  <c r="BM20" i="4"/>
  <c r="BM19" i="4"/>
  <c r="BM18" i="4"/>
  <c r="BM17" i="4"/>
  <c r="BM16" i="4"/>
  <c r="BM15" i="4"/>
  <c r="BM14" i="4"/>
  <c r="BM13" i="4"/>
  <c r="BM12" i="4"/>
  <c r="BL22" i="4"/>
  <c r="BL21" i="4"/>
  <c r="BL20" i="4"/>
  <c r="BL19" i="4"/>
  <c r="BL18" i="4"/>
  <c r="BL17" i="4"/>
  <c r="BL16" i="4"/>
  <c r="BL15" i="4"/>
  <c r="BL14" i="4"/>
  <c r="BL13" i="4"/>
  <c r="BL12" i="4"/>
  <c r="BL11" i="4"/>
  <c r="BK22" i="4"/>
  <c r="BK21" i="4"/>
  <c r="BK20" i="4"/>
  <c r="BK19" i="4"/>
  <c r="BK18" i="4"/>
  <c r="BK17" i="4"/>
  <c r="BK16" i="4"/>
  <c r="BK15" i="4"/>
  <c r="BK14" i="4"/>
  <c r="BK13" i="4"/>
  <c r="BK12" i="4"/>
  <c r="BK11" i="4"/>
  <c r="BJ22" i="4"/>
  <c r="BJ21" i="4"/>
  <c r="BJ20" i="4"/>
  <c r="BJ19" i="4"/>
  <c r="BJ18" i="4"/>
  <c r="BJ17" i="4"/>
  <c r="BJ16" i="4"/>
  <c r="BJ15" i="4"/>
  <c r="BJ14" i="4"/>
  <c r="BJ13" i="4"/>
  <c r="BJ12" i="4"/>
  <c r="BJ11" i="4"/>
  <c r="BI22" i="4"/>
  <c r="BI21" i="4"/>
  <c r="BI20" i="4"/>
  <c r="BI19" i="4"/>
  <c r="BI18" i="4"/>
  <c r="BI17" i="4"/>
  <c r="BI16" i="4"/>
  <c r="BI15" i="4"/>
  <c r="BI14" i="4"/>
  <c r="BI13" i="4"/>
  <c r="BI12" i="4"/>
  <c r="BI11" i="4"/>
  <c r="AJ22" i="4"/>
  <c r="AJ21" i="4"/>
  <c r="AJ20" i="4"/>
  <c r="AJ19" i="4"/>
  <c r="AJ18" i="4"/>
  <c r="AJ17" i="4"/>
  <c r="AJ16" i="4"/>
  <c r="AJ15" i="4"/>
  <c r="AJ14" i="4"/>
  <c r="AJ13" i="4"/>
  <c r="AJ11" i="4"/>
  <c r="AJ12" i="4"/>
  <c r="CT22" i="3"/>
  <c r="CT21" i="3"/>
  <c r="CT20" i="3"/>
  <c r="CT19" i="3"/>
  <c r="CT18" i="3"/>
  <c r="CT17" i="3"/>
  <c r="CT16" i="3"/>
  <c r="CT15" i="3"/>
  <c r="CT14" i="3"/>
  <c r="CT13" i="3"/>
  <c r="CT12" i="3"/>
  <c r="CS22" i="3"/>
  <c r="CS21" i="3"/>
  <c r="CS20" i="3"/>
  <c r="CS19" i="3"/>
  <c r="CS18" i="3"/>
  <c r="CS17" i="3"/>
  <c r="CS16" i="3"/>
  <c r="CS15" i="3"/>
  <c r="CS14" i="3"/>
  <c r="CS13" i="3"/>
  <c r="CS12" i="3"/>
  <c r="CT11" i="3"/>
  <c r="CS11" i="3"/>
  <c r="CR11" i="3"/>
  <c r="CO22" i="3"/>
  <c r="CO21" i="3"/>
  <c r="CO20" i="3"/>
  <c r="CO19" i="3"/>
  <c r="CO18" i="3"/>
  <c r="CO17" i="3"/>
  <c r="CO16" i="3"/>
  <c r="CO15" i="3"/>
  <c r="CO12" i="3"/>
  <c r="CO13" i="3"/>
  <c r="CO14" i="3"/>
  <c r="CP11" i="3"/>
  <c r="CO11" i="3"/>
  <c r="CN11" i="3"/>
  <c r="CI22" i="3"/>
  <c r="CI21" i="3"/>
  <c r="CI20" i="3"/>
  <c r="CI19" i="3"/>
  <c r="CI18" i="3"/>
  <c r="CI17" i="3"/>
  <c r="CI16" i="3"/>
  <c r="CI15" i="3"/>
  <c r="CI14" i="3"/>
  <c r="CI13" i="3"/>
  <c r="CI12" i="3"/>
  <c r="CG22" i="3"/>
  <c r="CG21" i="3"/>
  <c r="CG20" i="3"/>
  <c r="CG19" i="3"/>
  <c r="CG18" i="3"/>
  <c r="CG17" i="3"/>
  <c r="CG16" i="3"/>
  <c r="CG15" i="3"/>
  <c r="CG14" i="3"/>
  <c r="CG13" i="3"/>
  <c r="CG12" i="3"/>
  <c r="CI11" i="3"/>
  <c r="CG11" i="3"/>
  <c r="CF11" i="3"/>
  <c r="BG13" i="3"/>
  <c r="BG14" i="3"/>
  <c r="BG15" i="3"/>
  <c r="BG16" i="3"/>
  <c r="BG17" i="3"/>
  <c r="BG18" i="3"/>
  <c r="BG19" i="3"/>
  <c r="BG20" i="3"/>
  <c r="BG21" i="3"/>
  <c r="BG22" i="3"/>
  <c r="BG12" i="3"/>
  <c r="BG11" i="3"/>
  <c r="BE22" i="3"/>
  <c r="BF22" i="3" s="1"/>
  <c r="BE21" i="3"/>
  <c r="BF21" i="3" s="1"/>
  <c r="BE20" i="3"/>
  <c r="BF20" i="3" s="1"/>
  <c r="BE19" i="3"/>
  <c r="BF19" i="3" s="1"/>
  <c r="BE18" i="3"/>
  <c r="BF18" i="3" s="1"/>
  <c r="BE17" i="3"/>
  <c r="BF17" i="3" s="1"/>
  <c r="BE16" i="3"/>
  <c r="BF16" i="3" s="1"/>
  <c r="BE15" i="3"/>
  <c r="BF15" i="3" s="1"/>
  <c r="BE14" i="3"/>
  <c r="BF14" i="3" s="1"/>
  <c r="BE13" i="3"/>
  <c r="BF13" i="3" s="1"/>
  <c r="BE12" i="3"/>
  <c r="BF12" i="3" s="1"/>
  <c r="BE11" i="3"/>
  <c r="BF11" i="3" s="1"/>
  <c r="BD22" i="3"/>
  <c r="BD21" i="3"/>
  <c r="BD20" i="3"/>
  <c r="BD19" i="3"/>
  <c r="BD18" i="3"/>
  <c r="BD17" i="3"/>
  <c r="BD16" i="3"/>
  <c r="BD15" i="3"/>
  <c r="BD14" i="3"/>
  <c r="BD13" i="3"/>
  <c r="BD12" i="3"/>
  <c r="BD11" i="3"/>
  <c r="AZ22" i="3"/>
  <c r="AZ21" i="3"/>
  <c r="AZ20" i="3"/>
  <c r="AZ19" i="3"/>
  <c r="AZ18" i="3"/>
  <c r="AZ17" i="3"/>
  <c r="AZ16" i="3"/>
  <c r="AZ15" i="3"/>
  <c r="AZ14" i="3"/>
  <c r="AZ13" i="3"/>
  <c r="AZ12" i="3"/>
  <c r="AY22" i="3"/>
  <c r="AY21" i="3"/>
  <c r="AY20" i="3"/>
  <c r="AY19" i="3"/>
  <c r="AY18" i="3"/>
  <c r="AY17" i="3"/>
  <c r="AY16" i="3"/>
  <c r="AY15" i="3"/>
  <c r="AY14" i="3"/>
  <c r="AY13" i="3"/>
  <c r="AY12" i="3"/>
  <c r="AX22" i="3"/>
  <c r="AX21" i="3"/>
  <c r="AX20" i="3"/>
  <c r="AX19" i="3"/>
  <c r="AX18" i="3"/>
  <c r="AX17" i="3"/>
  <c r="AX16" i="3"/>
  <c r="AX15" i="3"/>
  <c r="AX14" i="3"/>
  <c r="AX13" i="3"/>
  <c r="AX12" i="3"/>
  <c r="AV22" i="3"/>
  <c r="AV21" i="3"/>
  <c r="AV20" i="3"/>
  <c r="AV19" i="3"/>
  <c r="AV18" i="3"/>
  <c r="AV17" i="3"/>
  <c r="AV16" i="3"/>
  <c r="AV15" i="3"/>
  <c r="AV14" i="3"/>
  <c r="AV13" i="3"/>
  <c r="AV12" i="3"/>
  <c r="AU22" i="3"/>
  <c r="AU21" i="3"/>
  <c r="AU20" i="3"/>
  <c r="AU19" i="3"/>
  <c r="AU18" i="3"/>
  <c r="AU17" i="3"/>
  <c r="AU16" i="3"/>
  <c r="AU15" i="3"/>
  <c r="AU14" i="3"/>
  <c r="AU13" i="3"/>
  <c r="AU12" i="3"/>
  <c r="AT22" i="3"/>
  <c r="AT21" i="3"/>
  <c r="AT20" i="3"/>
  <c r="AT19" i="3"/>
  <c r="AT18" i="3"/>
  <c r="AT17" i="3"/>
  <c r="AT16" i="3"/>
  <c r="AT15" i="3"/>
  <c r="AT14" i="3"/>
  <c r="AT13" i="3"/>
  <c r="AT12" i="3"/>
  <c r="AZ11" i="3"/>
  <c r="AY11" i="3"/>
  <c r="AX11" i="3"/>
  <c r="AV11" i="3"/>
  <c r="AU11" i="3"/>
  <c r="AT11" i="3"/>
  <c r="AO22" i="3"/>
  <c r="AO21" i="3"/>
  <c r="AO20" i="3"/>
  <c r="AO19" i="3"/>
  <c r="AO18" i="3"/>
  <c r="AO17" i="3"/>
  <c r="AO16" i="3"/>
  <c r="AO15" i="3"/>
  <c r="AO14" i="3"/>
  <c r="AO13" i="3"/>
  <c r="AO12" i="3"/>
  <c r="AN22" i="3"/>
  <c r="AN21" i="3"/>
  <c r="AN20" i="3"/>
  <c r="AN19" i="3"/>
  <c r="AN18" i="3"/>
  <c r="AN17" i="3"/>
  <c r="AN16" i="3"/>
  <c r="AN15" i="3"/>
  <c r="AN14" i="3"/>
  <c r="AN13" i="3"/>
  <c r="AN12" i="3"/>
  <c r="AL22" i="3"/>
  <c r="AL21" i="3"/>
  <c r="AL20" i="3"/>
  <c r="AL19" i="3"/>
  <c r="AL18" i="3"/>
  <c r="AL17" i="3"/>
  <c r="AL16" i="3"/>
  <c r="AL15" i="3"/>
  <c r="AL14" i="3"/>
  <c r="AL13" i="3"/>
  <c r="AL12" i="3"/>
  <c r="AK22" i="3"/>
  <c r="AK21" i="3"/>
  <c r="AK20" i="3"/>
  <c r="AK19" i="3"/>
  <c r="AK18" i="3"/>
  <c r="AK17" i="3"/>
  <c r="AK16" i="3"/>
  <c r="AK15" i="3"/>
  <c r="AK14" i="3"/>
  <c r="AK13" i="3"/>
  <c r="AK12" i="3"/>
  <c r="AJ22" i="3"/>
  <c r="AJ21" i="3"/>
  <c r="AJ20" i="3"/>
  <c r="AJ19" i="3"/>
  <c r="AJ18" i="3"/>
  <c r="AJ17" i="3"/>
  <c r="AJ16" i="3"/>
  <c r="AJ15" i="3"/>
  <c r="AJ14" i="3"/>
  <c r="AJ13" i="3"/>
  <c r="AJ12" i="3"/>
  <c r="AM16" i="3" l="1"/>
  <c r="AM19" i="3"/>
  <c r="CQ11" i="3"/>
  <c r="BN12" i="4"/>
  <c r="BN18" i="4"/>
  <c r="AM21" i="3"/>
  <c r="AM13" i="3"/>
  <c r="CU11" i="3"/>
  <c r="BN19" i="4"/>
  <c r="BN20" i="4"/>
  <c r="BN17" i="4"/>
  <c r="AM20" i="3"/>
  <c r="BN15" i="4"/>
  <c r="AM12" i="3"/>
  <c r="AM14" i="3"/>
  <c r="AM22" i="3"/>
  <c r="BN13" i="4"/>
  <c r="BN21" i="4"/>
  <c r="AM18" i="3"/>
  <c r="AM15" i="3"/>
  <c r="BN14" i="4"/>
  <c r="BN22" i="4"/>
  <c r="AM17" i="3"/>
  <c r="BN16" i="4"/>
  <c r="BG23" i="3"/>
  <c r="BK22" i="3"/>
  <c r="BJ22" i="3"/>
  <c r="BI22" i="3"/>
  <c r="BK21" i="3"/>
  <c r="BJ21" i="3"/>
  <c r="BI21" i="3"/>
  <c r="BK20" i="3"/>
  <c r="BJ20" i="3"/>
  <c r="BI20" i="3"/>
  <c r="BK19" i="3"/>
  <c r="BJ19" i="3"/>
  <c r="BI19" i="3"/>
  <c r="BK18" i="3"/>
  <c r="BJ18" i="3"/>
  <c r="BI18" i="3"/>
  <c r="BK17" i="3"/>
  <c r="BJ17" i="3"/>
  <c r="BI17" i="3"/>
  <c r="BK16" i="3"/>
  <c r="BJ16" i="3"/>
  <c r="BI16" i="3"/>
  <c r="BK15" i="3"/>
  <c r="BJ15" i="3"/>
  <c r="BI15" i="3"/>
  <c r="BK14" i="3"/>
  <c r="BJ14" i="3"/>
  <c r="BI14" i="3"/>
  <c r="BK13" i="3"/>
  <c r="BJ13" i="3"/>
  <c r="BI13" i="3"/>
  <c r="BM12" i="3"/>
  <c r="BL12" i="3"/>
  <c r="BK12" i="3"/>
  <c r="BJ12" i="3"/>
  <c r="BI12" i="3"/>
  <c r="BL13" i="3"/>
  <c r="BM13" i="3"/>
  <c r="BL14" i="3"/>
  <c r="BM14" i="3"/>
  <c r="BL15" i="3"/>
  <c r="BM15" i="3"/>
  <c r="BL16" i="3"/>
  <c r="BM16" i="3"/>
  <c r="BL17" i="3"/>
  <c r="BM17" i="3"/>
  <c r="BL18" i="3"/>
  <c r="BM18" i="3"/>
  <c r="BL19" i="3"/>
  <c r="BM19" i="3"/>
  <c r="BL20" i="3"/>
  <c r="BM20" i="3"/>
  <c r="BL21" i="3"/>
  <c r="BM21" i="3"/>
  <c r="BL22" i="3"/>
  <c r="BM22" i="3"/>
  <c r="BI11" i="3"/>
  <c r="BM11" i="3"/>
  <c r="BL11" i="3"/>
  <c r="BK11" i="3"/>
  <c r="BJ11" i="3"/>
  <c r="BR22" i="3"/>
  <c r="BR21" i="3"/>
  <c r="BR20" i="3"/>
  <c r="BR19" i="3"/>
  <c r="BR18" i="3"/>
  <c r="BR17" i="3"/>
  <c r="BR16" i="3"/>
  <c r="BR15" i="3"/>
  <c r="BR13" i="3"/>
  <c r="BR14" i="3"/>
  <c r="BR12" i="3"/>
  <c r="BR11" i="3"/>
  <c r="BQ22" i="3"/>
  <c r="BQ21" i="3"/>
  <c r="BQ20" i="3"/>
  <c r="BQ19" i="3"/>
  <c r="BQ18" i="3"/>
  <c r="BQ17" i="3"/>
  <c r="BQ16" i="3"/>
  <c r="BQ15" i="3"/>
  <c r="BQ14" i="3"/>
  <c r="BQ13" i="3"/>
  <c r="BQ12" i="3"/>
  <c r="BQ11" i="3"/>
  <c r="BP22" i="3"/>
  <c r="BP21" i="3"/>
  <c r="BP20" i="3"/>
  <c r="BP19" i="3"/>
  <c r="BP18" i="3"/>
  <c r="BP17" i="3"/>
  <c r="BP16" i="3"/>
  <c r="BP15" i="3"/>
  <c r="BP14" i="3"/>
  <c r="BP13" i="3"/>
  <c r="BP12" i="3"/>
  <c r="BP11" i="3"/>
  <c r="BO22" i="3"/>
  <c r="BO21" i="3"/>
  <c r="BO20" i="3"/>
  <c r="BO19" i="3"/>
  <c r="BO18" i="3"/>
  <c r="BO17" i="3"/>
  <c r="BO16" i="3"/>
  <c r="BO15" i="3"/>
  <c r="BO14" i="3"/>
  <c r="BO13" i="3"/>
  <c r="BO12" i="3"/>
  <c r="BO11" i="3"/>
  <c r="BT16" i="3" l="1"/>
  <c r="BT13" i="3"/>
  <c r="BT22" i="3"/>
  <c r="BT15" i="3"/>
  <c r="BT14" i="3"/>
  <c r="BN21" i="3"/>
  <c r="BT17" i="3"/>
  <c r="BT21" i="3"/>
  <c r="BT18" i="3"/>
  <c r="BT19" i="3"/>
  <c r="BT12" i="3"/>
  <c r="BT20" i="3"/>
  <c r="BN17" i="3"/>
  <c r="BN20" i="3"/>
  <c r="BN18" i="3"/>
  <c r="BN19" i="3"/>
  <c r="BN22" i="3"/>
  <c r="T80" i="1"/>
  <c r="AF40" i="2" l="1"/>
  <c r="AF39" i="2"/>
  <c r="AF38" i="2"/>
  <c r="AF37" i="2"/>
  <c r="AF36" i="2"/>
  <c r="AF35" i="2"/>
  <c r="AF34" i="2"/>
  <c r="AF33" i="2"/>
  <c r="AF32" i="2"/>
  <c r="AF31" i="2"/>
  <c r="AF30" i="2"/>
  <c r="AF29" i="2"/>
  <c r="AE40" i="2"/>
  <c r="AE39" i="2"/>
  <c r="AE38" i="2"/>
  <c r="AE37" i="2"/>
  <c r="AG37" i="2" s="1"/>
  <c r="AE36" i="2"/>
  <c r="AE35" i="2"/>
  <c r="AE34" i="2"/>
  <c r="AE33" i="2"/>
  <c r="AE32" i="2"/>
  <c r="AE31" i="2"/>
  <c r="AE30" i="2"/>
  <c r="AE29" i="2"/>
  <c r="AG40" i="2" l="1"/>
  <c r="AG32" i="2"/>
  <c r="AG34" i="2"/>
  <c r="AG36" i="2"/>
  <c r="AG38" i="2"/>
  <c r="AG39" i="2"/>
  <c r="AG30" i="2"/>
  <c r="AG31" i="2"/>
  <c r="AG33" i="2"/>
  <c r="AG35" i="2"/>
  <c r="AF41" i="2"/>
  <c r="AE41" i="2"/>
  <c r="AG29" i="2"/>
  <c r="AP22" i="4"/>
  <c r="AP21" i="4"/>
  <c r="AP20" i="4"/>
  <c r="AP19" i="4"/>
  <c r="AP18" i="4"/>
  <c r="AP17" i="4"/>
  <c r="AP16" i="4"/>
  <c r="AP15" i="4"/>
  <c r="AP14" i="4"/>
  <c r="AP13" i="4"/>
  <c r="AP12" i="4"/>
  <c r="AP11" i="4"/>
  <c r="AP22" i="3"/>
  <c r="AQ22" i="3" s="1"/>
  <c r="AP21" i="3"/>
  <c r="AQ21" i="3" s="1"/>
  <c r="AP20" i="3"/>
  <c r="AQ20" i="3" s="1"/>
  <c r="AP19" i="3"/>
  <c r="AQ19" i="3" s="1"/>
  <c r="AP18" i="3"/>
  <c r="AQ18" i="3" s="1"/>
  <c r="AP17" i="3"/>
  <c r="AQ17" i="3" s="1"/>
  <c r="AP16" i="3"/>
  <c r="AQ16" i="3" s="1"/>
  <c r="AP15" i="3"/>
  <c r="AQ15" i="3" s="1"/>
  <c r="AP14" i="3"/>
  <c r="AQ14" i="3" s="1"/>
  <c r="AP13" i="3"/>
  <c r="AQ13" i="3" s="1"/>
  <c r="AP12" i="3"/>
  <c r="AQ12" i="3" s="1"/>
  <c r="AG41" i="2" l="1"/>
  <c r="CP22" i="3"/>
  <c r="CP21" i="3"/>
  <c r="CP20" i="3"/>
  <c r="CP19" i="3"/>
  <c r="CP18" i="3"/>
  <c r="CP17" i="3"/>
  <c r="CP16" i="3"/>
  <c r="CP15" i="3"/>
  <c r="CP14" i="3"/>
  <c r="CP13" i="3"/>
  <c r="CP12" i="3"/>
  <c r="CP11" i="4"/>
  <c r="K98" i="1" l="1"/>
  <c r="R91" i="1"/>
  <c r="CT22" i="2" l="1"/>
  <c r="CT21" i="2"/>
  <c r="CT20" i="2"/>
  <c r="CT19" i="2"/>
  <c r="CT18" i="2"/>
  <c r="CT17" i="2"/>
  <c r="CT16" i="2"/>
  <c r="CT15" i="2"/>
  <c r="CT14" i="2"/>
  <c r="CT13" i="2"/>
  <c r="CT12" i="2"/>
  <c r="CT11" i="2"/>
  <c r="CS22" i="2"/>
  <c r="CS21" i="2"/>
  <c r="CS20" i="2"/>
  <c r="CS19" i="2"/>
  <c r="CS18" i="2"/>
  <c r="CS17" i="2"/>
  <c r="CS16" i="2"/>
  <c r="CS15" i="2"/>
  <c r="CS14" i="2"/>
  <c r="CS13" i="2"/>
  <c r="CS12" i="2"/>
  <c r="CS11" i="2"/>
  <c r="CR22" i="2"/>
  <c r="CR21" i="2"/>
  <c r="CR20" i="2"/>
  <c r="CR19" i="2"/>
  <c r="CR18" i="2"/>
  <c r="CR17" i="2"/>
  <c r="CR16" i="2"/>
  <c r="CR15" i="2"/>
  <c r="CR14" i="2"/>
  <c r="CR13" i="2"/>
  <c r="CR12" i="2"/>
  <c r="CR11" i="2"/>
  <c r="CP22" i="2"/>
  <c r="CP21" i="2"/>
  <c r="CP20" i="2"/>
  <c r="CP19" i="2"/>
  <c r="CP18" i="2"/>
  <c r="CP17" i="2"/>
  <c r="CP16" i="2"/>
  <c r="CP15" i="2"/>
  <c r="CP14" i="2"/>
  <c r="CP13" i="2"/>
  <c r="CP12" i="2"/>
  <c r="CP11" i="2"/>
  <c r="CO22" i="2"/>
  <c r="CO21" i="2"/>
  <c r="CO20" i="2"/>
  <c r="CO19" i="2"/>
  <c r="CO18" i="2"/>
  <c r="CO17" i="2"/>
  <c r="CO16" i="2"/>
  <c r="CO15" i="2"/>
  <c r="CO14" i="2"/>
  <c r="CO13" i="2"/>
  <c r="CO12" i="2"/>
  <c r="CO11" i="2"/>
  <c r="CN22" i="2"/>
  <c r="CN21" i="2"/>
  <c r="CN20" i="2"/>
  <c r="CN19" i="2"/>
  <c r="CN18" i="2"/>
  <c r="CN17" i="2"/>
  <c r="CN16" i="2"/>
  <c r="CN15" i="2"/>
  <c r="CN14" i="2"/>
  <c r="CN13" i="2"/>
  <c r="CN12" i="2"/>
  <c r="CN11" i="2"/>
  <c r="CI22" i="2"/>
  <c r="CI21" i="2"/>
  <c r="CI20" i="2"/>
  <c r="CI19" i="2"/>
  <c r="CI18" i="2"/>
  <c r="CI17" i="2"/>
  <c r="CI16" i="2"/>
  <c r="CI15" i="2"/>
  <c r="CI14" i="2"/>
  <c r="CI13" i="2"/>
  <c r="CI12" i="2"/>
  <c r="CI11" i="2"/>
  <c r="CG22" i="2"/>
  <c r="CG21" i="2"/>
  <c r="CG20" i="2"/>
  <c r="CG19" i="2"/>
  <c r="CG18" i="2"/>
  <c r="CG17" i="2"/>
  <c r="CG16" i="2"/>
  <c r="CG15" i="2"/>
  <c r="CG14" i="2"/>
  <c r="CG13" i="2"/>
  <c r="CG12" i="2"/>
  <c r="CG11" i="2"/>
  <c r="CF22" i="2"/>
  <c r="CF21" i="2"/>
  <c r="CF20" i="2"/>
  <c r="CF19" i="2"/>
  <c r="CF18" i="2"/>
  <c r="CF17" i="2"/>
  <c r="CF16" i="2"/>
  <c r="CF15" i="2"/>
  <c r="CF14" i="2"/>
  <c r="CF13" i="2"/>
  <c r="CF12" i="2"/>
  <c r="CF11" i="2"/>
  <c r="BR22" i="2"/>
  <c r="BR21" i="2"/>
  <c r="BR20" i="2"/>
  <c r="BR19" i="2"/>
  <c r="BR18" i="2"/>
  <c r="BR17" i="2"/>
  <c r="BR16" i="2"/>
  <c r="BR15" i="2"/>
  <c r="BR14" i="2"/>
  <c r="BR13" i="2"/>
  <c r="BR12" i="2"/>
  <c r="BR11" i="2"/>
  <c r="BQ22" i="2"/>
  <c r="BQ21" i="2"/>
  <c r="BQ20" i="2"/>
  <c r="BQ19" i="2"/>
  <c r="BQ18" i="2"/>
  <c r="BQ17" i="2"/>
  <c r="BQ16" i="2"/>
  <c r="BQ15" i="2"/>
  <c r="BQ14" i="2"/>
  <c r="BQ13" i="2"/>
  <c r="BQ12" i="2"/>
  <c r="BQ11" i="2"/>
  <c r="BP22" i="2"/>
  <c r="BP21" i="2"/>
  <c r="BP20" i="2"/>
  <c r="BP19" i="2"/>
  <c r="BP18" i="2"/>
  <c r="BP17" i="2"/>
  <c r="BP16" i="2"/>
  <c r="BP15" i="2"/>
  <c r="BP14" i="2"/>
  <c r="BP13" i="2"/>
  <c r="BP12" i="2"/>
  <c r="BP11" i="2"/>
  <c r="BO22" i="2"/>
  <c r="BO21" i="2"/>
  <c r="BO20" i="2"/>
  <c r="BO19" i="2"/>
  <c r="BO18" i="2"/>
  <c r="BO17" i="2"/>
  <c r="BO16" i="2"/>
  <c r="BO15" i="2"/>
  <c r="BO14" i="2"/>
  <c r="BO13" i="2"/>
  <c r="BO12" i="2"/>
  <c r="BO11" i="2"/>
  <c r="BM22" i="2"/>
  <c r="BM21" i="2"/>
  <c r="BM20" i="2"/>
  <c r="BM19" i="2"/>
  <c r="BM18" i="2"/>
  <c r="BM17" i="2"/>
  <c r="BM16" i="2"/>
  <c r="BM15" i="2"/>
  <c r="BM14" i="2"/>
  <c r="BM13" i="2"/>
  <c r="BM12" i="2"/>
  <c r="BM11" i="2"/>
  <c r="BL22" i="2"/>
  <c r="BL21" i="2"/>
  <c r="BL20" i="2"/>
  <c r="BL19" i="2"/>
  <c r="BL18" i="2"/>
  <c r="BL17" i="2"/>
  <c r="BL16" i="2"/>
  <c r="BL15" i="2"/>
  <c r="BL14" i="2"/>
  <c r="BL13" i="2"/>
  <c r="BL12" i="2"/>
  <c r="BL11" i="2"/>
  <c r="BK22" i="2"/>
  <c r="BK21" i="2"/>
  <c r="BK20" i="2"/>
  <c r="BK19" i="2"/>
  <c r="BK18" i="2"/>
  <c r="BK17" i="2"/>
  <c r="BK16" i="2"/>
  <c r="BK15" i="2"/>
  <c r="BK14" i="2"/>
  <c r="BK13" i="2"/>
  <c r="BK12" i="2"/>
  <c r="BK11" i="2"/>
  <c r="BJ22" i="2"/>
  <c r="BJ21" i="2"/>
  <c r="BJ20" i="2"/>
  <c r="BJ19" i="2"/>
  <c r="BJ18" i="2"/>
  <c r="BJ17" i="2"/>
  <c r="BJ16" i="2"/>
  <c r="BJ15" i="2"/>
  <c r="BJ14" i="2"/>
  <c r="BJ13" i="2"/>
  <c r="BJ12" i="2"/>
  <c r="BJ11" i="2"/>
  <c r="BI22" i="2"/>
  <c r="BI21" i="2"/>
  <c r="BI20" i="2"/>
  <c r="BI19" i="2"/>
  <c r="BI18" i="2"/>
  <c r="BI17" i="2"/>
  <c r="BI16" i="2"/>
  <c r="BI15" i="2"/>
  <c r="BI14" i="2"/>
  <c r="BI13" i="2"/>
  <c r="BI12" i="2"/>
  <c r="BI11" i="2"/>
  <c r="BG22" i="2"/>
  <c r="BG21" i="2"/>
  <c r="BG20" i="2"/>
  <c r="BG19" i="2"/>
  <c r="BG18" i="2"/>
  <c r="BG17" i="2"/>
  <c r="BG16" i="2"/>
  <c r="BG15" i="2"/>
  <c r="BG14" i="2"/>
  <c r="BG13" i="2"/>
  <c r="BG12" i="2"/>
  <c r="BG11" i="2"/>
  <c r="BE22" i="2"/>
  <c r="BF22" i="2" s="1"/>
  <c r="BE21" i="2"/>
  <c r="BF21" i="2" s="1"/>
  <c r="BE20" i="2"/>
  <c r="BF20" i="2" s="1"/>
  <c r="BE19" i="2"/>
  <c r="BF19" i="2" s="1"/>
  <c r="BE18" i="2"/>
  <c r="BF18" i="2" s="1"/>
  <c r="BE17" i="2"/>
  <c r="BF17" i="2" s="1"/>
  <c r="BE16" i="2"/>
  <c r="BF16" i="2" s="1"/>
  <c r="BE15" i="2"/>
  <c r="BF15" i="2" s="1"/>
  <c r="BE14" i="2"/>
  <c r="BF14" i="2" s="1"/>
  <c r="BE13" i="2"/>
  <c r="BF13" i="2" s="1"/>
  <c r="BE12" i="2"/>
  <c r="BF12" i="2" s="1"/>
  <c r="BE11" i="2"/>
  <c r="BF11" i="2" s="1"/>
  <c r="BD22" i="2"/>
  <c r="BD21" i="2"/>
  <c r="BD20" i="2"/>
  <c r="BD19" i="2"/>
  <c r="BD18" i="2"/>
  <c r="BD17" i="2"/>
  <c r="BD16" i="2"/>
  <c r="BD15" i="2"/>
  <c r="BD14" i="2"/>
  <c r="BD13" i="2"/>
  <c r="BD12" i="2"/>
  <c r="BD11" i="2"/>
  <c r="AZ22" i="2"/>
  <c r="AZ21" i="2"/>
  <c r="AZ20" i="2"/>
  <c r="AZ19" i="2"/>
  <c r="AZ18" i="2"/>
  <c r="AZ17" i="2"/>
  <c r="AZ16" i="2"/>
  <c r="AZ15" i="2"/>
  <c r="AZ14" i="2"/>
  <c r="AZ13" i="2"/>
  <c r="AZ12" i="2"/>
  <c r="AZ11" i="2"/>
  <c r="AY22" i="2"/>
  <c r="AY21" i="2"/>
  <c r="AY20" i="2"/>
  <c r="AY19" i="2"/>
  <c r="AY18" i="2"/>
  <c r="AY17" i="2"/>
  <c r="AY16" i="2"/>
  <c r="AY15" i="2"/>
  <c r="AY14" i="2"/>
  <c r="AY13" i="2"/>
  <c r="AY12" i="2"/>
  <c r="AY11" i="2"/>
  <c r="AX22" i="2"/>
  <c r="AX21" i="2"/>
  <c r="AX20" i="2"/>
  <c r="AX19" i="2"/>
  <c r="AX18" i="2"/>
  <c r="AX17" i="2"/>
  <c r="AX16" i="2"/>
  <c r="AX15" i="2"/>
  <c r="AX14" i="2"/>
  <c r="AX13" i="2"/>
  <c r="AX12" i="2"/>
  <c r="AX11" i="2"/>
  <c r="AV22" i="2"/>
  <c r="AV21" i="2"/>
  <c r="AV20" i="2"/>
  <c r="AV19" i="2"/>
  <c r="AV18" i="2"/>
  <c r="AV17" i="2"/>
  <c r="AV16" i="2"/>
  <c r="AV15" i="2"/>
  <c r="AV14" i="2"/>
  <c r="AV13" i="2"/>
  <c r="AV12" i="2"/>
  <c r="AV11" i="2"/>
  <c r="AU22" i="2"/>
  <c r="AU21" i="2"/>
  <c r="AU20" i="2"/>
  <c r="AU19" i="2"/>
  <c r="AU18" i="2"/>
  <c r="AU17" i="2"/>
  <c r="AU16" i="2"/>
  <c r="AU15" i="2"/>
  <c r="AU14" i="2"/>
  <c r="AU13" i="2"/>
  <c r="AU12" i="2"/>
  <c r="AU11" i="2"/>
  <c r="AT22" i="2"/>
  <c r="AT21" i="2"/>
  <c r="AT20" i="2"/>
  <c r="AT19" i="2"/>
  <c r="AT18" i="2"/>
  <c r="AT17" i="2"/>
  <c r="AT16" i="2"/>
  <c r="AT15" i="2"/>
  <c r="AT14" i="2"/>
  <c r="AT13" i="2"/>
  <c r="AT12" i="2"/>
  <c r="AT11" i="2"/>
  <c r="AP22" i="2"/>
  <c r="AP21" i="2"/>
  <c r="AP20" i="2"/>
  <c r="AP19" i="2"/>
  <c r="AP18" i="2"/>
  <c r="AP17" i="2"/>
  <c r="AP16" i="2"/>
  <c r="AP15" i="2"/>
  <c r="AP14" i="2"/>
  <c r="AP13" i="2"/>
  <c r="AP12" i="2"/>
  <c r="AP11" i="2"/>
  <c r="AO22" i="2"/>
  <c r="AO21" i="2"/>
  <c r="AO20" i="2"/>
  <c r="AO19" i="2"/>
  <c r="AO18" i="2"/>
  <c r="AO17" i="2"/>
  <c r="AO16" i="2"/>
  <c r="AO15" i="2"/>
  <c r="AO14" i="2"/>
  <c r="AO13" i="2"/>
  <c r="AO12" i="2"/>
  <c r="AO11" i="2"/>
  <c r="AN22" i="2"/>
  <c r="AN21" i="2"/>
  <c r="AN20" i="2"/>
  <c r="AN19" i="2"/>
  <c r="AN18" i="2"/>
  <c r="AN17" i="2"/>
  <c r="AN16" i="2"/>
  <c r="AN15" i="2"/>
  <c r="AN14" i="2"/>
  <c r="AN13" i="2"/>
  <c r="AN12" i="2"/>
  <c r="AN11" i="2"/>
  <c r="AL22" i="2"/>
  <c r="AL21" i="2"/>
  <c r="AL20" i="2"/>
  <c r="AL19" i="2"/>
  <c r="AL18" i="2"/>
  <c r="AL17" i="2"/>
  <c r="AL16" i="2"/>
  <c r="AL15" i="2"/>
  <c r="AL14" i="2"/>
  <c r="AL13" i="2"/>
  <c r="AL12" i="2"/>
  <c r="AL11" i="2"/>
  <c r="AK22" i="2"/>
  <c r="AK21" i="2"/>
  <c r="AK20" i="2"/>
  <c r="AK19" i="2"/>
  <c r="AK18" i="2"/>
  <c r="AK17" i="2"/>
  <c r="AK16" i="2"/>
  <c r="AK15" i="2"/>
  <c r="AK14" i="2"/>
  <c r="AK13" i="2"/>
  <c r="AK12" i="2"/>
  <c r="AK11" i="2"/>
  <c r="AJ22" i="2"/>
  <c r="AJ21" i="2"/>
  <c r="AJ20" i="2"/>
  <c r="AJ19" i="2"/>
  <c r="AJ18" i="2"/>
  <c r="AJ17" i="2"/>
  <c r="AJ16" i="2"/>
  <c r="AJ15" i="2"/>
  <c r="AJ14" i="2"/>
  <c r="AJ13" i="2"/>
  <c r="AJ12" i="2"/>
  <c r="AJ11" i="2"/>
  <c r="CS23" i="2" l="1"/>
  <c r="BT19" i="2"/>
  <c r="BT20" i="2"/>
  <c r="BN21" i="2"/>
  <c r="BT17" i="2"/>
  <c r="BT18" i="2"/>
  <c r="BT21" i="2"/>
  <c r="BN20" i="2"/>
  <c r="BN17" i="2"/>
  <c r="CQ12" i="2"/>
  <c r="BN18" i="2"/>
  <c r="BT22" i="2"/>
  <c r="BN22" i="2"/>
  <c r="BN11" i="2"/>
  <c r="BN12" i="2"/>
  <c r="BT16" i="2"/>
  <c r="CQ11" i="2"/>
  <c r="CT23" i="2"/>
  <c r="BN19" i="2"/>
  <c r="M150" i="1"/>
  <c r="T15" i="1"/>
  <c r="S15" i="1"/>
  <c r="R15" i="1"/>
  <c r="Q15" i="1"/>
  <c r="K15" i="1"/>
  <c r="J15" i="1"/>
  <c r="I15" i="1"/>
  <c r="G15" i="1"/>
  <c r="F15" i="1"/>
  <c r="E15" i="1"/>
  <c r="M15" i="1" l="1"/>
  <c r="O15" i="1"/>
  <c r="N15" i="1"/>
  <c r="C62" i="1"/>
  <c r="C59" i="1"/>
  <c r="C66" i="1"/>
  <c r="C65" i="1"/>
  <c r="B61" i="1"/>
  <c r="C60" i="1"/>
  <c r="O17" i="1"/>
  <c r="N17" i="1"/>
  <c r="M17" i="1"/>
  <c r="O16" i="1"/>
  <c r="N16" i="1"/>
  <c r="M16" i="1"/>
  <c r="S14" i="1"/>
  <c r="R14" i="1"/>
  <c r="Q14" i="1"/>
  <c r="S13" i="1"/>
  <c r="R13" i="1"/>
  <c r="Q13" i="1"/>
  <c r="S12" i="1"/>
  <c r="R12" i="1"/>
  <c r="Q12" i="1"/>
  <c r="Q11" i="1"/>
  <c r="S10" i="1"/>
  <c r="R10" i="1"/>
  <c r="Q10" i="1"/>
  <c r="S9" i="1"/>
  <c r="R9" i="1"/>
  <c r="Q9" i="1"/>
  <c r="S8" i="1"/>
  <c r="R8" i="1"/>
  <c r="Q8" i="1"/>
  <c r="S7" i="1"/>
  <c r="R7" i="1"/>
  <c r="Q7" i="1"/>
  <c r="S6" i="1"/>
  <c r="R6" i="1"/>
  <c r="Q6" i="1"/>
  <c r="P17" i="1"/>
  <c r="K14" i="1"/>
  <c r="K13" i="1"/>
  <c r="K12" i="1"/>
  <c r="K11" i="1"/>
  <c r="K10" i="1"/>
  <c r="K9" i="1"/>
  <c r="K8" i="1"/>
  <c r="K7" i="1"/>
  <c r="J14" i="1"/>
  <c r="J13" i="1"/>
  <c r="J12" i="1"/>
  <c r="J11" i="1"/>
  <c r="J10" i="1"/>
  <c r="J9" i="1"/>
  <c r="J8" i="1"/>
  <c r="J7" i="1"/>
  <c r="I14" i="1"/>
  <c r="I13" i="1"/>
  <c r="I12" i="1"/>
  <c r="I11" i="1"/>
  <c r="I10" i="1"/>
  <c r="I9" i="1"/>
  <c r="I8" i="1"/>
  <c r="I7" i="1"/>
  <c r="K6" i="1"/>
  <c r="J6" i="1"/>
  <c r="I6" i="1"/>
  <c r="G8" i="1"/>
  <c r="E8" i="1"/>
  <c r="G14" i="1"/>
  <c r="G13" i="1"/>
  <c r="G12" i="1"/>
  <c r="G11" i="1"/>
  <c r="G10" i="1"/>
  <c r="G9" i="1"/>
  <c r="G7" i="1"/>
  <c r="F14" i="1"/>
  <c r="F13" i="1"/>
  <c r="F12" i="1"/>
  <c r="F11" i="1"/>
  <c r="F10" i="1"/>
  <c r="F9" i="1"/>
  <c r="F8" i="1"/>
  <c r="F7" i="1"/>
  <c r="E14" i="1"/>
  <c r="E13" i="1"/>
  <c r="E12" i="1"/>
  <c r="E11" i="1"/>
  <c r="E10" i="1"/>
  <c r="E9" i="1"/>
  <c r="E7" i="1"/>
  <c r="G6" i="1"/>
  <c r="F6" i="1"/>
  <c r="E6" i="1"/>
  <c r="Y7" i="1" l="1"/>
  <c r="Y8" i="1"/>
  <c r="X7" i="1"/>
  <c r="X8" i="1"/>
  <c r="W7" i="1"/>
  <c r="W8" i="1"/>
  <c r="O8" i="1"/>
  <c r="M14" i="1"/>
  <c r="M10" i="1"/>
  <c r="N6" i="1"/>
  <c r="M13" i="1"/>
  <c r="N13" i="1"/>
  <c r="M7" i="1"/>
  <c r="N7" i="1"/>
  <c r="O7" i="1"/>
  <c r="O13" i="1"/>
  <c r="C63" i="1"/>
  <c r="N12" i="1"/>
  <c r="M12" i="1"/>
  <c r="O11" i="1"/>
  <c r="M11" i="1"/>
  <c r="M9" i="1"/>
  <c r="M8" i="1"/>
  <c r="O6" i="1"/>
  <c r="N14" i="1"/>
  <c r="O14" i="1"/>
  <c r="N8" i="1"/>
  <c r="N9" i="1"/>
  <c r="O9" i="1"/>
  <c r="N10" i="1"/>
  <c r="O10" i="1"/>
  <c r="N11" i="1"/>
  <c r="O12" i="1"/>
  <c r="C58" i="1"/>
  <c r="M6" i="1"/>
  <c r="R18" i="1"/>
  <c r="S18" i="1"/>
  <c r="Q18" i="1"/>
  <c r="J18" i="1"/>
  <c r="K18" i="1"/>
  <c r="I18" i="1"/>
  <c r="G18" i="1"/>
  <c r="F18" i="1"/>
  <c r="E18" i="1"/>
  <c r="AR17" i="1"/>
  <c r="AR15" i="1"/>
  <c r="AK18" i="1"/>
  <c r="AJ18" i="1"/>
  <c r="AI18" i="1"/>
  <c r="AH18" i="1"/>
  <c r="AF18" i="1"/>
  <c r="Z8" i="1" l="1"/>
  <c r="Z7" i="1"/>
  <c r="M18" i="1"/>
  <c r="C61" i="1"/>
  <c r="O18" i="1"/>
  <c r="N18" i="1"/>
  <c r="P135" i="1"/>
  <c r="L96" i="1"/>
  <c r="N96" i="1" s="1"/>
  <c r="O96" i="1" s="1"/>
  <c r="L95" i="1"/>
  <c r="N95" i="1" s="1"/>
  <c r="O95" i="1" s="1"/>
  <c r="F76" i="1" l="1"/>
  <c r="AL76" i="1"/>
  <c r="AI76" i="1"/>
  <c r="AF76" i="1"/>
  <c r="AJ87" i="1"/>
  <c r="AL87" i="1" s="1"/>
  <c r="AJ86" i="1"/>
  <c r="AL86" i="1" s="1"/>
  <c r="AJ85" i="1"/>
  <c r="AL85" i="1" s="1"/>
  <c r="AJ84" i="1"/>
  <c r="AL84" i="1" s="1"/>
  <c r="AJ83" i="1"/>
  <c r="AL83" i="1" s="1"/>
  <c r="AJ82" i="1"/>
  <c r="AL82" i="1" s="1"/>
  <c r="AJ81" i="1"/>
  <c r="AL81" i="1" s="1"/>
  <c r="AJ80" i="1"/>
  <c r="AL80" i="1" s="1"/>
  <c r="AJ79" i="1"/>
  <c r="AL79" i="1" s="1"/>
  <c r="AJ78" i="1"/>
  <c r="AL78" i="1" s="1"/>
  <c r="AJ77" i="1"/>
  <c r="AL77" i="1" s="1"/>
  <c r="AD87" i="1"/>
  <c r="AF87" i="1" s="1"/>
  <c r="AD86" i="1"/>
  <c r="AF86" i="1" s="1"/>
  <c r="AD85" i="1"/>
  <c r="AF85" i="1" s="1"/>
  <c r="AG87" i="1"/>
  <c r="AI87" i="1" s="1"/>
  <c r="AG86" i="1"/>
  <c r="AI86" i="1" s="1"/>
  <c r="AG85" i="1"/>
  <c r="AI85" i="1" s="1"/>
  <c r="AG84" i="1"/>
  <c r="AI84" i="1" s="1"/>
  <c r="AG83" i="1"/>
  <c r="AI83" i="1" s="1"/>
  <c r="AG82" i="1"/>
  <c r="AI82" i="1" s="1"/>
  <c r="AG81" i="1"/>
  <c r="AI81" i="1" s="1"/>
  <c r="AG80" i="1"/>
  <c r="AI80" i="1" s="1"/>
  <c r="AG79" i="1"/>
  <c r="AI79" i="1" s="1"/>
  <c r="AG78" i="1"/>
  <c r="AI78" i="1" s="1"/>
  <c r="AG77" i="1"/>
  <c r="AI77" i="1" s="1"/>
  <c r="AD84" i="1"/>
  <c r="AF84" i="1" s="1"/>
  <c r="AD83" i="1"/>
  <c r="AF83" i="1" s="1"/>
  <c r="AD82" i="1"/>
  <c r="AF82" i="1" s="1"/>
  <c r="AD81" i="1"/>
  <c r="AF81" i="1" s="1"/>
  <c r="AD80" i="1"/>
  <c r="AF80" i="1" s="1"/>
  <c r="AD79" i="1"/>
  <c r="AF79" i="1" s="1"/>
  <c r="AD78" i="1"/>
  <c r="AF78" i="1" s="1"/>
  <c r="AD77" i="1"/>
  <c r="AF77" i="1" s="1"/>
  <c r="C64" i="1" l="1"/>
  <c r="F77" i="1"/>
  <c r="J76" i="1" l="1"/>
  <c r="AL153" i="1" l="1"/>
  <c r="AM153" i="1" s="1"/>
  <c r="AL151" i="1"/>
  <c r="AM151" i="1" s="1"/>
  <c r="AL149" i="1"/>
  <c r="AM149" i="1" s="1"/>
  <c r="AL148" i="1"/>
  <c r="AM148" i="1" s="1"/>
  <c r="AL147" i="1"/>
  <c r="AM147" i="1" s="1"/>
  <c r="AL146" i="1"/>
  <c r="AM146" i="1" s="1"/>
  <c r="AL145" i="1"/>
  <c r="AM145" i="1" s="1"/>
  <c r="AL144" i="1"/>
  <c r="AM144" i="1" s="1"/>
  <c r="AL142" i="1"/>
  <c r="AM142" i="1" s="1"/>
  <c r="AH153" i="1"/>
  <c r="AI153" i="1" s="1"/>
  <c r="AH152" i="1"/>
  <c r="AI152" i="1" s="1"/>
  <c r="AC153" i="1"/>
  <c r="AE153" i="1" s="1"/>
  <c r="AC150" i="1"/>
  <c r="AE150" i="1" s="1"/>
  <c r="AC149" i="1"/>
  <c r="AE149" i="1" s="1"/>
  <c r="AC148" i="1"/>
  <c r="AE148" i="1" s="1"/>
  <c r="AC147" i="1"/>
  <c r="AE147" i="1" s="1"/>
  <c r="AC146" i="1"/>
  <c r="AE146" i="1" s="1"/>
  <c r="AC145" i="1"/>
  <c r="AE145" i="1" s="1"/>
  <c r="AC144" i="1"/>
  <c r="AE144" i="1" s="1"/>
  <c r="AC143" i="1"/>
  <c r="AE143" i="1" s="1"/>
  <c r="AC142" i="1"/>
  <c r="AE142" i="1" s="1"/>
  <c r="W151" i="1"/>
  <c r="T14" i="1" l="1"/>
  <c r="AR14" i="1" s="1"/>
  <c r="L14" i="1"/>
  <c r="H14" i="1"/>
  <c r="F100" i="1"/>
  <c r="E100" i="1"/>
  <c r="AL150" i="1"/>
  <c r="AM150" i="1" s="1"/>
  <c r="M143" i="1"/>
  <c r="AL143" i="1" s="1"/>
  <c r="AM143" i="1" s="1"/>
  <c r="G142" i="1"/>
  <c r="G154" i="1" s="1"/>
  <c r="L154" i="1"/>
  <c r="H154" i="1"/>
  <c r="D154" i="1"/>
  <c r="C154" i="1"/>
  <c r="F142" i="1"/>
  <c r="P14" i="1" l="1"/>
  <c r="W150" i="1"/>
  <c r="W149" i="1" s="1"/>
  <c r="W148" i="1" s="1"/>
  <c r="W147" i="1" s="1"/>
  <c r="W146" i="1" s="1"/>
  <c r="W145" i="1" s="1"/>
  <c r="W144" i="1" s="1"/>
  <c r="W143" i="1" s="1"/>
  <c r="W142" i="1" s="1"/>
  <c r="K142" i="1" s="1"/>
  <c r="C143" i="1"/>
  <c r="F143" i="1" s="1"/>
  <c r="C144" i="1" s="1"/>
  <c r="F144" i="1" s="1"/>
  <c r="C145" i="1" s="1"/>
  <c r="F145" i="1" s="1"/>
  <c r="C146" i="1" s="1"/>
  <c r="F146" i="1" s="1"/>
  <c r="C147" i="1" s="1"/>
  <c r="F147" i="1" s="1"/>
  <c r="C148" i="1" s="1"/>
  <c r="F148" i="1" s="1"/>
  <c r="C149" i="1" s="1"/>
  <c r="F149" i="1" s="1"/>
  <c r="C150" i="1" s="1"/>
  <c r="F150" i="1" s="1"/>
  <c r="C151" i="1" s="1"/>
  <c r="F48" i="1"/>
  <c r="I133" i="1"/>
  <c r="H133" i="1"/>
  <c r="E133" i="1"/>
  <c r="D133" i="1"/>
  <c r="F117" i="1"/>
  <c r="D117" i="1"/>
  <c r="G99" i="1"/>
  <c r="F99" i="1"/>
  <c r="E99" i="1"/>
  <c r="D99" i="1"/>
  <c r="C99" i="1"/>
  <c r="Q82" i="1"/>
  <c r="P82" i="1"/>
  <c r="O82" i="1"/>
  <c r="N82" i="1"/>
  <c r="L82" i="1"/>
  <c r="K82" i="1"/>
  <c r="J82" i="1"/>
  <c r="I82" i="1"/>
  <c r="H82" i="1"/>
  <c r="F82" i="1"/>
  <c r="D82" i="1"/>
  <c r="C81" i="1"/>
  <c r="C82" i="1"/>
  <c r="R65" i="1"/>
  <c r="Q65" i="1"/>
  <c r="O65" i="1"/>
  <c r="N65" i="1"/>
  <c r="M65" i="1"/>
  <c r="I65" i="1"/>
  <c r="G65" i="1"/>
  <c r="E65" i="1"/>
  <c r="D65" i="1"/>
  <c r="L48" i="1"/>
  <c r="K48" i="1"/>
  <c r="I48" i="1"/>
  <c r="G48" i="1"/>
  <c r="H65" i="1" s="1"/>
  <c r="E48" i="1"/>
  <c r="D48" i="1"/>
  <c r="C48" i="1"/>
  <c r="K31" i="1"/>
  <c r="J31" i="1"/>
  <c r="H31" i="1"/>
  <c r="G31" i="1"/>
  <c r="E31" i="1"/>
  <c r="D31" i="1"/>
  <c r="C31" i="1"/>
  <c r="T13" i="1"/>
  <c r="AR13" i="1" s="1"/>
  <c r="L13" i="1"/>
  <c r="H13" i="1"/>
  <c r="D13" i="1"/>
  <c r="AP13" i="1" s="1"/>
  <c r="C13" i="1"/>
  <c r="AO13" i="1" s="1"/>
  <c r="X65" i="1" l="1"/>
  <c r="U82" i="1"/>
  <c r="V82" i="1"/>
  <c r="AH149" i="1"/>
  <c r="AI149" i="1" s="1"/>
  <c r="P13" i="1"/>
  <c r="E82" i="1"/>
  <c r="H99" i="1"/>
  <c r="K154" i="1"/>
  <c r="N142" i="1"/>
  <c r="K143" i="1" s="1"/>
  <c r="N143" i="1" s="1"/>
  <c r="K144" i="1" s="1"/>
  <c r="N144" i="1" s="1"/>
  <c r="L31" i="1"/>
  <c r="S65" i="1"/>
  <c r="M82" i="1"/>
  <c r="AB83" i="1" s="1"/>
  <c r="Y83" i="1" s="1"/>
  <c r="J65" i="1"/>
  <c r="F31" i="1"/>
  <c r="I31" i="1"/>
  <c r="P65" i="1"/>
  <c r="S82" i="1"/>
  <c r="AA83" i="1" s="1"/>
  <c r="X83" i="1" s="1"/>
  <c r="F65" i="1"/>
  <c r="M92" i="1"/>
  <c r="G82" i="1" l="1"/>
  <c r="K65" i="1"/>
  <c r="AN83" i="1"/>
  <c r="AM83" i="1"/>
  <c r="J48" i="1"/>
  <c r="K145" i="1"/>
  <c r="N145" i="1" s="1"/>
  <c r="N31" i="1"/>
  <c r="O81" i="1"/>
  <c r="L81" i="1"/>
  <c r="K81" i="1"/>
  <c r="O64" i="1"/>
  <c r="S64" i="1"/>
  <c r="R64" i="1"/>
  <c r="Q64" i="1"/>
  <c r="V64" i="1" l="1"/>
  <c r="K146" i="1"/>
  <c r="N146" i="1" s="1"/>
  <c r="I132" i="1"/>
  <c r="H132" i="1"/>
  <c r="E132" i="1"/>
  <c r="D132" i="1"/>
  <c r="F116" i="1"/>
  <c r="D116" i="1"/>
  <c r="G98" i="1"/>
  <c r="F98" i="1"/>
  <c r="E98" i="1"/>
  <c r="D98" i="1"/>
  <c r="C98" i="1"/>
  <c r="Q81" i="1"/>
  <c r="P81" i="1"/>
  <c r="N81" i="1"/>
  <c r="J81" i="1"/>
  <c r="I81" i="1"/>
  <c r="H81" i="1"/>
  <c r="F81" i="1"/>
  <c r="D81" i="1"/>
  <c r="N64" i="1"/>
  <c r="M64" i="1"/>
  <c r="I64" i="1"/>
  <c r="G64" i="1"/>
  <c r="E64" i="1"/>
  <c r="D64" i="1"/>
  <c r="L47" i="1"/>
  <c r="K47" i="1"/>
  <c r="J47" i="1"/>
  <c r="I47" i="1"/>
  <c r="G47" i="1"/>
  <c r="H64" i="1" s="1"/>
  <c r="F47" i="1"/>
  <c r="E47" i="1"/>
  <c r="D47" i="1"/>
  <c r="C47" i="1"/>
  <c r="K30" i="1"/>
  <c r="J30" i="1"/>
  <c r="H30" i="1"/>
  <c r="G30" i="1"/>
  <c r="E30" i="1"/>
  <c r="D30" i="1"/>
  <c r="C30" i="1"/>
  <c r="T12" i="1"/>
  <c r="AR12" i="1" s="1"/>
  <c r="L12" i="1"/>
  <c r="H12" i="1"/>
  <c r="D12" i="1"/>
  <c r="AP12" i="1" s="1"/>
  <c r="C12" i="1"/>
  <c r="AO12" i="1" s="1"/>
  <c r="X64" i="1" l="1"/>
  <c r="V81" i="1"/>
  <c r="U81" i="1"/>
  <c r="AH148" i="1"/>
  <c r="AI148" i="1" s="1"/>
  <c r="E81" i="1"/>
  <c r="N98" i="1"/>
  <c r="P12" i="1"/>
  <c r="AQ12" i="1" s="1"/>
  <c r="S81" i="1"/>
  <c r="AA82" i="1" s="1"/>
  <c r="X82" i="1" s="1"/>
  <c r="K147" i="1"/>
  <c r="N147" i="1" s="1"/>
  <c r="I30" i="1"/>
  <c r="F30" i="1"/>
  <c r="M47" i="1"/>
  <c r="J64" i="1"/>
  <c r="M81" i="1"/>
  <c r="AN82" i="1" s="1"/>
  <c r="L30" i="1"/>
  <c r="P64" i="1"/>
  <c r="F64" i="1"/>
  <c r="H98" i="1"/>
  <c r="H47" i="1"/>
  <c r="CB22" i="2"/>
  <c r="CA22" i="2"/>
  <c r="BZ22" i="2"/>
  <c r="BY22" i="2"/>
  <c r="BX22" i="2"/>
  <c r="CB21" i="2"/>
  <c r="CA21" i="2"/>
  <c r="BZ21" i="2"/>
  <c r="BY21" i="2"/>
  <c r="BX21" i="2"/>
  <c r="CB20" i="2"/>
  <c r="CA20" i="2"/>
  <c r="BZ20" i="2"/>
  <c r="BY20" i="2"/>
  <c r="BX20" i="2"/>
  <c r="CB19" i="2"/>
  <c r="CA19" i="2"/>
  <c r="BZ19" i="2"/>
  <c r="BY19" i="2"/>
  <c r="BX19" i="2"/>
  <c r="CB18" i="2"/>
  <c r="CA18" i="2"/>
  <c r="BZ18" i="2"/>
  <c r="BY18" i="2"/>
  <c r="BX18" i="2"/>
  <c r="BX17" i="2"/>
  <c r="CB17" i="2"/>
  <c r="CA17" i="2"/>
  <c r="BZ17" i="2"/>
  <c r="BY17" i="2"/>
  <c r="BX16" i="2"/>
  <c r="CB16" i="2"/>
  <c r="CA16" i="2"/>
  <c r="BZ16" i="2"/>
  <c r="BY16" i="2"/>
  <c r="CB15" i="2"/>
  <c r="CA15" i="2"/>
  <c r="BZ15" i="2"/>
  <c r="BY15" i="2"/>
  <c r="BX15" i="2"/>
  <c r="CB14" i="2"/>
  <c r="CA14" i="2"/>
  <c r="BZ14" i="2"/>
  <c r="BY14" i="2"/>
  <c r="BX14" i="2"/>
  <c r="CB13" i="2"/>
  <c r="CA13" i="2"/>
  <c r="BZ13" i="2"/>
  <c r="BY13" i="2"/>
  <c r="BX13" i="2"/>
  <c r="CB12" i="2"/>
  <c r="CA12" i="2"/>
  <c r="BZ12" i="2"/>
  <c r="BY12" i="2"/>
  <c r="BX12" i="2"/>
  <c r="CB11" i="2"/>
  <c r="CA11" i="2"/>
  <c r="BZ11" i="2"/>
  <c r="BY11" i="2"/>
  <c r="BX11" i="2"/>
  <c r="CB22" i="3"/>
  <c r="CA22" i="3"/>
  <c r="BZ22" i="3"/>
  <c r="BY22" i="3"/>
  <c r="BX22" i="3"/>
  <c r="CB21" i="3"/>
  <c r="CA21" i="3"/>
  <c r="BZ21" i="3"/>
  <c r="BY21" i="3"/>
  <c r="BX21" i="3"/>
  <c r="CB20" i="3"/>
  <c r="CA20" i="3"/>
  <c r="BZ20" i="3"/>
  <c r="BY20" i="3"/>
  <c r="BX20" i="3"/>
  <c r="CB19" i="3"/>
  <c r="CA19" i="3"/>
  <c r="BZ19" i="3"/>
  <c r="BY19" i="3"/>
  <c r="BX19" i="3"/>
  <c r="CB18" i="3"/>
  <c r="CA18" i="3"/>
  <c r="BZ18" i="3"/>
  <c r="BY18" i="3"/>
  <c r="BX18" i="3"/>
  <c r="CB17" i="3"/>
  <c r="CA17" i="3"/>
  <c r="BZ17" i="3"/>
  <c r="BY17" i="3"/>
  <c r="BX17" i="3"/>
  <c r="CB16" i="3"/>
  <c r="CB15" i="3"/>
  <c r="CB14" i="3"/>
  <c r="CA16" i="3"/>
  <c r="CA15" i="3"/>
  <c r="CA14" i="3"/>
  <c r="BZ16" i="3"/>
  <c r="BZ15" i="3"/>
  <c r="BZ14" i="3"/>
  <c r="BY16" i="3"/>
  <c r="BY15" i="3"/>
  <c r="BY14" i="3"/>
  <c r="BX16" i="3"/>
  <c r="BX15" i="3"/>
  <c r="BX14" i="3"/>
  <c r="CB13" i="3"/>
  <c r="CA13" i="3"/>
  <c r="BZ13" i="3"/>
  <c r="BY13" i="3"/>
  <c r="BX13" i="3"/>
  <c r="BX12" i="3"/>
  <c r="CB12" i="3"/>
  <c r="CA12" i="3"/>
  <c r="BZ12" i="3"/>
  <c r="BY12" i="3"/>
  <c r="CB11" i="3"/>
  <c r="CA11" i="3"/>
  <c r="BZ11" i="3"/>
  <c r="BY11" i="3"/>
  <c r="BX11" i="3"/>
  <c r="CB22" i="4"/>
  <c r="CA22" i="4"/>
  <c r="BZ22" i="4"/>
  <c r="BY22" i="4"/>
  <c r="BX22" i="4"/>
  <c r="CB21" i="4"/>
  <c r="CA21" i="4"/>
  <c r="BZ21" i="4"/>
  <c r="BY21" i="4"/>
  <c r="BX21" i="4"/>
  <c r="CB20" i="4"/>
  <c r="CA20" i="4"/>
  <c r="BZ20" i="4"/>
  <c r="BY20" i="4"/>
  <c r="BX20" i="4"/>
  <c r="CB19" i="4"/>
  <c r="CA19" i="4"/>
  <c r="BZ19" i="4"/>
  <c r="BY19" i="4"/>
  <c r="BX19" i="4"/>
  <c r="CB18" i="4"/>
  <c r="CA18" i="4"/>
  <c r="BZ18" i="4"/>
  <c r="BY18" i="4"/>
  <c r="BX18" i="4"/>
  <c r="CB17" i="4"/>
  <c r="CA17" i="4"/>
  <c r="BZ17" i="4"/>
  <c r="BY17" i="4"/>
  <c r="BX17" i="4"/>
  <c r="CB16" i="4"/>
  <c r="CB15" i="4"/>
  <c r="CB14" i="4"/>
  <c r="CB13" i="4"/>
  <c r="CB12" i="4"/>
  <c r="CA16" i="4"/>
  <c r="CA15" i="4"/>
  <c r="CA14" i="4"/>
  <c r="CA13" i="4"/>
  <c r="CA12" i="4"/>
  <c r="CA11" i="4"/>
  <c r="BZ16" i="4"/>
  <c r="BZ15" i="4"/>
  <c r="BZ14" i="4"/>
  <c r="BZ13" i="4"/>
  <c r="BZ12" i="4"/>
  <c r="BY16" i="4"/>
  <c r="BY15" i="4"/>
  <c r="BY14" i="4"/>
  <c r="BY13" i="4"/>
  <c r="BY12" i="4"/>
  <c r="BX16" i="4"/>
  <c r="BX15" i="4"/>
  <c r="BX14" i="4"/>
  <c r="BX13" i="4"/>
  <c r="BX12" i="4"/>
  <c r="CB11" i="4"/>
  <c r="BZ11" i="4"/>
  <c r="BY11" i="4"/>
  <c r="BX11" i="4"/>
  <c r="G81" i="1" l="1"/>
  <c r="AO82" i="1" s="1"/>
  <c r="K64" i="1"/>
  <c r="AM82" i="1"/>
  <c r="K148" i="1"/>
  <c r="N148" i="1" s="1"/>
  <c r="CC20" i="3"/>
  <c r="CD20" i="3" s="1"/>
  <c r="CC11" i="4"/>
  <c r="CC17" i="3"/>
  <c r="CD17" i="3" s="1"/>
  <c r="AF22" i="4"/>
  <c r="AE22" i="4"/>
  <c r="AD22" i="4"/>
  <c r="AC22" i="4"/>
  <c r="AA22" i="4"/>
  <c r="Z22" i="4"/>
  <c r="Y22" i="4"/>
  <c r="X22" i="4"/>
  <c r="W22" i="4"/>
  <c r="AF21" i="4"/>
  <c r="AE21" i="4"/>
  <c r="AD21" i="4"/>
  <c r="AC21" i="4"/>
  <c r="AA21" i="4"/>
  <c r="Z21" i="4"/>
  <c r="Y21" i="4"/>
  <c r="X21" i="4"/>
  <c r="W21" i="4"/>
  <c r="AF20" i="4"/>
  <c r="AE20" i="4"/>
  <c r="AD20" i="4"/>
  <c r="AC20" i="4"/>
  <c r="AA20" i="4"/>
  <c r="Z20" i="4"/>
  <c r="Y20" i="4"/>
  <c r="X20" i="4"/>
  <c r="W20" i="4"/>
  <c r="AF19" i="4"/>
  <c r="AE19" i="4"/>
  <c r="AD19" i="4"/>
  <c r="AC19" i="4"/>
  <c r="AA19" i="4"/>
  <c r="Z19" i="4"/>
  <c r="Y19" i="4"/>
  <c r="X19" i="4"/>
  <c r="W19" i="4"/>
  <c r="AF18" i="4"/>
  <c r="AE18" i="4"/>
  <c r="AD18" i="4"/>
  <c r="AC18" i="4"/>
  <c r="AA18" i="4"/>
  <c r="Z18" i="4"/>
  <c r="Y18" i="4"/>
  <c r="X18" i="4"/>
  <c r="W18" i="4"/>
  <c r="AF17" i="4"/>
  <c r="AE17" i="4"/>
  <c r="AD17" i="4"/>
  <c r="AC17" i="4"/>
  <c r="AA17" i="4"/>
  <c r="Z17" i="4"/>
  <c r="Y17" i="4"/>
  <c r="X17" i="4"/>
  <c r="W17" i="4"/>
  <c r="AF16" i="4"/>
  <c r="AE16" i="4"/>
  <c r="AD16" i="4"/>
  <c r="AC16" i="4"/>
  <c r="AA16" i="4"/>
  <c r="Z16" i="4"/>
  <c r="Y16" i="4"/>
  <c r="X16" i="4"/>
  <c r="W16" i="4"/>
  <c r="AF15" i="4"/>
  <c r="AE15" i="4"/>
  <c r="AD15" i="4"/>
  <c r="AC15" i="4"/>
  <c r="AA15" i="4"/>
  <c r="Z15" i="4"/>
  <c r="Y15" i="4"/>
  <c r="X15" i="4"/>
  <c r="W15" i="4"/>
  <c r="AF14" i="4"/>
  <c r="AE14" i="4"/>
  <c r="AD14" i="4"/>
  <c r="AC14" i="4"/>
  <c r="AA14" i="4"/>
  <c r="Z14" i="4"/>
  <c r="Y14" i="4"/>
  <c r="X14" i="4"/>
  <c r="W14" i="4"/>
  <c r="AF13" i="4"/>
  <c r="AE13" i="4"/>
  <c r="AD13" i="4"/>
  <c r="AC13" i="4"/>
  <c r="AA13" i="4"/>
  <c r="Z13" i="4"/>
  <c r="Y13" i="4"/>
  <c r="X13" i="4"/>
  <c r="W13" i="4"/>
  <c r="AF12" i="4"/>
  <c r="AE12" i="4"/>
  <c r="AD12" i="4"/>
  <c r="AC12" i="4"/>
  <c r="AA12" i="4"/>
  <c r="Z12" i="4"/>
  <c r="Y12" i="4"/>
  <c r="X12" i="4"/>
  <c r="W12" i="4"/>
  <c r="S22" i="4"/>
  <c r="R22" i="4"/>
  <c r="P22" i="4"/>
  <c r="O22" i="4"/>
  <c r="M22" i="4"/>
  <c r="L22" i="4"/>
  <c r="K22" i="4"/>
  <c r="H22" i="4"/>
  <c r="F22" i="4"/>
  <c r="E22" i="4"/>
  <c r="D22" i="4"/>
  <c r="C22" i="4"/>
  <c r="H21" i="4"/>
  <c r="F21" i="4"/>
  <c r="E21" i="4"/>
  <c r="D21" i="4"/>
  <c r="C21" i="4"/>
  <c r="S21" i="4"/>
  <c r="R21" i="4"/>
  <c r="P21" i="4"/>
  <c r="O21" i="4"/>
  <c r="M21" i="4"/>
  <c r="L21" i="4"/>
  <c r="K21" i="4"/>
  <c r="S20" i="4"/>
  <c r="R20" i="4"/>
  <c r="P20" i="4"/>
  <c r="O20" i="4"/>
  <c r="M20" i="4"/>
  <c r="L20" i="4"/>
  <c r="K20" i="4"/>
  <c r="H20" i="4"/>
  <c r="F20" i="4"/>
  <c r="E20" i="4"/>
  <c r="D20" i="4"/>
  <c r="C20" i="4"/>
  <c r="H19" i="4"/>
  <c r="F19" i="4"/>
  <c r="E19" i="4"/>
  <c r="D19" i="4"/>
  <c r="C19" i="4"/>
  <c r="S19" i="4"/>
  <c r="R19" i="4"/>
  <c r="P19" i="4"/>
  <c r="O19" i="4"/>
  <c r="M19" i="4"/>
  <c r="L19" i="4"/>
  <c r="K19" i="4"/>
  <c r="S18" i="4"/>
  <c r="R18" i="4"/>
  <c r="P18" i="4"/>
  <c r="O18" i="4"/>
  <c r="M18" i="4"/>
  <c r="L18" i="4"/>
  <c r="K18" i="4"/>
  <c r="H18" i="4"/>
  <c r="F18" i="4"/>
  <c r="E18" i="4"/>
  <c r="D18" i="4"/>
  <c r="C18" i="4"/>
  <c r="H17" i="4"/>
  <c r="F17" i="4"/>
  <c r="E17" i="4"/>
  <c r="D17" i="4"/>
  <c r="C17" i="4"/>
  <c r="S17" i="4"/>
  <c r="R17" i="4"/>
  <c r="P17" i="4"/>
  <c r="O17" i="4"/>
  <c r="M17" i="4"/>
  <c r="L17" i="4"/>
  <c r="K17" i="4"/>
  <c r="S16" i="4"/>
  <c r="R16" i="4"/>
  <c r="P16" i="4"/>
  <c r="O16" i="4"/>
  <c r="M16" i="4"/>
  <c r="L16" i="4"/>
  <c r="K16" i="4"/>
  <c r="H16" i="4"/>
  <c r="F16" i="4"/>
  <c r="E16" i="4"/>
  <c r="D16" i="4"/>
  <c r="C16" i="4"/>
  <c r="H15" i="4"/>
  <c r="F15" i="4"/>
  <c r="E15" i="4"/>
  <c r="D15" i="4"/>
  <c r="C15" i="4"/>
  <c r="S15" i="4"/>
  <c r="R15" i="4"/>
  <c r="P15" i="4"/>
  <c r="O15" i="4"/>
  <c r="M15" i="4"/>
  <c r="L15" i="4"/>
  <c r="K15" i="4"/>
  <c r="S14" i="4"/>
  <c r="R14" i="4"/>
  <c r="P14" i="4"/>
  <c r="O14" i="4"/>
  <c r="M14" i="4"/>
  <c r="L14" i="4"/>
  <c r="K14" i="4"/>
  <c r="H14" i="4"/>
  <c r="F14" i="4"/>
  <c r="E14" i="4"/>
  <c r="D14" i="4"/>
  <c r="C14" i="4"/>
  <c r="H13" i="4"/>
  <c r="F13" i="4"/>
  <c r="E13" i="4"/>
  <c r="D13" i="4"/>
  <c r="C13" i="4"/>
  <c r="S13" i="4"/>
  <c r="R13" i="4"/>
  <c r="P13" i="4"/>
  <c r="O13" i="4"/>
  <c r="M13" i="4"/>
  <c r="L13" i="4"/>
  <c r="K13" i="4"/>
  <c r="S12" i="4"/>
  <c r="R12" i="4"/>
  <c r="P12" i="4"/>
  <c r="O12" i="4"/>
  <c r="M12" i="4"/>
  <c r="L12" i="4"/>
  <c r="K12" i="4"/>
  <c r="H12" i="4"/>
  <c r="F12" i="4"/>
  <c r="E12" i="4"/>
  <c r="D12" i="4"/>
  <c r="C12" i="4"/>
  <c r="AF11" i="4"/>
  <c r="AE11" i="4"/>
  <c r="AD11" i="4"/>
  <c r="AC11" i="4"/>
  <c r="AA11" i="4"/>
  <c r="Z11" i="4"/>
  <c r="Y11" i="4"/>
  <c r="X11" i="4"/>
  <c r="W11" i="4"/>
  <c r="S11" i="4"/>
  <c r="R11" i="4"/>
  <c r="P11" i="4"/>
  <c r="O11" i="4"/>
  <c r="M11" i="4"/>
  <c r="L11" i="4"/>
  <c r="K11" i="4"/>
  <c r="H11" i="4"/>
  <c r="F11" i="4"/>
  <c r="E11" i="4"/>
  <c r="D11" i="4"/>
  <c r="C11" i="4"/>
  <c r="DX23" i="4"/>
  <c r="DW23" i="4"/>
  <c r="DV23" i="4"/>
  <c r="DU23" i="4"/>
  <c r="DT23" i="4"/>
  <c r="DS23" i="4"/>
  <c r="DR23" i="4"/>
  <c r="DQ23" i="4"/>
  <c r="DI23" i="4"/>
  <c r="DH23" i="4"/>
  <c r="DG23" i="4"/>
  <c r="DE23" i="4"/>
  <c r="DD23" i="4"/>
  <c r="DC23" i="4"/>
  <c r="DA23" i="4"/>
  <c r="CZ23" i="4"/>
  <c r="CY23" i="4"/>
  <c r="CX23" i="4"/>
  <c r="DB23" i="4" s="1"/>
  <c r="CH23" i="4"/>
  <c r="BS23" i="4"/>
  <c r="AA23" i="4"/>
  <c r="DL22" i="4"/>
  <c r="CW22" i="4"/>
  <c r="CM22" i="4"/>
  <c r="CJ22" i="4"/>
  <c r="CE22" i="4"/>
  <c r="CC22" i="4"/>
  <c r="CD22" i="4" s="1"/>
  <c r="BW22" i="4"/>
  <c r="BV22" i="4"/>
  <c r="BU22" i="4"/>
  <c r="BH22" i="4"/>
  <c r="BC22" i="4"/>
  <c r="BA22" i="4"/>
  <c r="AW22" i="4"/>
  <c r="AQ22" i="4"/>
  <c r="AR22" i="4" s="1"/>
  <c r="AM22" i="4"/>
  <c r="AI22" i="4"/>
  <c r="AS22" i="4" s="1"/>
  <c r="V22" i="4"/>
  <c r="J22" i="4"/>
  <c r="DL21" i="4"/>
  <c r="CW21" i="4"/>
  <c r="CM21" i="4"/>
  <c r="CJ21" i="4"/>
  <c r="CE21" i="4"/>
  <c r="CC21" i="4"/>
  <c r="CD21" i="4" s="1"/>
  <c r="BW21" i="4"/>
  <c r="BV21" i="4"/>
  <c r="BU21" i="4"/>
  <c r="BH21" i="4"/>
  <c r="BC21" i="4"/>
  <c r="BA21" i="4"/>
  <c r="AW21" i="4"/>
  <c r="AS21" i="4"/>
  <c r="AQ21" i="4"/>
  <c r="AR21" i="4" s="1"/>
  <c r="AM21" i="4"/>
  <c r="AI21" i="4"/>
  <c r="V21" i="4"/>
  <c r="J21" i="4"/>
  <c r="DL20" i="4"/>
  <c r="CW20" i="4"/>
  <c r="CM20" i="4"/>
  <c r="CJ20" i="4"/>
  <c r="CE20" i="4"/>
  <c r="CC20" i="4"/>
  <c r="CD20" i="4" s="1"/>
  <c r="BW20" i="4"/>
  <c r="BV20" i="4"/>
  <c r="BU20" i="4"/>
  <c r="BH20" i="4"/>
  <c r="BC20" i="4"/>
  <c r="BA20" i="4"/>
  <c r="AW20" i="4"/>
  <c r="AQ20" i="4"/>
  <c r="AR20" i="4" s="1"/>
  <c r="AM20" i="4"/>
  <c r="AI20" i="4"/>
  <c r="AS20" i="4" s="1"/>
  <c r="V20" i="4"/>
  <c r="J20" i="4"/>
  <c r="DL19" i="4"/>
  <c r="CW19" i="4"/>
  <c r="CM19" i="4"/>
  <c r="CJ19" i="4"/>
  <c r="CE19" i="4"/>
  <c r="CC19" i="4"/>
  <c r="CD19" i="4" s="1"/>
  <c r="BW19" i="4"/>
  <c r="BV19" i="4"/>
  <c r="BU19" i="4"/>
  <c r="BH19" i="4"/>
  <c r="BC19" i="4"/>
  <c r="BA19" i="4"/>
  <c r="AW19" i="4"/>
  <c r="AS19" i="4"/>
  <c r="AQ19" i="4"/>
  <c r="AR19" i="4" s="1"/>
  <c r="AM19" i="4"/>
  <c r="AI19" i="4"/>
  <c r="V19" i="4"/>
  <c r="J19" i="4"/>
  <c r="DL18" i="4"/>
  <c r="CW18" i="4"/>
  <c r="CM18" i="4"/>
  <c r="CJ18" i="4"/>
  <c r="CE18" i="4"/>
  <c r="CC18" i="4"/>
  <c r="CD18" i="4" s="1"/>
  <c r="BW18" i="4"/>
  <c r="BV18" i="4"/>
  <c r="BU18" i="4"/>
  <c r="BH18" i="4"/>
  <c r="BC18" i="4"/>
  <c r="BA18" i="4"/>
  <c r="AW18" i="4"/>
  <c r="AQ18" i="4"/>
  <c r="AR18" i="4" s="1"/>
  <c r="AM18" i="4"/>
  <c r="AI18" i="4"/>
  <c r="AS18" i="4" s="1"/>
  <c r="V18" i="4"/>
  <c r="J18" i="4"/>
  <c r="DL17" i="4"/>
  <c r="CW17" i="4"/>
  <c r="CM17" i="4"/>
  <c r="CJ17" i="4"/>
  <c r="CE17" i="4"/>
  <c r="CC17" i="4"/>
  <c r="CD17" i="4" s="1"/>
  <c r="BW17" i="4"/>
  <c r="BV17" i="4"/>
  <c r="BU17" i="4"/>
  <c r="BH17" i="4"/>
  <c r="BC17" i="4"/>
  <c r="BA17" i="4"/>
  <c r="AW17" i="4"/>
  <c r="AQ17" i="4"/>
  <c r="AR17" i="4" s="1"/>
  <c r="AM17" i="4"/>
  <c r="AI17" i="4"/>
  <c r="AS17" i="4" s="1"/>
  <c r="V17" i="4"/>
  <c r="J17" i="4"/>
  <c r="DL16" i="4"/>
  <c r="CW16" i="4"/>
  <c r="CT16" i="4"/>
  <c r="CS16" i="4"/>
  <c r="CM16" i="4"/>
  <c r="CI16" i="4"/>
  <c r="CJ16" i="4" s="1"/>
  <c r="CG16" i="4"/>
  <c r="CE16" i="4"/>
  <c r="CC16" i="4"/>
  <c r="BW16" i="4"/>
  <c r="BC16" i="4"/>
  <c r="AR16" i="4"/>
  <c r="AI16" i="4"/>
  <c r="AS16" i="4" s="1"/>
  <c r="V16" i="4"/>
  <c r="J16" i="4"/>
  <c r="DL15" i="4"/>
  <c r="CW15" i="4"/>
  <c r="CT15" i="4"/>
  <c r="CS15" i="4"/>
  <c r="CM15" i="4"/>
  <c r="CI15" i="4"/>
  <c r="CJ15" i="4" s="1"/>
  <c r="CG15" i="4"/>
  <c r="CE15" i="4"/>
  <c r="BW15" i="4"/>
  <c r="BC15" i="4"/>
  <c r="AR15" i="4"/>
  <c r="AI15" i="4"/>
  <c r="AS15" i="4" s="1"/>
  <c r="V15" i="4"/>
  <c r="J15" i="4"/>
  <c r="DL14" i="4"/>
  <c r="CW14" i="4"/>
  <c r="CT14" i="4"/>
  <c r="CS14" i="4"/>
  <c r="CM14" i="4"/>
  <c r="CI14" i="4"/>
  <c r="CJ14" i="4" s="1"/>
  <c r="CG14" i="4"/>
  <c r="CE14" i="4"/>
  <c r="BW14" i="4"/>
  <c r="BC14" i="4"/>
  <c r="AR14" i="4"/>
  <c r="AI14" i="4"/>
  <c r="AS14" i="4" s="1"/>
  <c r="V14" i="4"/>
  <c r="J14" i="4"/>
  <c r="DL13" i="4"/>
  <c r="CW13" i="4"/>
  <c r="CT13" i="4"/>
  <c r="CS13" i="4"/>
  <c r="CM13" i="4"/>
  <c r="CI13" i="4"/>
  <c r="CJ13" i="4" s="1"/>
  <c r="CG13" i="4"/>
  <c r="CE13" i="4"/>
  <c r="BW13" i="4"/>
  <c r="BC13" i="4"/>
  <c r="AR13" i="4"/>
  <c r="AI13" i="4"/>
  <c r="AS13" i="4" s="1"/>
  <c r="V13" i="4"/>
  <c r="J13" i="4"/>
  <c r="DL12" i="4"/>
  <c r="CW12" i="4"/>
  <c r="CT12" i="4"/>
  <c r="CS12" i="4"/>
  <c r="CM12" i="4"/>
  <c r="CI12" i="4"/>
  <c r="CJ12" i="4" s="1"/>
  <c r="CG12" i="4"/>
  <c r="CE12" i="4"/>
  <c r="BW12" i="4"/>
  <c r="BC12" i="4"/>
  <c r="AR12" i="4"/>
  <c r="AI12" i="4"/>
  <c r="AS12" i="4" s="1"/>
  <c r="V12" i="4"/>
  <c r="J12" i="4"/>
  <c r="DL11" i="4"/>
  <c r="DJ11" i="4"/>
  <c r="DG12" i="4" s="1"/>
  <c r="DJ12" i="4" s="1"/>
  <c r="DG13" i="4" s="1"/>
  <c r="DJ13" i="4" s="1"/>
  <c r="DG14" i="4" s="1"/>
  <c r="DJ14" i="4" s="1"/>
  <c r="DG15" i="4" s="1"/>
  <c r="DJ15" i="4" s="1"/>
  <c r="DG16" i="4" s="1"/>
  <c r="DJ16" i="4" s="1"/>
  <c r="DG17" i="4" s="1"/>
  <c r="DJ17" i="4" s="1"/>
  <c r="DG18" i="4" s="1"/>
  <c r="DJ18" i="4" s="1"/>
  <c r="DG19" i="4" s="1"/>
  <c r="DJ19" i="4" s="1"/>
  <c r="DG20" i="4" s="1"/>
  <c r="DJ20" i="4" s="1"/>
  <c r="DG21" i="4" s="1"/>
  <c r="DJ21" i="4" s="1"/>
  <c r="DG22" i="4" s="1"/>
  <c r="DJ22" i="4" s="1"/>
  <c r="DF11" i="4"/>
  <c r="DC12" i="4" s="1"/>
  <c r="DF12" i="4" s="1"/>
  <c r="DC13" i="4" s="1"/>
  <c r="DF13" i="4" s="1"/>
  <c r="DC14" i="4" s="1"/>
  <c r="DF14" i="4" s="1"/>
  <c r="DC15" i="4" s="1"/>
  <c r="DF15" i="4" s="1"/>
  <c r="DC16" i="4" s="1"/>
  <c r="DF16" i="4" s="1"/>
  <c r="DC17" i="4" s="1"/>
  <c r="DF17" i="4" s="1"/>
  <c r="DC18" i="4" s="1"/>
  <c r="DF18" i="4" s="1"/>
  <c r="DC19" i="4" s="1"/>
  <c r="DF19" i="4" s="1"/>
  <c r="DC20" i="4" s="1"/>
  <c r="DF20" i="4" s="1"/>
  <c r="DC21" i="4" s="1"/>
  <c r="DF21" i="4" s="1"/>
  <c r="DC22" i="4" s="1"/>
  <c r="DF22" i="4" s="1"/>
  <c r="DB11" i="4"/>
  <c r="CX12" i="4" s="1"/>
  <c r="DB12" i="4" s="1"/>
  <c r="CX13" i="4" s="1"/>
  <c r="DB13" i="4" s="1"/>
  <c r="CX14" i="4" s="1"/>
  <c r="DB14" i="4" s="1"/>
  <c r="CX15" i="4" s="1"/>
  <c r="DB15" i="4" s="1"/>
  <c r="CX16" i="4" s="1"/>
  <c r="DB16" i="4" s="1"/>
  <c r="CX17" i="4" s="1"/>
  <c r="DB17" i="4" s="1"/>
  <c r="CX18" i="4" s="1"/>
  <c r="DB18" i="4" s="1"/>
  <c r="CX19" i="4" s="1"/>
  <c r="DB19" i="4" s="1"/>
  <c r="CX20" i="4" s="1"/>
  <c r="DB20" i="4" s="1"/>
  <c r="CX21" i="4" s="1"/>
  <c r="DB21" i="4" s="1"/>
  <c r="CX22" i="4" s="1"/>
  <c r="DB22" i="4" s="1"/>
  <c r="CW11" i="4"/>
  <c r="CR11" i="4"/>
  <c r="CR23" i="4" s="1"/>
  <c r="CM11" i="4"/>
  <c r="CE11" i="4"/>
  <c r="CB23" i="4"/>
  <c r="CA23" i="4"/>
  <c r="BW11" i="4"/>
  <c r="BC11" i="4"/>
  <c r="AZ11" i="4"/>
  <c r="AY11" i="4"/>
  <c r="AX11" i="4"/>
  <c r="AV11" i="4"/>
  <c r="AP23" i="4"/>
  <c r="AO11" i="4"/>
  <c r="AO23" i="4" s="1"/>
  <c r="AN11" i="4"/>
  <c r="AN23" i="4" s="1"/>
  <c r="AL11" i="4"/>
  <c r="AL23" i="4" s="1"/>
  <c r="AK11" i="4"/>
  <c r="AK23" i="4" s="1"/>
  <c r="AJ23" i="4"/>
  <c r="AI11" i="4"/>
  <c r="AS11" i="4" s="1"/>
  <c r="V11" i="4"/>
  <c r="J11" i="4"/>
  <c r="AF22" i="3"/>
  <c r="AE22" i="3"/>
  <c r="AD22" i="3"/>
  <c r="AC22" i="3"/>
  <c r="AA22" i="3"/>
  <c r="Z22" i="3"/>
  <c r="Y22" i="3"/>
  <c r="X22" i="3"/>
  <c r="W22" i="3"/>
  <c r="AF21" i="3"/>
  <c r="AE21" i="3"/>
  <c r="AD21" i="3"/>
  <c r="AC21" i="3"/>
  <c r="AA21" i="3"/>
  <c r="Z21" i="3"/>
  <c r="Y21" i="3"/>
  <c r="X21" i="3"/>
  <c r="W21" i="3"/>
  <c r="AF20" i="3"/>
  <c r="AE20" i="3"/>
  <c r="AD20" i="3"/>
  <c r="AC20" i="3"/>
  <c r="AA20" i="3"/>
  <c r="Z20" i="3"/>
  <c r="Y20" i="3"/>
  <c r="X20" i="3"/>
  <c r="W20" i="3"/>
  <c r="AF19" i="3"/>
  <c r="AE19" i="3"/>
  <c r="AD19" i="3"/>
  <c r="AC19" i="3"/>
  <c r="AA19" i="3"/>
  <c r="Z19" i="3"/>
  <c r="Y19" i="3"/>
  <c r="X19" i="3"/>
  <c r="W19" i="3"/>
  <c r="AF18" i="3"/>
  <c r="AE18" i="3"/>
  <c r="AD18" i="3"/>
  <c r="AC18" i="3"/>
  <c r="AA18" i="3"/>
  <c r="Z18" i="3"/>
  <c r="Y18" i="3"/>
  <c r="X18" i="3"/>
  <c r="W18" i="3"/>
  <c r="AF17" i="3"/>
  <c r="AE17" i="3"/>
  <c r="AD17" i="3"/>
  <c r="AC17" i="3"/>
  <c r="AA17" i="3"/>
  <c r="Z17" i="3"/>
  <c r="Y17" i="3"/>
  <c r="X17" i="3"/>
  <c r="W17" i="3"/>
  <c r="AF16" i="3"/>
  <c r="AE16" i="3"/>
  <c r="AD16" i="3"/>
  <c r="AC16" i="3"/>
  <c r="AA16" i="3"/>
  <c r="Z16" i="3"/>
  <c r="Y16" i="3"/>
  <c r="X16" i="3"/>
  <c r="W16" i="3"/>
  <c r="AF15" i="3"/>
  <c r="AE15" i="3"/>
  <c r="AD15" i="3"/>
  <c r="AC15" i="3"/>
  <c r="AA15" i="3"/>
  <c r="Z15" i="3"/>
  <c r="Y15" i="3"/>
  <c r="X15" i="3"/>
  <c r="W15" i="3"/>
  <c r="AF14" i="3"/>
  <c r="AE14" i="3"/>
  <c r="AD14" i="3"/>
  <c r="AC14" i="3"/>
  <c r="AA14" i="3"/>
  <c r="Z14" i="3"/>
  <c r="Y14" i="3"/>
  <c r="X14" i="3"/>
  <c r="W14" i="3"/>
  <c r="AF13" i="3"/>
  <c r="AE13" i="3"/>
  <c r="AD13" i="3"/>
  <c r="AC13" i="3"/>
  <c r="AA13" i="3"/>
  <c r="Z13" i="3"/>
  <c r="Y13" i="3"/>
  <c r="X13" i="3"/>
  <c r="W13" i="3"/>
  <c r="AF12" i="3"/>
  <c r="AE12" i="3"/>
  <c r="AD12" i="3"/>
  <c r="AC12" i="3"/>
  <c r="AA12" i="3"/>
  <c r="Z12" i="3"/>
  <c r="Y12" i="3"/>
  <c r="X12" i="3"/>
  <c r="W12" i="3"/>
  <c r="AP11" i="3"/>
  <c r="AP23" i="3" s="1"/>
  <c r="AO11" i="3"/>
  <c r="AO23" i="3" s="1"/>
  <c r="AN11" i="3"/>
  <c r="AN23" i="3" s="1"/>
  <c r="AL11" i="3"/>
  <c r="AL23" i="3" s="1"/>
  <c r="AK11" i="3"/>
  <c r="AK23" i="3" s="1"/>
  <c r="AF11" i="3"/>
  <c r="AE11" i="3"/>
  <c r="AD11" i="3"/>
  <c r="AC11" i="3"/>
  <c r="AA11" i="3"/>
  <c r="Z11" i="3"/>
  <c r="Y11" i="3"/>
  <c r="X11" i="3"/>
  <c r="W11" i="3"/>
  <c r="AJ11" i="3"/>
  <c r="AJ23" i="3" s="1"/>
  <c r="S22" i="3"/>
  <c r="R22" i="3"/>
  <c r="P22" i="3"/>
  <c r="O22" i="3"/>
  <c r="M22" i="3"/>
  <c r="L22" i="3"/>
  <c r="K22" i="3"/>
  <c r="H22" i="3"/>
  <c r="F22" i="3"/>
  <c r="E22" i="3"/>
  <c r="D22" i="3"/>
  <c r="C22" i="3"/>
  <c r="S21" i="3"/>
  <c r="R21" i="3"/>
  <c r="P21" i="3"/>
  <c r="O21" i="3"/>
  <c r="M21" i="3"/>
  <c r="L21" i="3"/>
  <c r="K21" i="3"/>
  <c r="H21" i="3"/>
  <c r="F21" i="3"/>
  <c r="E21" i="3"/>
  <c r="D21" i="3"/>
  <c r="C21" i="3"/>
  <c r="S20" i="3"/>
  <c r="R20" i="3"/>
  <c r="P20" i="3"/>
  <c r="O20" i="3"/>
  <c r="M20" i="3"/>
  <c r="L20" i="3"/>
  <c r="K20" i="3"/>
  <c r="H20" i="3"/>
  <c r="F20" i="3"/>
  <c r="E20" i="3"/>
  <c r="D20" i="3"/>
  <c r="C20" i="3"/>
  <c r="S19" i="3"/>
  <c r="R19" i="3"/>
  <c r="P19" i="3"/>
  <c r="O19" i="3"/>
  <c r="M19" i="3"/>
  <c r="L19" i="3"/>
  <c r="K19" i="3"/>
  <c r="H19" i="3"/>
  <c r="F19" i="3"/>
  <c r="E19" i="3"/>
  <c r="D19" i="3"/>
  <c r="C19" i="3"/>
  <c r="S18" i="3"/>
  <c r="R18" i="3"/>
  <c r="P18" i="3"/>
  <c r="O18" i="3"/>
  <c r="M18" i="3"/>
  <c r="L18" i="3"/>
  <c r="K18" i="3"/>
  <c r="H18" i="3"/>
  <c r="F18" i="3"/>
  <c r="E18" i="3"/>
  <c r="D18" i="3"/>
  <c r="C18" i="3"/>
  <c r="S17" i="3"/>
  <c r="R17" i="3"/>
  <c r="P17" i="3"/>
  <c r="O17" i="3"/>
  <c r="M17" i="3"/>
  <c r="L17" i="3"/>
  <c r="K17" i="3"/>
  <c r="H17" i="3"/>
  <c r="F17" i="3"/>
  <c r="E17" i="3"/>
  <c r="D17" i="3"/>
  <c r="C17" i="3"/>
  <c r="S16" i="3"/>
  <c r="R16" i="3"/>
  <c r="P16" i="3"/>
  <c r="O16" i="3"/>
  <c r="M16" i="3"/>
  <c r="L16" i="3"/>
  <c r="K16" i="3"/>
  <c r="H16" i="3"/>
  <c r="F16" i="3"/>
  <c r="E16" i="3"/>
  <c r="D16" i="3"/>
  <c r="C16" i="3"/>
  <c r="S15" i="3"/>
  <c r="R15" i="3"/>
  <c r="P15" i="3"/>
  <c r="O15" i="3"/>
  <c r="M15" i="3"/>
  <c r="L15" i="3"/>
  <c r="K15" i="3"/>
  <c r="H15" i="3"/>
  <c r="F15" i="3"/>
  <c r="E15" i="3"/>
  <c r="D15" i="3"/>
  <c r="C15" i="3"/>
  <c r="S14" i="3"/>
  <c r="R14" i="3"/>
  <c r="P14" i="3"/>
  <c r="O14" i="3"/>
  <c r="M14" i="3"/>
  <c r="L14" i="3"/>
  <c r="K14" i="3"/>
  <c r="H14" i="3"/>
  <c r="F14" i="3"/>
  <c r="E14" i="3"/>
  <c r="D14" i="3"/>
  <c r="C14" i="3"/>
  <c r="S13" i="3"/>
  <c r="R13" i="3"/>
  <c r="P13" i="3"/>
  <c r="O13" i="3"/>
  <c r="M13" i="3"/>
  <c r="L13" i="3"/>
  <c r="K13" i="3"/>
  <c r="H13" i="3"/>
  <c r="F13" i="3"/>
  <c r="E13" i="3"/>
  <c r="D13" i="3"/>
  <c r="C13" i="3"/>
  <c r="S12" i="3"/>
  <c r="R12" i="3"/>
  <c r="P12" i="3"/>
  <c r="O12" i="3"/>
  <c r="M12" i="3"/>
  <c r="L12" i="3"/>
  <c r="K12" i="3"/>
  <c r="S11" i="3"/>
  <c r="R11" i="3"/>
  <c r="P11" i="3"/>
  <c r="O11" i="3"/>
  <c r="M11" i="3"/>
  <c r="L11" i="3"/>
  <c r="K11" i="3"/>
  <c r="H12" i="3"/>
  <c r="F12" i="3"/>
  <c r="E12" i="3"/>
  <c r="D12" i="3"/>
  <c r="C12" i="3"/>
  <c r="H11" i="3"/>
  <c r="F11" i="3"/>
  <c r="E11" i="3"/>
  <c r="D11" i="3"/>
  <c r="C11" i="3"/>
  <c r="DX23" i="3"/>
  <c r="DW23" i="3"/>
  <c r="DV23" i="3"/>
  <c r="DU23" i="3"/>
  <c r="DT23" i="3"/>
  <c r="DS23" i="3"/>
  <c r="DR23" i="3"/>
  <c r="DQ23" i="3"/>
  <c r="DI23" i="3"/>
  <c r="DH23" i="3"/>
  <c r="DG23" i="3"/>
  <c r="DE23" i="3"/>
  <c r="DD23" i="3"/>
  <c r="DC23" i="3"/>
  <c r="DA23" i="3"/>
  <c r="CZ23" i="3"/>
  <c r="CY23" i="3"/>
  <c r="CX23" i="3"/>
  <c r="CH23" i="3"/>
  <c r="BS23" i="3"/>
  <c r="AA23" i="3"/>
  <c r="DL22" i="3"/>
  <c r="CW22" i="3"/>
  <c r="CM22" i="3"/>
  <c r="CJ22" i="3"/>
  <c r="CE22" i="3"/>
  <c r="CC22" i="3"/>
  <c r="CD22" i="3" s="1"/>
  <c r="BW22" i="3"/>
  <c r="BV22" i="3"/>
  <c r="BU22" i="3"/>
  <c r="BH22" i="3"/>
  <c r="BC22" i="3"/>
  <c r="BA22" i="3"/>
  <c r="AW22" i="3"/>
  <c r="AR22" i="3"/>
  <c r="AI22" i="3"/>
  <c r="AS22" i="3" s="1"/>
  <c r="V22" i="3"/>
  <c r="J22" i="3"/>
  <c r="DL21" i="3"/>
  <c r="CW21" i="3"/>
  <c r="CM21" i="3"/>
  <c r="CJ21" i="3"/>
  <c r="CE21" i="3"/>
  <c r="CC21" i="3"/>
  <c r="CD21" i="3" s="1"/>
  <c r="BW21" i="3"/>
  <c r="BV21" i="3"/>
  <c r="BU21" i="3"/>
  <c r="BH21" i="3"/>
  <c r="BC21" i="3"/>
  <c r="BA21" i="3"/>
  <c r="AW21" i="3"/>
  <c r="AR21" i="3"/>
  <c r="AI21" i="3"/>
  <c r="AS21" i="3" s="1"/>
  <c r="V21" i="3"/>
  <c r="J21" i="3"/>
  <c r="DL20" i="3"/>
  <c r="CW20" i="3"/>
  <c r="CM20" i="3"/>
  <c r="CJ20" i="3"/>
  <c r="CE20" i="3"/>
  <c r="BW20" i="3"/>
  <c r="BV20" i="3"/>
  <c r="BU20" i="3"/>
  <c r="BH20" i="3"/>
  <c r="BC20" i="3"/>
  <c r="BA20" i="3"/>
  <c r="AW20" i="3"/>
  <c r="AR20" i="3"/>
  <c r="AI20" i="3"/>
  <c r="AS20" i="3" s="1"/>
  <c r="V20" i="3"/>
  <c r="J20" i="3"/>
  <c r="DL19" i="3"/>
  <c r="CW19" i="3"/>
  <c r="CM19" i="3"/>
  <c r="CJ19" i="3"/>
  <c r="CE19" i="3"/>
  <c r="CC19" i="3"/>
  <c r="CD19" i="3" s="1"/>
  <c r="BW19" i="3"/>
  <c r="BV19" i="3"/>
  <c r="BU19" i="3"/>
  <c r="BH19" i="3"/>
  <c r="BC19" i="3"/>
  <c r="BA19" i="3"/>
  <c r="AW19" i="3"/>
  <c r="AR19" i="3"/>
  <c r="AI19" i="3"/>
  <c r="AS19" i="3" s="1"/>
  <c r="V19" i="3"/>
  <c r="J19" i="3"/>
  <c r="DL18" i="3"/>
  <c r="CW18" i="3"/>
  <c r="CM18" i="3"/>
  <c r="CJ18" i="3"/>
  <c r="CE18" i="3"/>
  <c r="CC18" i="3"/>
  <c r="CD18" i="3" s="1"/>
  <c r="BW18" i="3"/>
  <c r="BV18" i="3"/>
  <c r="BU18" i="3"/>
  <c r="BH18" i="3"/>
  <c r="BC18" i="3"/>
  <c r="BA18" i="3"/>
  <c r="AW18" i="3"/>
  <c r="AR18" i="3"/>
  <c r="AI18" i="3"/>
  <c r="AS18" i="3" s="1"/>
  <c r="V18" i="3"/>
  <c r="J18" i="3"/>
  <c r="DL17" i="3"/>
  <c r="CW17" i="3"/>
  <c r="CM17" i="3"/>
  <c r="CJ17" i="3"/>
  <c r="CE17" i="3"/>
  <c r="BW17" i="3"/>
  <c r="BV17" i="3"/>
  <c r="BU17" i="3"/>
  <c r="BH17" i="3"/>
  <c r="BC17" i="3"/>
  <c r="BA17" i="3"/>
  <c r="AW17" i="3"/>
  <c r="AR17" i="3"/>
  <c r="AI17" i="3"/>
  <c r="AS17" i="3" s="1"/>
  <c r="V17" i="3"/>
  <c r="J17" i="3"/>
  <c r="DL16" i="3"/>
  <c r="CW16" i="3"/>
  <c r="CM16" i="3"/>
  <c r="CJ16" i="3"/>
  <c r="CE16" i="3"/>
  <c r="BW16" i="3"/>
  <c r="BC16" i="3"/>
  <c r="AR16" i="3"/>
  <c r="AI16" i="3"/>
  <c r="AS16" i="3" s="1"/>
  <c r="V16" i="3"/>
  <c r="J16" i="3"/>
  <c r="DL15" i="3"/>
  <c r="CW15" i="3"/>
  <c r="CM15" i="3"/>
  <c r="CJ15" i="3"/>
  <c r="CE15" i="3"/>
  <c r="BW15" i="3"/>
  <c r="BC15" i="3"/>
  <c r="AR15" i="3"/>
  <c r="AI15" i="3"/>
  <c r="AS15" i="3" s="1"/>
  <c r="V15" i="3"/>
  <c r="J15" i="3"/>
  <c r="DL14" i="3"/>
  <c r="CW14" i="3"/>
  <c r="CM14" i="3"/>
  <c r="CJ14" i="3"/>
  <c r="CE14" i="3"/>
  <c r="BW14" i="3"/>
  <c r="BC14" i="3"/>
  <c r="AR14" i="3"/>
  <c r="AI14" i="3"/>
  <c r="AS14" i="3" s="1"/>
  <c r="V14" i="3"/>
  <c r="J14" i="3"/>
  <c r="DL13" i="3"/>
  <c r="CW13" i="3"/>
  <c r="CM13" i="3"/>
  <c r="CJ13" i="3"/>
  <c r="CE13" i="3"/>
  <c r="BW13" i="3"/>
  <c r="BC13" i="3"/>
  <c r="AR13" i="3"/>
  <c r="AI13" i="3"/>
  <c r="AS13" i="3" s="1"/>
  <c r="V13" i="3"/>
  <c r="J13" i="3"/>
  <c r="DL12" i="3"/>
  <c r="CW12" i="3"/>
  <c r="CM12" i="3"/>
  <c r="CJ12" i="3"/>
  <c r="CE12" i="3"/>
  <c r="BW12" i="3"/>
  <c r="BC12" i="3"/>
  <c r="AR12" i="3"/>
  <c r="AI12" i="3"/>
  <c r="AS12" i="3" s="1"/>
  <c r="V12" i="3"/>
  <c r="J12" i="3"/>
  <c r="DL11" i="3"/>
  <c r="DJ11" i="3"/>
  <c r="DG12" i="3" s="1"/>
  <c r="DJ12" i="3" s="1"/>
  <c r="DG13" i="3" s="1"/>
  <c r="DJ13" i="3" s="1"/>
  <c r="DG14" i="3" s="1"/>
  <c r="DJ14" i="3" s="1"/>
  <c r="DG15" i="3" s="1"/>
  <c r="DJ15" i="3" s="1"/>
  <c r="DG16" i="3" s="1"/>
  <c r="DJ16" i="3" s="1"/>
  <c r="DG17" i="3" s="1"/>
  <c r="DJ17" i="3" s="1"/>
  <c r="DG18" i="3" s="1"/>
  <c r="DJ18" i="3" s="1"/>
  <c r="DG19" i="3" s="1"/>
  <c r="DJ19" i="3" s="1"/>
  <c r="DG20" i="3" s="1"/>
  <c r="DJ20" i="3" s="1"/>
  <c r="DG21" i="3" s="1"/>
  <c r="DJ21" i="3" s="1"/>
  <c r="DG22" i="3" s="1"/>
  <c r="DJ22" i="3" s="1"/>
  <c r="DF11" i="3"/>
  <c r="DC12" i="3" s="1"/>
  <c r="DF12" i="3" s="1"/>
  <c r="DC13" i="3" s="1"/>
  <c r="DF13" i="3" s="1"/>
  <c r="DC14" i="3" s="1"/>
  <c r="DF14" i="3" s="1"/>
  <c r="DC15" i="3" s="1"/>
  <c r="DF15" i="3" s="1"/>
  <c r="DC16" i="3" s="1"/>
  <c r="DF16" i="3" s="1"/>
  <c r="DC17" i="3" s="1"/>
  <c r="DF17" i="3" s="1"/>
  <c r="DC18" i="3" s="1"/>
  <c r="DF18" i="3" s="1"/>
  <c r="DC19" i="3" s="1"/>
  <c r="DF19" i="3" s="1"/>
  <c r="DC20" i="3" s="1"/>
  <c r="DF20" i="3" s="1"/>
  <c r="DC21" i="3" s="1"/>
  <c r="DF21" i="3" s="1"/>
  <c r="DC22" i="3" s="1"/>
  <c r="DF22" i="3" s="1"/>
  <c r="DB11" i="3"/>
  <c r="CX12" i="3" s="1"/>
  <c r="DB12" i="3" s="1"/>
  <c r="CX13" i="3" s="1"/>
  <c r="DB13" i="3" s="1"/>
  <c r="CX14" i="3" s="1"/>
  <c r="DB14" i="3" s="1"/>
  <c r="CX15" i="3" s="1"/>
  <c r="DB15" i="3" s="1"/>
  <c r="CX16" i="3" s="1"/>
  <c r="DB16" i="3" s="1"/>
  <c r="CX17" i="3" s="1"/>
  <c r="DB17" i="3" s="1"/>
  <c r="CX18" i="3" s="1"/>
  <c r="DB18" i="3" s="1"/>
  <c r="CX19" i="3" s="1"/>
  <c r="DB19" i="3" s="1"/>
  <c r="CX20" i="3" s="1"/>
  <c r="DB20" i="3" s="1"/>
  <c r="CX21" i="3" s="1"/>
  <c r="DB21" i="3" s="1"/>
  <c r="CX22" i="3" s="1"/>
  <c r="DB22" i="3" s="1"/>
  <c r="CW11" i="3"/>
  <c r="CR23" i="3"/>
  <c r="CM11" i="3"/>
  <c r="CE11" i="3"/>
  <c r="CB23" i="3"/>
  <c r="CA23" i="3"/>
  <c r="BW11" i="3"/>
  <c r="BC11" i="3"/>
  <c r="AI11" i="3"/>
  <c r="AS11" i="3" s="1"/>
  <c r="V11" i="3"/>
  <c r="J11" i="3"/>
  <c r="AF22" i="2"/>
  <c r="AE22" i="2"/>
  <c r="AD22" i="2"/>
  <c r="AC22" i="2"/>
  <c r="AA22" i="2"/>
  <c r="Z22" i="2"/>
  <c r="Y22" i="2"/>
  <c r="X22" i="2"/>
  <c r="W22" i="2"/>
  <c r="AF21" i="2"/>
  <c r="AE21" i="2"/>
  <c r="AD21" i="2"/>
  <c r="AC21" i="2"/>
  <c r="AA21" i="2"/>
  <c r="Z21" i="2"/>
  <c r="Y21" i="2"/>
  <c r="X21" i="2"/>
  <c r="W21" i="2"/>
  <c r="AF20" i="2"/>
  <c r="AE20" i="2"/>
  <c r="AD20" i="2"/>
  <c r="AC20" i="2"/>
  <c r="AA20" i="2"/>
  <c r="Z20" i="2"/>
  <c r="Y20" i="2"/>
  <c r="X20" i="2"/>
  <c r="W20" i="2"/>
  <c r="AF19" i="2"/>
  <c r="AE19" i="2"/>
  <c r="AD19" i="2"/>
  <c r="AC19" i="2"/>
  <c r="AA19" i="2"/>
  <c r="Z19" i="2"/>
  <c r="Y19" i="2"/>
  <c r="X19" i="2"/>
  <c r="W19" i="2"/>
  <c r="AF18" i="2"/>
  <c r="AE18" i="2"/>
  <c r="AD18" i="2"/>
  <c r="AC18" i="2"/>
  <c r="AA18" i="2"/>
  <c r="Z18" i="2"/>
  <c r="Y18" i="2"/>
  <c r="X18" i="2"/>
  <c r="W18" i="2"/>
  <c r="AF17" i="2"/>
  <c r="AE17" i="2"/>
  <c r="AD17" i="2"/>
  <c r="AC17" i="2"/>
  <c r="AA17" i="2"/>
  <c r="Z17" i="2"/>
  <c r="Y17" i="2"/>
  <c r="X17" i="2"/>
  <c r="W17" i="2"/>
  <c r="AF16" i="2"/>
  <c r="AE16" i="2"/>
  <c r="AD16" i="2"/>
  <c r="AC16" i="2"/>
  <c r="AA16" i="2"/>
  <c r="Z16" i="2"/>
  <c r="Y16" i="2"/>
  <c r="X16" i="2"/>
  <c r="W16" i="2"/>
  <c r="AF15" i="2"/>
  <c r="AE15" i="2"/>
  <c r="AD15" i="2"/>
  <c r="AC15" i="2"/>
  <c r="AA15" i="2"/>
  <c r="Z15" i="2"/>
  <c r="Y15" i="2"/>
  <c r="X15" i="2"/>
  <c r="W15" i="2"/>
  <c r="AF14" i="2"/>
  <c r="AE14" i="2"/>
  <c r="AD14" i="2"/>
  <c r="AC14" i="2"/>
  <c r="AA14" i="2"/>
  <c r="Z14" i="2"/>
  <c r="Y14" i="2"/>
  <c r="X14" i="2"/>
  <c r="W14" i="2"/>
  <c r="AF13" i="2"/>
  <c r="AE13" i="2"/>
  <c r="AD13" i="2"/>
  <c r="AC13" i="2"/>
  <c r="AA13" i="2"/>
  <c r="Z13" i="2"/>
  <c r="Y13" i="2"/>
  <c r="X13" i="2"/>
  <c r="W13" i="2"/>
  <c r="AF12" i="2"/>
  <c r="AE12" i="2"/>
  <c r="AD12" i="2"/>
  <c r="AC12" i="2"/>
  <c r="AA12" i="2"/>
  <c r="Z12" i="2"/>
  <c r="Y12" i="2"/>
  <c r="X12" i="2"/>
  <c r="W12" i="2"/>
  <c r="AE11" i="2"/>
  <c r="Z11" i="2"/>
  <c r="AF11" i="2"/>
  <c r="AD11" i="2"/>
  <c r="AC11" i="2"/>
  <c r="AA11" i="2"/>
  <c r="Y11" i="2"/>
  <c r="X11" i="2"/>
  <c r="W11" i="2"/>
  <c r="S22" i="2"/>
  <c r="R22" i="2"/>
  <c r="P22" i="2"/>
  <c r="O22" i="2"/>
  <c r="M22" i="2"/>
  <c r="L22" i="2"/>
  <c r="K22" i="2"/>
  <c r="S21" i="2"/>
  <c r="R21" i="2"/>
  <c r="P21" i="2"/>
  <c r="O21" i="2"/>
  <c r="M21" i="2"/>
  <c r="L21" i="2"/>
  <c r="K21" i="2"/>
  <c r="S20" i="2"/>
  <c r="R20" i="2"/>
  <c r="P20" i="2"/>
  <c r="O20" i="2"/>
  <c r="M20" i="2"/>
  <c r="L20" i="2"/>
  <c r="K20" i="2"/>
  <c r="S19" i="2"/>
  <c r="R19" i="2"/>
  <c r="P19" i="2"/>
  <c r="O19" i="2"/>
  <c r="M19" i="2"/>
  <c r="L19" i="2"/>
  <c r="K19" i="2"/>
  <c r="S18" i="2"/>
  <c r="R18" i="2"/>
  <c r="P18" i="2"/>
  <c r="O18" i="2"/>
  <c r="M18" i="2"/>
  <c r="L18" i="2"/>
  <c r="K18" i="2"/>
  <c r="S17" i="2"/>
  <c r="R17" i="2"/>
  <c r="P17" i="2"/>
  <c r="O17" i="2"/>
  <c r="M17" i="2"/>
  <c r="L17" i="2"/>
  <c r="K17" i="2"/>
  <c r="S16" i="2"/>
  <c r="R16" i="2"/>
  <c r="P16" i="2"/>
  <c r="O16" i="2"/>
  <c r="M16" i="2"/>
  <c r="L16" i="2"/>
  <c r="K16" i="2"/>
  <c r="S15" i="2"/>
  <c r="R15" i="2"/>
  <c r="P15" i="2"/>
  <c r="O15" i="2"/>
  <c r="M15" i="2"/>
  <c r="L15" i="2"/>
  <c r="K15" i="2"/>
  <c r="S14" i="2"/>
  <c r="R14" i="2"/>
  <c r="P14" i="2"/>
  <c r="O14" i="2"/>
  <c r="M14" i="2"/>
  <c r="L14" i="2"/>
  <c r="K14" i="2"/>
  <c r="S13" i="2"/>
  <c r="R13" i="2"/>
  <c r="P13" i="2"/>
  <c r="O13" i="2"/>
  <c r="M13" i="2"/>
  <c r="L13" i="2"/>
  <c r="K13" i="2"/>
  <c r="S12" i="2"/>
  <c r="R12" i="2"/>
  <c r="P12" i="2"/>
  <c r="O12" i="2"/>
  <c r="M12" i="2"/>
  <c r="L12" i="2"/>
  <c r="K12" i="2"/>
  <c r="S11" i="2"/>
  <c r="R11" i="2"/>
  <c r="P11" i="2"/>
  <c r="O11" i="2"/>
  <c r="M11" i="2"/>
  <c r="L11" i="2"/>
  <c r="K11" i="2"/>
  <c r="H22" i="2"/>
  <c r="F22" i="2"/>
  <c r="E22" i="2"/>
  <c r="D22" i="2"/>
  <c r="C22" i="2"/>
  <c r="H21" i="2"/>
  <c r="F21" i="2"/>
  <c r="E21" i="2"/>
  <c r="D21" i="2"/>
  <c r="C21" i="2"/>
  <c r="H20" i="2"/>
  <c r="F20" i="2"/>
  <c r="E20" i="2"/>
  <c r="D20" i="2"/>
  <c r="C20" i="2"/>
  <c r="H19" i="2"/>
  <c r="F19" i="2"/>
  <c r="E19" i="2"/>
  <c r="D19" i="2"/>
  <c r="C19" i="2"/>
  <c r="H18" i="2"/>
  <c r="F18" i="2"/>
  <c r="E18" i="2"/>
  <c r="D18" i="2"/>
  <c r="C18" i="2"/>
  <c r="H17" i="2"/>
  <c r="F17" i="2"/>
  <c r="E17" i="2"/>
  <c r="D17" i="2"/>
  <c r="C17" i="2"/>
  <c r="H16" i="2"/>
  <c r="F16" i="2"/>
  <c r="E16" i="2"/>
  <c r="D16" i="2"/>
  <c r="C16" i="2"/>
  <c r="H15" i="2"/>
  <c r="F15" i="2"/>
  <c r="E15" i="2"/>
  <c r="D15" i="2"/>
  <c r="C15" i="2"/>
  <c r="H14" i="2"/>
  <c r="F14" i="2"/>
  <c r="E14" i="2"/>
  <c r="D14" i="2"/>
  <c r="C14" i="2"/>
  <c r="H13" i="2"/>
  <c r="F13" i="2"/>
  <c r="E13" i="2"/>
  <c r="D13" i="2"/>
  <c r="C13" i="2"/>
  <c r="H12" i="2"/>
  <c r="F12" i="2"/>
  <c r="E12" i="2"/>
  <c r="D12" i="2"/>
  <c r="C12" i="2"/>
  <c r="H11" i="2"/>
  <c r="F11" i="2"/>
  <c r="E11" i="2"/>
  <c r="D11" i="2"/>
  <c r="C11" i="2"/>
  <c r="DX23" i="2"/>
  <c r="DW23" i="2"/>
  <c r="DV23" i="2"/>
  <c r="DU23" i="2"/>
  <c r="DT23" i="2"/>
  <c r="DS23" i="2"/>
  <c r="DR23" i="2"/>
  <c r="DQ23" i="2"/>
  <c r="DL22" i="2"/>
  <c r="DL21" i="2"/>
  <c r="DL20" i="2"/>
  <c r="DL19" i="2"/>
  <c r="DL18" i="2"/>
  <c r="DL17" i="2"/>
  <c r="DL16" i="2"/>
  <c r="DL15" i="2"/>
  <c r="DL14" i="2"/>
  <c r="DL13" i="2"/>
  <c r="DL12" i="2"/>
  <c r="DL11" i="2"/>
  <c r="DI23" i="2"/>
  <c r="DH23" i="2"/>
  <c r="DG23" i="2"/>
  <c r="DE23" i="2"/>
  <c r="DD23" i="2"/>
  <c r="DC23" i="2"/>
  <c r="DA23" i="2"/>
  <c r="CZ23" i="2"/>
  <c r="CY23" i="2"/>
  <c r="CX23" i="2"/>
  <c r="CW22" i="2"/>
  <c r="CW21" i="2"/>
  <c r="CW20" i="2"/>
  <c r="CW19" i="2"/>
  <c r="CW18" i="2"/>
  <c r="CW17" i="2"/>
  <c r="CW16" i="2"/>
  <c r="CW15" i="2"/>
  <c r="CW14" i="2"/>
  <c r="CW13" i="2"/>
  <c r="CW12" i="2"/>
  <c r="DJ11" i="2"/>
  <c r="DG12" i="2" s="1"/>
  <c r="DJ12" i="2" s="1"/>
  <c r="DG13" i="2" s="1"/>
  <c r="DJ13" i="2" s="1"/>
  <c r="DG14" i="2" s="1"/>
  <c r="DJ14" i="2" s="1"/>
  <c r="DG15" i="2" s="1"/>
  <c r="DJ15" i="2" s="1"/>
  <c r="DG16" i="2" s="1"/>
  <c r="DJ16" i="2" s="1"/>
  <c r="DG17" i="2" s="1"/>
  <c r="DJ17" i="2" s="1"/>
  <c r="DG18" i="2" s="1"/>
  <c r="DJ18" i="2" s="1"/>
  <c r="DG19" i="2" s="1"/>
  <c r="DJ19" i="2" s="1"/>
  <c r="DG20" i="2" s="1"/>
  <c r="DJ20" i="2" s="1"/>
  <c r="DG21" i="2" s="1"/>
  <c r="DJ21" i="2" s="1"/>
  <c r="DG22" i="2" s="1"/>
  <c r="DJ22" i="2" s="1"/>
  <c r="DF11" i="2"/>
  <c r="DC12" i="2" s="1"/>
  <c r="DF12" i="2" s="1"/>
  <c r="DC13" i="2" s="1"/>
  <c r="DF13" i="2" s="1"/>
  <c r="DC14" i="2" s="1"/>
  <c r="DF14" i="2" s="1"/>
  <c r="DC15" i="2" s="1"/>
  <c r="DF15" i="2" s="1"/>
  <c r="DC16" i="2" s="1"/>
  <c r="DF16" i="2" s="1"/>
  <c r="DC17" i="2" s="1"/>
  <c r="DF17" i="2" s="1"/>
  <c r="DC18" i="2" s="1"/>
  <c r="DF18" i="2" s="1"/>
  <c r="DC19" i="2" s="1"/>
  <c r="DF19" i="2" s="1"/>
  <c r="DC20" i="2" s="1"/>
  <c r="DF20" i="2" s="1"/>
  <c r="DC21" i="2" s="1"/>
  <c r="DF21" i="2" s="1"/>
  <c r="DC22" i="2" s="1"/>
  <c r="DF22" i="2" s="1"/>
  <c r="DB11" i="2"/>
  <c r="CX12" i="2" s="1"/>
  <c r="DB12" i="2" s="1"/>
  <c r="CX13" i="2" s="1"/>
  <c r="DB13" i="2" s="1"/>
  <c r="CX14" i="2" s="1"/>
  <c r="DB14" i="2" s="1"/>
  <c r="CX15" i="2" s="1"/>
  <c r="DB15" i="2" s="1"/>
  <c r="CX16" i="2" s="1"/>
  <c r="DB16" i="2" s="1"/>
  <c r="CX17" i="2" s="1"/>
  <c r="DB17" i="2" s="1"/>
  <c r="CX18" i="2" s="1"/>
  <c r="DB18" i="2" s="1"/>
  <c r="CX19" i="2" s="1"/>
  <c r="DB19" i="2" s="1"/>
  <c r="CX20" i="2" s="1"/>
  <c r="DB20" i="2" s="1"/>
  <c r="CX21" i="2" s="1"/>
  <c r="DB21" i="2" s="1"/>
  <c r="CX22" i="2" s="1"/>
  <c r="DB22" i="2" s="1"/>
  <c r="CW11" i="2"/>
  <c r="CM22" i="2"/>
  <c r="CM21" i="2"/>
  <c r="CM20" i="2"/>
  <c r="CM19" i="2"/>
  <c r="CM18" i="2"/>
  <c r="CM17" i="2"/>
  <c r="CM16" i="2"/>
  <c r="CM15" i="2"/>
  <c r="CM14" i="2"/>
  <c r="CM13" i="2"/>
  <c r="CM12" i="2"/>
  <c r="CR23" i="2"/>
  <c r="CU23" i="2" s="1"/>
  <c r="CM11" i="2"/>
  <c r="CH23" i="2"/>
  <c r="CJ22" i="2"/>
  <c r="CE22" i="2"/>
  <c r="CJ21" i="2"/>
  <c r="CE21" i="2"/>
  <c r="CJ20" i="2"/>
  <c r="CE20" i="2"/>
  <c r="CJ19" i="2"/>
  <c r="CE19" i="2"/>
  <c r="CJ18" i="2"/>
  <c r="CE18" i="2"/>
  <c r="CJ17" i="2"/>
  <c r="CE17" i="2"/>
  <c r="CJ16" i="2"/>
  <c r="CE16" i="2"/>
  <c r="CJ15" i="2"/>
  <c r="CE15" i="2"/>
  <c r="CJ14" i="2"/>
  <c r="CE14" i="2"/>
  <c r="CJ13" i="2"/>
  <c r="CE13" i="2"/>
  <c r="CE12" i="2"/>
  <c r="CE11" i="2"/>
  <c r="CC22" i="2"/>
  <c r="CD22" i="2" s="1"/>
  <c r="BW22" i="2"/>
  <c r="CC21" i="2"/>
  <c r="CD21" i="2" s="1"/>
  <c r="BW21" i="2"/>
  <c r="CC20" i="2"/>
  <c r="CD20" i="2" s="1"/>
  <c r="BW20" i="2"/>
  <c r="CC19" i="2"/>
  <c r="CD19" i="2" s="1"/>
  <c r="BW19" i="2"/>
  <c r="CC18" i="2"/>
  <c r="CD18" i="2" s="1"/>
  <c r="BW18" i="2"/>
  <c r="CC17" i="2"/>
  <c r="CD17" i="2" s="1"/>
  <c r="BW17" i="2"/>
  <c r="BW16" i="2"/>
  <c r="BW15" i="2"/>
  <c r="BW14" i="2"/>
  <c r="BW13" i="2"/>
  <c r="BW12" i="2"/>
  <c r="BW11" i="2"/>
  <c r="BS23" i="2"/>
  <c r="BV22" i="2"/>
  <c r="BU22" i="2"/>
  <c r="BH22" i="2"/>
  <c r="BC22" i="2"/>
  <c r="BV21" i="2"/>
  <c r="BU21" i="2"/>
  <c r="BH21" i="2"/>
  <c r="BC21" i="2"/>
  <c r="BV20" i="2"/>
  <c r="BU20" i="2"/>
  <c r="BH20" i="2"/>
  <c r="BC20" i="2"/>
  <c r="BV19" i="2"/>
  <c r="BU19" i="2"/>
  <c r="BH19" i="2"/>
  <c r="BC19" i="2"/>
  <c r="BV18" i="2"/>
  <c r="BU18" i="2"/>
  <c r="BH18" i="2"/>
  <c r="BC18" i="2"/>
  <c r="BV17" i="2"/>
  <c r="BU17" i="2"/>
  <c r="BH17" i="2"/>
  <c r="BC17" i="2"/>
  <c r="BC16" i="2"/>
  <c r="BC15" i="2"/>
  <c r="BC14" i="2"/>
  <c r="BC13" i="2"/>
  <c r="BC12" i="2"/>
  <c r="BC11" i="2"/>
  <c r="BA22" i="2"/>
  <c r="AW22" i="2"/>
  <c r="AQ22" i="2"/>
  <c r="AR22" i="2" s="1"/>
  <c r="AM22" i="2"/>
  <c r="AI22" i="2"/>
  <c r="AS22" i="2" s="1"/>
  <c r="BA21" i="2"/>
  <c r="AW21" i="2"/>
  <c r="AQ21" i="2"/>
  <c r="AR21" i="2" s="1"/>
  <c r="AM21" i="2"/>
  <c r="AI21" i="2"/>
  <c r="AS21" i="2" s="1"/>
  <c r="BA20" i="2"/>
  <c r="AW20" i="2"/>
  <c r="AQ20" i="2"/>
  <c r="AR20" i="2" s="1"/>
  <c r="AM20" i="2"/>
  <c r="AI20" i="2"/>
  <c r="AS20" i="2" s="1"/>
  <c r="BA19" i="2"/>
  <c r="AW19" i="2"/>
  <c r="AQ19" i="2"/>
  <c r="AR19" i="2" s="1"/>
  <c r="AM19" i="2"/>
  <c r="AI19" i="2"/>
  <c r="AS19" i="2" s="1"/>
  <c r="BA18" i="2"/>
  <c r="AW18" i="2"/>
  <c r="AQ18" i="2"/>
  <c r="AR18" i="2" s="1"/>
  <c r="AM18" i="2"/>
  <c r="AI18" i="2"/>
  <c r="AS18" i="2" s="1"/>
  <c r="BA17" i="2"/>
  <c r="AW17" i="2"/>
  <c r="AQ17" i="2"/>
  <c r="AR17" i="2" s="1"/>
  <c r="AM17" i="2"/>
  <c r="AI17" i="2"/>
  <c r="AS17" i="2" s="1"/>
  <c r="AI16" i="2"/>
  <c r="AS16" i="2" s="1"/>
  <c r="AI15" i="2"/>
  <c r="AS15" i="2" s="1"/>
  <c r="AI14" i="2"/>
  <c r="AS14" i="2" s="1"/>
  <c r="AI13" i="2"/>
  <c r="AS13" i="2" s="1"/>
  <c r="AI12" i="2"/>
  <c r="AS12" i="2" s="1"/>
  <c r="AI11" i="2"/>
  <c r="AS11" i="2" s="1"/>
  <c r="AA23" i="2"/>
  <c r="V22" i="2"/>
  <c r="V21" i="2"/>
  <c r="V20" i="2"/>
  <c r="V19" i="2"/>
  <c r="V18" i="2"/>
  <c r="V17" i="2"/>
  <c r="V16" i="2"/>
  <c r="V15" i="2"/>
  <c r="V14" i="2"/>
  <c r="V13" i="2"/>
  <c r="V12" i="2"/>
  <c r="V11" i="2"/>
  <c r="J22" i="2"/>
  <c r="J21" i="2"/>
  <c r="J20" i="2"/>
  <c r="J19" i="2"/>
  <c r="J18" i="2"/>
  <c r="J17" i="2"/>
  <c r="J16" i="2"/>
  <c r="J15" i="2"/>
  <c r="J14" i="2"/>
  <c r="J13" i="2"/>
  <c r="J12" i="2"/>
  <c r="J11" i="2"/>
  <c r="BB20" i="4" l="1"/>
  <c r="BB18" i="4"/>
  <c r="BB21" i="4"/>
  <c r="DJ23" i="4"/>
  <c r="DF23" i="4"/>
  <c r="BB22" i="4"/>
  <c r="BB19" i="4"/>
  <c r="BB17" i="4"/>
  <c r="DB23" i="3"/>
  <c r="DF23" i="3"/>
  <c r="DJ23" i="3"/>
  <c r="AC82" i="1"/>
  <c r="Z82" i="1" s="1"/>
  <c r="BB21" i="3"/>
  <c r="BB20" i="3"/>
  <c r="BB18" i="3"/>
  <c r="BB22" i="3"/>
  <c r="BB19" i="3"/>
  <c r="BB17" i="3"/>
  <c r="Q22" i="4"/>
  <c r="N22" i="4"/>
  <c r="BB17" i="2"/>
  <c r="BB22" i="2"/>
  <c r="G11" i="3"/>
  <c r="I11" i="3" s="1"/>
  <c r="Q15" i="3"/>
  <c r="K149" i="1"/>
  <c r="N149" i="1" s="1"/>
  <c r="AG13" i="3"/>
  <c r="P23" i="4"/>
  <c r="G11" i="4"/>
  <c r="I11" i="4" s="1"/>
  <c r="N13" i="3"/>
  <c r="N17" i="3"/>
  <c r="T18" i="3"/>
  <c r="N19" i="3"/>
  <c r="Q19" i="3"/>
  <c r="Q15" i="4"/>
  <c r="Q17" i="4"/>
  <c r="Q14" i="4"/>
  <c r="N11" i="4"/>
  <c r="Q12" i="3"/>
  <c r="T11" i="4"/>
  <c r="BA12" i="4"/>
  <c r="Q22" i="3"/>
  <c r="AG22" i="4"/>
  <c r="BA16" i="4"/>
  <c r="Q20" i="4"/>
  <c r="G18" i="4"/>
  <c r="I18" i="4" s="1"/>
  <c r="Q17" i="2"/>
  <c r="T18" i="4"/>
  <c r="G22" i="4"/>
  <c r="I22" i="4" s="1"/>
  <c r="AW13" i="4"/>
  <c r="N15" i="4"/>
  <c r="AZ23" i="4"/>
  <c r="N16" i="3"/>
  <c r="G17" i="3"/>
  <c r="I17" i="3" s="1"/>
  <c r="AB20" i="4"/>
  <c r="AG12" i="3"/>
  <c r="AG19" i="3"/>
  <c r="T16" i="4"/>
  <c r="G12" i="4"/>
  <c r="I12" i="4" s="1"/>
  <c r="T15" i="4"/>
  <c r="T17" i="4"/>
  <c r="T21" i="4"/>
  <c r="BT13" i="4"/>
  <c r="BU13" i="4" s="1"/>
  <c r="AG13" i="4"/>
  <c r="Q21" i="4"/>
  <c r="AG17" i="3"/>
  <c r="G12" i="3"/>
  <c r="I12" i="3" s="1"/>
  <c r="T11" i="3"/>
  <c r="T20" i="3"/>
  <c r="T22" i="3"/>
  <c r="N14" i="4"/>
  <c r="N16" i="4"/>
  <c r="T16" i="3"/>
  <c r="N14" i="3"/>
  <c r="AG11" i="3"/>
  <c r="N15" i="3"/>
  <c r="T17" i="3"/>
  <c r="AG16" i="3"/>
  <c r="T12" i="4"/>
  <c r="T14" i="4"/>
  <c r="G16" i="2"/>
  <c r="I16" i="2" s="1"/>
  <c r="G16" i="3"/>
  <c r="I16" i="3" s="1"/>
  <c r="G11" i="2"/>
  <c r="I11" i="2" s="1"/>
  <c r="BH16" i="4"/>
  <c r="BT16" i="4"/>
  <c r="BU16" i="4" s="1"/>
  <c r="AG19" i="4"/>
  <c r="T12" i="3"/>
  <c r="G14" i="3"/>
  <c r="I14" i="3" s="1"/>
  <c r="BT12" i="4"/>
  <c r="BU12" i="4" s="1"/>
  <c r="G15" i="4"/>
  <c r="I15" i="4" s="1"/>
  <c r="G17" i="4"/>
  <c r="I17" i="4" s="1"/>
  <c r="AB15" i="4"/>
  <c r="AG20" i="4"/>
  <c r="AG21" i="4"/>
  <c r="AB13" i="3"/>
  <c r="AB14" i="3"/>
  <c r="AB20" i="3"/>
  <c r="AW15" i="4"/>
  <c r="BH15" i="3"/>
  <c r="BU15" i="3"/>
  <c r="Q17" i="3"/>
  <c r="N21" i="3"/>
  <c r="AG18" i="3"/>
  <c r="G14" i="4"/>
  <c r="I14" i="4" s="1"/>
  <c r="G17" i="2"/>
  <c r="I17" i="2" s="1"/>
  <c r="AB13" i="4"/>
  <c r="BU12" i="3"/>
  <c r="AW16" i="3"/>
  <c r="BU16" i="3"/>
  <c r="N18" i="3"/>
  <c r="G19" i="3"/>
  <c r="I19" i="3" s="1"/>
  <c r="AB22" i="3"/>
  <c r="BV15" i="4"/>
  <c r="T19" i="4"/>
  <c r="BL23" i="3"/>
  <c r="BA15" i="3"/>
  <c r="AG15" i="3"/>
  <c r="AG20" i="3"/>
  <c r="AB14" i="4"/>
  <c r="AG17" i="4"/>
  <c r="AG18" i="4"/>
  <c r="Q14" i="2"/>
  <c r="N20" i="2"/>
  <c r="BM23" i="3"/>
  <c r="Q11" i="3"/>
  <c r="Q14" i="3"/>
  <c r="Q16" i="3"/>
  <c r="T19" i="3"/>
  <c r="G21" i="3"/>
  <c r="I21" i="3" s="1"/>
  <c r="AG22" i="3"/>
  <c r="AW14" i="4"/>
  <c r="H23" i="4"/>
  <c r="N12" i="4"/>
  <c r="N13" i="4"/>
  <c r="T22" i="4"/>
  <c r="BA12" i="3"/>
  <c r="BN12" i="3"/>
  <c r="BV12" i="3" s="1"/>
  <c r="G15" i="3"/>
  <c r="I15" i="3" s="1"/>
  <c r="Q20" i="3"/>
  <c r="T21" i="3"/>
  <c r="N22" i="3"/>
  <c r="BL23" i="4"/>
  <c r="BY23" i="4"/>
  <c r="BA15" i="4"/>
  <c r="CD16" i="4"/>
  <c r="Q19" i="4"/>
  <c r="AV23" i="3"/>
  <c r="CC14" i="3"/>
  <c r="CD14" i="3" s="1"/>
  <c r="AB11" i="3"/>
  <c r="BM23" i="4"/>
  <c r="Q12" i="4"/>
  <c r="AB16" i="4"/>
  <c r="CC13" i="3"/>
  <c r="CD13" i="3" s="1"/>
  <c r="D23" i="3"/>
  <c r="G20" i="3"/>
  <c r="I20" i="3" s="1"/>
  <c r="BT14" i="4"/>
  <c r="BU14" i="4" s="1"/>
  <c r="AY23" i="3"/>
  <c r="T14" i="3"/>
  <c r="T13" i="4"/>
  <c r="T20" i="4"/>
  <c r="AG12" i="4"/>
  <c r="BX23" i="3"/>
  <c r="P23" i="3"/>
  <c r="BV12" i="4"/>
  <c r="D23" i="4"/>
  <c r="AG11" i="4"/>
  <c r="AW13" i="3"/>
  <c r="BU13" i="3"/>
  <c r="W23" i="3"/>
  <c r="BA11" i="4"/>
  <c r="BT15" i="4"/>
  <c r="BU15" i="4" s="1"/>
  <c r="Q12" i="2"/>
  <c r="T22" i="2"/>
  <c r="F23" i="3"/>
  <c r="T13" i="3"/>
  <c r="Q18" i="3"/>
  <c r="N20" i="3"/>
  <c r="Q21" i="3"/>
  <c r="AG14" i="3"/>
  <c r="AB16" i="3"/>
  <c r="BA13" i="4"/>
  <c r="BA14" i="4"/>
  <c r="G13" i="4"/>
  <c r="I13" i="4" s="1"/>
  <c r="N18" i="4"/>
  <c r="G19" i="4"/>
  <c r="I19" i="4" s="1"/>
  <c r="N21" i="4"/>
  <c r="G21" i="4"/>
  <c r="I21" i="4" s="1"/>
  <c r="BY23" i="3"/>
  <c r="AW12" i="3"/>
  <c r="CC15" i="3"/>
  <c r="CD15" i="3" s="1"/>
  <c r="CC16" i="3"/>
  <c r="CD16" i="3" s="1"/>
  <c r="G22" i="3"/>
  <c r="I22" i="3" s="1"/>
  <c r="CC13" i="4"/>
  <c r="CD13" i="4" s="1"/>
  <c r="CC14" i="4"/>
  <c r="CD14" i="4" s="1"/>
  <c r="BV16" i="4"/>
  <c r="Q11" i="4"/>
  <c r="AG16" i="2"/>
  <c r="BZ23" i="3"/>
  <c r="Q13" i="3"/>
  <c r="AB12" i="3"/>
  <c r="AB21" i="3"/>
  <c r="AW12" i="4"/>
  <c r="N17" i="4"/>
  <c r="AB22" i="4"/>
  <c r="CO23" i="3"/>
  <c r="AW14" i="3"/>
  <c r="BU14" i="3"/>
  <c r="AW15" i="3"/>
  <c r="AB17" i="3"/>
  <c r="AV23" i="4"/>
  <c r="CO23" i="4"/>
  <c r="G20" i="4"/>
  <c r="I20" i="4" s="1"/>
  <c r="AB17" i="4"/>
  <c r="AE23" i="3"/>
  <c r="AB18" i="3"/>
  <c r="CC15" i="4"/>
  <c r="CD15" i="4" s="1"/>
  <c r="AG14" i="4"/>
  <c r="BA11" i="3"/>
  <c r="AY23" i="4"/>
  <c r="BZ23" i="4"/>
  <c r="Q16" i="4"/>
  <c r="N19" i="4"/>
  <c r="AB18" i="4"/>
  <c r="BN13" i="3"/>
  <c r="BV13" i="3" s="1"/>
  <c r="BN14" i="3"/>
  <c r="BV14" i="3" s="1"/>
  <c r="BA16" i="3"/>
  <c r="BN16" i="3"/>
  <c r="BV16" i="3" s="1"/>
  <c r="AB15" i="3"/>
  <c r="AB19" i="3"/>
  <c r="AG21" i="3"/>
  <c r="AW16" i="4"/>
  <c r="AB12" i="4"/>
  <c r="AG15" i="4"/>
  <c r="AG16" i="4"/>
  <c r="AB19" i="4"/>
  <c r="AZ23" i="3"/>
  <c r="CC12" i="3"/>
  <c r="CD12" i="3" s="1"/>
  <c r="BA13" i="3"/>
  <c r="BA14" i="3"/>
  <c r="BN15" i="3"/>
  <c r="BV15" i="3" s="1"/>
  <c r="N12" i="3"/>
  <c r="G13" i="3"/>
  <c r="I13" i="3" s="1"/>
  <c r="G18" i="3"/>
  <c r="I18" i="3" s="1"/>
  <c r="BX23" i="4"/>
  <c r="CC12" i="4"/>
  <c r="CD12" i="4" s="1"/>
  <c r="BV13" i="4"/>
  <c r="BV14" i="4"/>
  <c r="Q18" i="4"/>
  <c r="N20" i="4"/>
  <c r="AB21" i="4"/>
  <c r="AF23" i="4"/>
  <c r="AE23" i="4"/>
  <c r="AD23" i="4"/>
  <c r="AC23" i="4"/>
  <c r="W23" i="4"/>
  <c r="X23" i="4"/>
  <c r="O23" i="4"/>
  <c r="C23" i="4"/>
  <c r="F23" i="4"/>
  <c r="K23" i="4"/>
  <c r="G16" i="4"/>
  <c r="I16" i="4" s="1"/>
  <c r="R23" i="4"/>
  <c r="M23" i="4"/>
  <c r="Q13" i="4"/>
  <c r="S23" i="4"/>
  <c r="AB11" i="4"/>
  <c r="AQ11" i="4"/>
  <c r="BH13" i="4"/>
  <c r="BH14" i="4"/>
  <c r="L23" i="4"/>
  <c r="AX23" i="4"/>
  <c r="BP23" i="4"/>
  <c r="E23" i="4"/>
  <c r="AM11" i="4"/>
  <c r="AM23" i="4" s="1"/>
  <c r="BH15" i="4"/>
  <c r="AD23" i="3"/>
  <c r="AF23" i="3"/>
  <c r="X23" i="3"/>
  <c r="H23" i="3"/>
  <c r="C23" i="3"/>
  <c r="T15" i="3"/>
  <c r="N11" i="3"/>
  <c r="R23" i="3"/>
  <c r="K23" i="3"/>
  <c r="M23" i="3"/>
  <c r="O23" i="3"/>
  <c r="S23" i="3"/>
  <c r="AQ11" i="3"/>
  <c r="BH13" i="3"/>
  <c r="BH14" i="3"/>
  <c r="L23" i="3"/>
  <c r="AX23" i="3"/>
  <c r="BP23" i="3"/>
  <c r="BH16" i="3"/>
  <c r="AC23" i="3"/>
  <c r="E23" i="3"/>
  <c r="AM11" i="3"/>
  <c r="AM23" i="3" s="1"/>
  <c r="CC11" i="3"/>
  <c r="N18" i="2"/>
  <c r="BT13" i="2"/>
  <c r="BU13" i="2" s="1"/>
  <c r="G12" i="2"/>
  <c r="I12" i="2" s="1"/>
  <c r="BB18" i="2"/>
  <c r="BB21" i="2"/>
  <c r="BB20" i="2"/>
  <c r="BB19" i="2"/>
  <c r="DJ23" i="2"/>
  <c r="DB23" i="2"/>
  <c r="BH12" i="2"/>
  <c r="N15" i="2"/>
  <c r="T21" i="2"/>
  <c r="AV23" i="2"/>
  <c r="AQ12" i="2"/>
  <c r="AR12" i="2" s="1"/>
  <c r="AM16" i="2"/>
  <c r="CC13" i="2"/>
  <c r="CD13" i="2" s="1"/>
  <c r="Q18" i="2"/>
  <c r="AM13" i="2"/>
  <c r="AM14" i="2"/>
  <c r="AQ15" i="2"/>
  <c r="G18" i="2"/>
  <c r="I18" i="2" s="1"/>
  <c r="N11" i="2"/>
  <c r="T16" i="2"/>
  <c r="Q21" i="2"/>
  <c r="CA23" i="2"/>
  <c r="H23" i="2"/>
  <c r="AW16" i="2"/>
  <c r="BN14" i="2"/>
  <c r="BV14" i="2" s="1"/>
  <c r="T20" i="2"/>
  <c r="AG14" i="2"/>
  <c r="AB16" i="2"/>
  <c r="AG22" i="2"/>
  <c r="BT15" i="2"/>
  <c r="BU15" i="2" s="1"/>
  <c r="AG15" i="2"/>
  <c r="N14" i="2"/>
  <c r="BT14" i="2"/>
  <c r="BU14" i="2" s="1"/>
  <c r="N13" i="2"/>
  <c r="Q15" i="2"/>
  <c r="BA11" i="2"/>
  <c r="AW14" i="2"/>
  <c r="AQ16" i="2"/>
  <c r="AR16" i="2" s="1"/>
  <c r="Q13" i="2"/>
  <c r="T18" i="2"/>
  <c r="T19" i="2"/>
  <c r="AG12" i="2"/>
  <c r="AG17" i="2"/>
  <c r="AG18" i="2"/>
  <c r="AG20" i="2"/>
  <c r="G14" i="2"/>
  <c r="I14" i="2" s="1"/>
  <c r="G20" i="2"/>
  <c r="I20" i="2" s="1"/>
  <c r="T15" i="2"/>
  <c r="AG21" i="2"/>
  <c r="AQ14" i="2"/>
  <c r="AR14" i="2" s="1"/>
  <c r="G19" i="2"/>
  <c r="I19" i="2" s="1"/>
  <c r="N16" i="2"/>
  <c r="N17" i="2"/>
  <c r="AM12" i="2"/>
  <c r="BA12" i="2"/>
  <c r="AQ13" i="2"/>
  <c r="AR13" i="2" s="1"/>
  <c r="BH16" i="2"/>
  <c r="G13" i="2"/>
  <c r="I13" i="2" s="1"/>
  <c r="G21" i="2"/>
  <c r="I21" i="2" s="1"/>
  <c r="Q19" i="2"/>
  <c r="AB13" i="2"/>
  <c r="AB17" i="2"/>
  <c r="AY23" i="2"/>
  <c r="BL23" i="2"/>
  <c r="BN15" i="2"/>
  <c r="BV15" i="2" s="1"/>
  <c r="CC12" i="2"/>
  <c r="CD12" i="2" s="1"/>
  <c r="CC16" i="2"/>
  <c r="CD16" i="2" s="1"/>
  <c r="Q20" i="2"/>
  <c r="Q22" i="2"/>
  <c r="AB22" i="2"/>
  <c r="AZ23" i="2"/>
  <c r="AW15" i="2"/>
  <c r="AX23" i="2"/>
  <c r="BN16" i="2"/>
  <c r="BV16" i="2" s="1"/>
  <c r="BX23" i="2"/>
  <c r="AB14" i="2"/>
  <c r="BA13" i="2"/>
  <c r="G22" i="2"/>
  <c r="I22" i="2" s="1"/>
  <c r="BM23" i="2"/>
  <c r="CC11" i="2"/>
  <c r="CC15" i="2"/>
  <c r="CD15" i="2" s="1"/>
  <c r="AB18" i="2"/>
  <c r="AB19" i="2"/>
  <c r="AW13" i="2"/>
  <c r="BT12" i="2"/>
  <c r="BU12" i="2" s="1"/>
  <c r="BN13" i="2"/>
  <c r="BV13" i="2" s="1"/>
  <c r="BZ23" i="2"/>
  <c r="AB15" i="2"/>
  <c r="AB20" i="2"/>
  <c r="BA16" i="2"/>
  <c r="BP23" i="2"/>
  <c r="BH15" i="2"/>
  <c r="BU16" i="2"/>
  <c r="CC14" i="2"/>
  <c r="CD14" i="2" s="1"/>
  <c r="T13" i="2"/>
  <c r="T14" i="2"/>
  <c r="Q16" i="2"/>
  <c r="N19" i="2"/>
  <c r="AG13" i="2"/>
  <c r="AW12" i="2"/>
  <c r="BA14" i="2"/>
  <c r="BA15" i="2"/>
  <c r="BH14" i="2"/>
  <c r="CB23" i="2"/>
  <c r="CO23" i="2"/>
  <c r="T12" i="2"/>
  <c r="T17" i="2"/>
  <c r="N21" i="2"/>
  <c r="N22" i="2"/>
  <c r="AB12" i="2"/>
  <c r="AG19" i="2"/>
  <c r="AB21" i="2"/>
  <c r="DF23" i="2"/>
  <c r="W23" i="2"/>
  <c r="AC23" i="2"/>
  <c r="AD23" i="2"/>
  <c r="AF23" i="2"/>
  <c r="AE23" i="2"/>
  <c r="X23" i="2"/>
  <c r="AB11" i="2"/>
  <c r="K23" i="2"/>
  <c r="O23" i="2"/>
  <c r="L23" i="2"/>
  <c r="P23" i="2"/>
  <c r="M23" i="2"/>
  <c r="S23" i="2"/>
  <c r="N12" i="2"/>
  <c r="T11" i="2"/>
  <c r="R23" i="2"/>
  <c r="E23" i="2"/>
  <c r="G15" i="2"/>
  <c r="I15" i="2" s="1"/>
  <c r="D23" i="2"/>
  <c r="F23" i="2"/>
  <c r="CJ12" i="2"/>
  <c r="BV12" i="2"/>
  <c r="BY23" i="2"/>
  <c r="Q11" i="2"/>
  <c r="BH13" i="2"/>
  <c r="C23" i="2"/>
  <c r="AG11" i="2"/>
  <c r="I131" i="1"/>
  <c r="H131" i="1"/>
  <c r="E131" i="1"/>
  <c r="D131" i="1"/>
  <c r="I130" i="1"/>
  <c r="H130" i="1"/>
  <c r="E130" i="1"/>
  <c r="D130" i="1"/>
  <c r="I129" i="1"/>
  <c r="H129" i="1"/>
  <c r="E129" i="1"/>
  <c r="D129" i="1"/>
  <c r="I128" i="1"/>
  <c r="H128" i="1"/>
  <c r="E128" i="1"/>
  <c r="D128" i="1"/>
  <c r="I127" i="1"/>
  <c r="H127" i="1"/>
  <c r="E127" i="1"/>
  <c r="D127" i="1"/>
  <c r="G126" i="1"/>
  <c r="D126" i="1"/>
  <c r="F115" i="1"/>
  <c r="D115" i="1"/>
  <c r="F114" i="1"/>
  <c r="D114" i="1"/>
  <c r="F113" i="1"/>
  <c r="D113" i="1"/>
  <c r="F112" i="1"/>
  <c r="D112" i="1"/>
  <c r="F111" i="1"/>
  <c r="D111" i="1"/>
  <c r="G97" i="1"/>
  <c r="F97" i="1"/>
  <c r="E97" i="1"/>
  <c r="D97" i="1"/>
  <c r="G96" i="1"/>
  <c r="F96" i="1"/>
  <c r="E96" i="1"/>
  <c r="D96" i="1"/>
  <c r="G95" i="1"/>
  <c r="F95" i="1"/>
  <c r="E95" i="1"/>
  <c r="D95" i="1"/>
  <c r="G94" i="1"/>
  <c r="F94" i="1"/>
  <c r="E94" i="1"/>
  <c r="D94" i="1"/>
  <c r="G93" i="1"/>
  <c r="F93" i="1"/>
  <c r="E93" i="1"/>
  <c r="D93" i="1"/>
  <c r="C97" i="1"/>
  <c r="C96" i="1"/>
  <c r="C95" i="1"/>
  <c r="C94" i="1"/>
  <c r="C93" i="1"/>
  <c r="I98" i="1"/>
  <c r="H80" i="1"/>
  <c r="C80" i="1"/>
  <c r="W64" i="1"/>
  <c r="AB82" i="1"/>
  <c r="Y82" i="1" s="1"/>
  <c r="N80" i="1"/>
  <c r="N79" i="1"/>
  <c r="N78" i="1"/>
  <c r="N77" i="1"/>
  <c r="N76" i="1"/>
  <c r="Q80" i="1"/>
  <c r="Q79" i="1"/>
  <c r="Q78" i="1"/>
  <c r="Q77" i="1"/>
  <c r="Q76" i="1"/>
  <c r="P80" i="1"/>
  <c r="P79" i="1"/>
  <c r="P78" i="1"/>
  <c r="P77" i="1"/>
  <c r="P76" i="1"/>
  <c r="O80" i="1"/>
  <c r="O79" i="1"/>
  <c r="O78" i="1"/>
  <c r="O77" i="1"/>
  <c r="O76" i="1"/>
  <c r="L80" i="1"/>
  <c r="L79" i="1"/>
  <c r="L78" i="1"/>
  <c r="L77" i="1"/>
  <c r="L76" i="1"/>
  <c r="K80" i="1"/>
  <c r="K79" i="1"/>
  <c r="K78" i="1"/>
  <c r="K77" i="1"/>
  <c r="K76" i="1"/>
  <c r="J80" i="1"/>
  <c r="J79" i="1"/>
  <c r="J78" i="1"/>
  <c r="J77" i="1"/>
  <c r="I80" i="1"/>
  <c r="I79" i="1"/>
  <c r="I78" i="1"/>
  <c r="I77" i="1"/>
  <c r="I76" i="1"/>
  <c r="H79" i="1"/>
  <c r="H78" i="1"/>
  <c r="H77" i="1"/>
  <c r="H76" i="1"/>
  <c r="F79" i="1"/>
  <c r="F78" i="1"/>
  <c r="D79" i="1"/>
  <c r="D78" i="1"/>
  <c r="D77" i="1"/>
  <c r="D76" i="1"/>
  <c r="C79" i="1"/>
  <c r="C78" i="1"/>
  <c r="C77" i="1"/>
  <c r="C76" i="1"/>
  <c r="V76" i="1" l="1"/>
  <c r="U76" i="1"/>
  <c r="V77" i="1"/>
  <c r="U77" i="1"/>
  <c r="V78" i="1"/>
  <c r="U78" i="1"/>
  <c r="V79" i="1"/>
  <c r="U79" i="1"/>
  <c r="U80" i="1"/>
  <c r="V80" i="1"/>
  <c r="U23" i="4"/>
  <c r="AH14" i="3"/>
  <c r="AH147" i="1"/>
  <c r="AI147" i="1" s="1"/>
  <c r="I146" i="1"/>
  <c r="AH146" i="1" s="1"/>
  <c r="AI146" i="1" s="1"/>
  <c r="E77" i="1"/>
  <c r="I145" i="1"/>
  <c r="I144" i="1"/>
  <c r="N97" i="1"/>
  <c r="L98" i="1"/>
  <c r="M98" i="1" s="1"/>
  <c r="BB14" i="3"/>
  <c r="AH13" i="3"/>
  <c r="AH22" i="3"/>
  <c r="BB12" i="3"/>
  <c r="I143" i="1"/>
  <c r="M76" i="1"/>
  <c r="AN77" i="1" s="1"/>
  <c r="AC83" i="1"/>
  <c r="Z83" i="1" s="1"/>
  <c r="AO83" i="1"/>
  <c r="AH20" i="3"/>
  <c r="AH17" i="3"/>
  <c r="BB12" i="4"/>
  <c r="BB14" i="4"/>
  <c r="U20" i="3"/>
  <c r="K150" i="1"/>
  <c r="N150" i="1" s="1"/>
  <c r="K151" i="1" s="1"/>
  <c r="N151" i="1" s="1"/>
  <c r="U21" i="3"/>
  <c r="U12" i="4"/>
  <c r="U19" i="3"/>
  <c r="AH16" i="2"/>
  <c r="AH11" i="3"/>
  <c r="AH18" i="3"/>
  <c r="U14" i="3"/>
  <c r="AH12" i="4"/>
  <c r="BB16" i="4"/>
  <c r="AH16" i="3"/>
  <c r="AH22" i="4"/>
  <c r="U22" i="4"/>
  <c r="U23" i="3"/>
  <c r="U18" i="3"/>
  <c r="AH12" i="3"/>
  <c r="U20" i="4"/>
  <c r="BB13" i="4"/>
  <c r="AH13" i="4"/>
  <c r="AH19" i="3"/>
  <c r="U17" i="4"/>
  <c r="AH18" i="4"/>
  <c r="BB15" i="4"/>
  <c r="AH14" i="4"/>
  <c r="U16" i="4"/>
  <c r="U15" i="4"/>
  <c r="AH15" i="4"/>
  <c r="AH20" i="4"/>
  <c r="BB16" i="3"/>
  <c r="BB15" i="3"/>
  <c r="U12" i="3"/>
  <c r="AH17" i="4"/>
  <c r="U14" i="4"/>
  <c r="U17" i="3"/>
  <c r="AH21" i="4"/>
  <c r="AH19" i="4"/>
  <c r="U13" i="4"/>
  <c r="U21" i="4"/>
  <c r="U13" i="3"/>
  <c r="AH15" i="3"/>
  <c r="Z23" i="3"/>
  <c r="AH16" i="4"/>
  <c r="BB13" i="3"/>
  <c r="Q23" i="3"/>
  <c r="U22" i="3"/>
  <c r="AH21" i="3"/>
  <c r="U19" i="4"/>
  <c r="BA23" i="4"/>
  <c r="BB12" i="2"/>
  <c r="G23" i="3"/>
  <c r="M78" i="1"/>
  <c r="U16" i="2"/>
  <c r="AH17" i="2"/>
  <c r="Q23" i="4"/>
  <c r="T23" i="3"/>
  <c r="N23" i="4"/>
  <c r="BA23" i="3"/>
  <c r="S77" i="1"/>
  <c r="AA78" i="1" s="1"/>
  <c r="X78" i="1" s="1"/>
  <c r="U18" i="4"/>
  <c r="M77" i="1"/>
  <c r="AB78" i="1" s="1"/>
  <c r="Y78" i="1" s="1"/>
  <c r="S79" i="1"/>
  <c r="AA80" i="1" s="1"/>
  <c r="X80" i="1" s="1"/>
  <c r="AB23" i="4"/>
  <c r="AG23" i="4"/>
  <c r="Z23" i="4"/>
  <c r="G23" i="4"/>
  <c r="AH11" i="4"/>
  <c r="BH12" i="4"/>
  <c r="T23" i="4"/>
  <c r="CD11" i="4"/>
  <c r="CC23" i="4"/>
  <c r="AQ23" i="4"/>
  <c r="AR11" i="4"/>
  <c r="AG23" i="3"/>
  <c r="AB23" i="3"/>
  <c r="U16" i="3"/>
  <c r="N23" i="3"/>
  <c r="AQ23" i="3"/>
  <c r="AR11" i="3"/>
  <c r="CD11" i="3"/>
  <c r="CC23" i="3"/>
  <c r="U15" i="3"/>
  <c r="BH12" i="3"/>
  <c r="U15" i="2"/>
  <c r="BB15" i="2"/>
  <c r="AH15" i="2"/>
  <c r="AH21" i="2"/>
  <c r="BB14" i="2"/>
  <c r="AH20" i="2"/>
  <c r="BB16" i="2"/>
  <c r="AH12" i="2"/>
  <c r="U21" i="2"/>
  <c r="BB13" i="2"/>
  <c r="AH22" i="2"/>
  <c r="U20" i="2"/>
  <c r="U22" i="2"/>
  <c r="U18" i="2"/>
  <c r="AH14" i="2"/>
  <c r="AH13" i="2"/>
  <c r="CC23" i="2"/>
  <c r="U19" i="2"/>
  <c r="U23" i="2"/>
  <c r="U14" i="2"/>
  <c r="AH18" i="2"/>
  <c r="U17" i="2"/>
  <c r="T23" i="2"/>
  <c r="BA23" i="2"/>
  <c r="Q23" i="2"/>
  <c r="U13" i="2"/>
  <c r="AH19" i="2"/>
  <c r="AB23" i="2"/>
  <c r="Z23" i="2"/>
  <c r="CD11" i="2"/>
  <c r="N23" i="2"/>
  <c r="AG23" i="2"/>
  <c r="AH11" i="2"/>
  <c r="G23" i="2"/>
  <c r="U12" i="2"/>
  <c r="M79" i="1"/>
  <c r="AB80" i="1" s="1"/>
  <c r="Y80" i="1" s="1"/>
  <c r="S76" i="1"/>
  <c r="E79" i="1"/>
  <c r="S78" i="1"/>
  <c r="AA79" i="1" s="1"/>
  <c r="X79" i="1" s="1"/>
  <c r="S80" i="1"/>
  <c r="AA81" i="1" s="1"/>
  <c r="X81" i="1" s="1"/>
  <c r="E76" i="1"/>
  <c r="E78" i="1"/>
  <c r="M80" i="1"/>
  <c r="AB81" i="1" s="1"/>
  <c r="Y81" i="1" s="1"/>
  <c r="D80" i="1"/>
  <c r="F80" i="1"/>
  <c r="S63" i="1"/>
  <c r="S62" i="1"/>
  <c r="S61" i="1"/>
  <c r="S60" i="1"/>
  <c r="S59" i="1"/>
  <c r="R63" i="1"/>
  <c r="R62" i="1"/>
  <c r="R61" i="1"/>
  <c r="R60" i="1"/>
  <c r="R59" i="1"/>
  <c r="Q63" i="1"/>
  <c r="Q62" i="1"/>
  <c r="Q61" i="1"/>
  <c r="Q60" i="1"/>
  <c r="Q59" i="1"/>
  <c r="O63" i="1"/>
  <c r="O62" i="1"/>
  <c r="O61" i="1"/>
  <c r="O60" i="1"/>
  <c r="O59" i="1"/>
  <c r="N63" i="1"/>
  <c r="N62" i="1"/>
  <c r="N61" i="1"/>
  <c r="N60" i="1"/>
  <c r="N59" i="1"/>
  <c r="M63" i="1"/>
  <c r="M62" i="1"/>
  <c r="M61" i="1"/>
  <c r="M60" i="1"/>
  <c r="M59" i="1"/>
  <c r="V68" i="1"/>
  <c r="V65" i="1"/>
  <c r="W65" i="1" s="1"/>
  <c r="I63" i="1"/>
  <c r="I62" i="1"/>
  <c r="I61" i="1"/>
  <c r="I60" i="1"/>
  <c r="G63" i="1"/>
  <c r="G62" i="1"/>
  <c r="G61" i="1"/>
  <c r="G60" i="1"/>
  <c r="G59" i="1"/>
  <c r="E63" i="1"/>
  <c r="E62" i="1"/>
  <c r="E61" i="1"/>
  <c r="E60" i="1"/>
  <c r="E59" i="1"/>
  <c r="D63" i="1"/>
  <c r="D61" i="1"/>
  <c r="D60" i="1"/>
  <c r="D59" i="1"/>
  <c r="R58" i="1"/>
  <c r="S58" i="1"/>
  <c r="O75" i="1"/>
  <c r="K75" i="1"/>
  <c r="AH145" i="1" l="1"/>
  <c r="AI145" i="1" s="1"/>
  <c r="AH144" i="1"/>
  <c r="AI144" i="1" s="1"/>
  <c r="AH143" i="1"/>
  <c r="AI143" i="1" s="1"/>
  <c r="G77" i="1"/>
  <c r="AO78" i="1" s="1"/>
  <c r="G79" i="1"/>
  <c r="AC80" i="1" s="1"/>
  <c r="Z80" i="1" s="1"/>
  <c r="G76" i="1"/>
  <c r="AO77" i="1" s="1"/>
  <c r="G78" i="1"/>
  <c r="AC79" i="1" s="1"/>
  <c r="Z79" i="1" s="1"/>
  <c r="K152" i="1"/>
  <c r="N152" i="1" s="1"/>
  <c r="P152" i="1" s="1"/>
  <c r="AB77" i="1"/>
  <c r="Y77" i="1" s="1"/>
  <c r="AN81" i="1"/>
  <c r="AM81" i="1"/>
  <c r="AM80" i="1"/>
  <c r="AN80" i="1"/>
  <c r="AN78" i="1"/>
  <c r="AM78" i="1"/>
  <c r="AM79" i="1"/>
  <c r="AB79" i="1"/>
  <c r="Y79" i="1" s="1"/>
  <c r="AN79" i="1"/>
  <c r="AA77" i="1"/>
  <c r="X77" i="1" s="1"/>
  <c r="AM77" i="1"/>
  <c r="V59" i="1"/>
  <c r="V63" i="1"/>
  <c r="E80" i="1"/>
  <c r="F59" i="1"/>
  <c r="V60" i="1"/>
  <c r="O58" i="1"/>
  <c r="V62" i="1"/>
  <c r="V61" i="1"/>
  <c r="I44" i="1"/>
  <c r="X61" i="1" s="1"/>
  <c r="Q58" i="1"/>
  <c r="V58" i="1" s="1"/>
  <c r="L75" i="1"/>
  <c r="L46" i="1"/>
  <c r="L45" i="1"/>
  <c r="K46" i="1"/>
  <c r="K45" i="1"/>
  <c r="J46" i="1"/>
  <c r="I46" i="1"/>
  <c r="X63" i="1" s="1"/>
  <c r="I45" i="1"/>
  <c r="X62" i="1" s="1"/>
  <c r="G46" i="1"/>
  <c r="G45" i="1"/>
  <c r="H62" i="1" s="1"/>
  <c r="J62" i="1" s="1"/>
  <c r="F45" i="1"/>
  <c r="F46" i="1"/>
  <c r="E46" i="1"/>
  <c r="D46" i="1"/>
  <c r="C46" i="1"/>
  <c r="E45" i="1"/>
  <c r="D45" i="1"/>
  <c r="C45" i="1"/>
  <c r="K44" i="1"/>
  <c r="G44" i="1"/>
  <c r="H61" i="1" s="1"/>
  <c r="J61" i="1" s="1"/>
  <c r="F44" i="1"/>
  <c r="E44" i="1"/>
  <c r="D44" i="1"/>
  <c r="C44" i="1"/>
  <c r="I42" i="1"/>
  <c r="X59" i="1" s="1"/>
  <c r="G42" i="1"/>
  <c r="H59" i="1" s="1"/>
  <c r="F42" i="1"/>
  <c r="E42" i="1"/>
  <c r="C42" i="1"/>
  <c r="L42" i="1"/>
  <c r="D42" i="1"/>
  <c r="H51" i="1"/>
  <c r="H48" i="1"/>
  <c r="G111" i="1"/>
  <c r="I99" i="1"/>
  <c r="H97" i="1"/>
  <c r="I97" i="1" s="1"/>
  <c r="H96" i="1"/>
  <c r="I96" i="1" s="1"/>
  <c r="H95" i="1"/>
  <c r="I95" i="1" s="1"/>
  <c r="H94" i="1"/>
  <c r="I94" i="1" s="1"/>
  <c r="H93" i="1"/>
  <c r="I93" i="1" s="1"/>
  <c r="R87" i="1"/>
  <c r="K41" i="1"/>
  <c r="F41" i="1"/>
  <c r="G41" i="1"/>
  <c r="H58" i="1" s="1"/>
  <c r="P63" i="1"/>
  <c r="P62" i="1"/>
  <c r="P61" i="1"/>
  <c r="P60" i="1"/>
  <c r="P59" i="1"/>
  <c r="F63" i="1"/>
  <c r="F61" i="1"/>
  <c r="F60" i="1"/>
  <c r="M51" i="1"/>
  <c r="M48" i="1"/>
  <c r="O47" i="1"/>
  <c r="J28" i="1"/>
  <c r="G28" i="1"/>
  <c r="E28" i="1"/>
  <c r="E27" i="1"/>
  <c r="K25" i="1"/>
  <c r="C28" i="1"/>
  <c r="C25" i="1"/>
  <c r="W59" i="1" l="1"/>
  <c r="AC78" i="1"/>
  <c r="Z78" i="1" s="1"/>
  <c r="W61" i="1"/>
  <c r="W60" i="1"/>
  <c r="AC77" i="1"/>
  <c r="Z77" i="1" s="1"/>
  <c r="AO80" i="1"/>
  <c r="G80" i="1"/>
  <c r="AO81" i="1" s="1"/>
  <c r="AO79" i="1"/>
  <c r="H63" i="1"/>
  <c r="J63" i="1" s="1"/>
  <c r="K63" i="1" s="1"/>
  <c r="K61" i="1"/>
  <c r="W63" i="1"/>
  <c r="O51" i="1"/>
  <c r="O48" i="1"/>
  <c r="W62" i="1"/>
  <c r="C41" i="1"/>
  <c r="L44" i="1"/>
  <c r="J27" i="1"/>
  <c r="K27" i="1"/>
  <c r="D41" i="1"/>
  <c r="K42" i="1"/>
  <c r="H46" i="1"/>
  <c r="H26" i="1"/>
  <c r="J26" i="1"/>
  <c r="E43" i="1"/>
  <c r="G25" i="1"/>
  <c r="K28" i="1"/>
  <c r="L28" i="1" s="1"/>
  <c r="H28" i="1"/>
  <c r="I28" i="1" s="1"/>
  <c r="M46" i="1"/>
  <c r="K26" i="1"/>
  <c r="E25" i="1"/>
  <c r="H44" i="1"/>
  <c r="H45" i="1"/>
  <c r="G43" i="1"/>
  <c r="H60" i="1" s="1"/>
  <c r="J60" i="1" s="1"/>
  <c r="K60" i="1" s="1"/>
  <c r="H42" i="1"/>
  <c r="E41" i="1"/>
  <c r="J41" i="1"/>
  <c r="I41" i="1"/>
  <c r="N30" i="1"/>
  <c r="T10" i="1"/>
  <c r="AR10" i="1" s="1"/>
  <c r="T9" i="1"/>
  <c r="AR9" i="1" s="1"/>
  <c r="T8" i="1"/>
  <c r="AR8" i="1" s="1"/>
  <c r="T7" i="1"/>
  <c r="AR7" i="1" s="1"/>
  <c r="L10" i="1"/>
  <c r="L9" i="1"/>
  <c r="L8" i="1"/>
  <c r="L7" i="1"/>
  <c r="H7" i="1"/>
  <c r="H8" i="1"/>
  <c r="H9" i="1"/>
  <c r="H10" i="1"/>
  <c r="C7" i="1"/>
  <c r="AO7" i="1" s="1"/>
  <c r="C8" i="1"/>
  <c r="AO8" i="1" s="1"/>
  <c r="C9" i="1"/>
  <c r="AO9" i="1" s="1"/>
  <c r="AQ14" i="1"/>
  <c r="U12" i="1"/>
  <c r="K170" i="1"/>
  <c r="J170" i="1"/>
  <c r="I170" i="1"/>
  <c r="H170" i="1"/>
  <c r="G170" i="1"/>
  <c r="F170" i="1"/>
  <c r="E170" i="1"/>
  <c r="D170" i="1"/>
  <c r="C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G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E122" i="1"/>
  <c r="B121" i="1"/>
  <c r="B120" i="1"/>
  <c r="B119" i="1"/>
  <c r="B118" i="1"/>
  <c r="G117" i="1"/>
  <c r="B117" i="1"/>
  <c r="G116" i="1"/>
  <c r="B116" i="1"/>
  <c r="G115" i="1"/>
  <c r="B115" i="1"/>
  <c r="G114" i="1"/>
  <c r="B114" i="1"/>
  <c r="G113" i="1"/>
  <c r="B113" i="1"/>
  <c r="G112" i="1"/>
  <c r="B112" i="1"/>
  <c r="B111" i="1"/>
  <c r="B110" i="1"/>
  <c r="B103" i="1"/>
  <c r="B102" i="1"/>
  <c r="B101" i="1"/>
  <c r="B100" i="1"/>
  <c r="B99" i="1"/>
  <c r="B98" i="1"/>
  <c r="B97" i="1"/>
  <c r="B96" i="1"/>
  <c r="B95" i="1"/>
  <c r="B94" i="1"/>
  <c r="B93" i="1"/>
  <c r="B92" i="1"/>
  <c r="B86" i="1"/>
  <c r="B85" i="1"/>
  <c r="B84" i="1"/>
  <c r="B83" i="1"/>
  <c r="B82" i="1"/>
  <c r="B81" i="1"/>
  <c r="B80" i="1"/>
  <c r="B79" i="1"/>
  <c r="B78" i="1"/>
  <c r="B77" i="1"/>
  <c r="B76" i="1"/>
  <c r="B75" i="1"/>
  <c r="B69" i="1"/>
  <c r="L69" i="1" s="1"/>
  <c r="B68" i="1"/>
  <c r="L68" i="1" s="1"/>
  <c r="B67" i="1"/>
  <c r="L67" i="1" s="1"/>
  <c r="B66" i="1"/>
  <c r="L66" i="1" s="1"/>
  <c r="B65" i="1"/>
  <c r="L65" i="1" s="1"/>
  <c r="B64" i="1"/>
  <c r="L64" i="1" s="1"/>
  <c r="B63" i="1"/>
  <c r="L63" i="1" s="1"/>
  <c r="B62" i="1"/>
  <c r="L62" i="1" s="1"/>
  <c r="L61" i="1"/>
  <c r="B60" i="1"/>
  <c r="L60" i="1" s="1"/>
  <c r="B59" i="1"/>
  <c r="L59" i="1" s="1"/>
  <c r="B58" i="1"/>
  <c r="L58" i="1" s="1"/>
  <c r="B52" i="1"/>
  <c r="B51" i="1"/>
  <c r="B50" i="1"/>
  <c r="B49" i="1"/>
  <c r="B48" i="1"/>
  <c r="B47" i="1"/>
  <c r="B46" i="1"/>
  <c r="B45" i="1"/>
  <c r="B44" i="1"/>
  <c r="B43" i="1"/>
  <c r="B42" i="1"/>
  <c r="B41" i="1"/>
  <c r="B35" i="1"/>
  <c r="B34" i="1"/>
  <c r="B33" i="1"/>
  <c r="B32" i="1"/>
  <c r="B31" i="1"/>
  <c r="B30" i="1"/>
  <c r="B29" i="1"/>
  <c r="B28" i="1"/>
  <c r="B27" i="1"/>
  <c r="B26" i="1"/>
  <c r="B25" i="1"/>
  <c r="B24" i="1"/>
  <c r="AC81" i="1" l="1"/>
  <c r="Z81" i="1" s="1"/>
  <c r="P10" i="1"/>
  <c r="AQ10" i="1" s="1"/>
  <c r="P9" i="1"/>
  <c r="AQ9" i="1" s="1"/>
  <c r="P8" i="1"/>
  <c r="AQ8" i="1" s="1"/>
  <c r="P7" i="1"/>
  <c r="AQ7" i="1" s="1"/>
  <c r="AQ17" i="1"/>
  <c r="U13" i="1"/>
  <c r="AQ13" i="1"/>
  <c r="L27" i="1"/>
  <c r="O46" i="1"/>
  <c r="I59" i="1"/>
  <c r="J59" i="1" s="1"/>
  <c r="K59" i="1" s="1"/>
  <c r="H41" i="1"/>
  <c r="C10" i="1"/>
  <c r="AO10" i="1" s="1"/>
  <c r="J44" i="1"/>
  <c r="M44" i="1" s="1"/>
  <c r="O44" i="1" s="1"/>
  <c r="C27" i="1"/>
  <c r="G27" i="1"/>
  <c r="J25" i="1"/>
  <c r="L25" i="1" s="1"/>
  <c r="J42" i="1"/>
  <c r="M42" i="1" s="1"/>
  <c r="O42" i="1" s="1"/>
  <c r="L26" i="1"/>
  <c r="G26" i="1"/>
  <c r="I26" i="1" s="1"/>
  <c r="K43" i="1"/>
  <c r="F43" i="1"/>
  <c r="C43" i="1"/>
  <c r="L43" i="1"/>
  <c r="C26" i="1"/>
  <c r="I43" i="1"/>
  <c r="X60" i="1" s="1"/>
  <c r="D43" i="1"/>
  <c r="H25" i="1"/>
  <c r="I25" i="1" s="1"/>
  <c r="D26" i="1"/>
  <c r="L41" i="1"/>
  <c r="D28" i="1" l="1"/>
  <c r="F28" i="1" s="1"/>
  <c r="N28" i="1" s="1"/>
  <c r="D10" i="1"/>
  <c r="D9" i="1"/>
  <c r="D27" i="1"/>
  <c r="F27" i="1" s="1"/>
  <c r="D7" i="1"/>
  <c r="H43" i="1"/>
  <c r="J43" i="1"/>
  <c r="H27" i="1"/>
  <c r="I27" i="1" s="1"/>
  <c r="D25" i="1"/>
  <c r="F25" i="1" s="1"/>
  <c r="N25" i="1" s="1"/>
  <c r="M41" i="1"/>
  <c r="O41" i="1" s="1"/>
  <c r="U7" i="1" l="1"/>
  <c r="AP7" i="1"/>
  <c r="U9" i="1"/>
  <c r="AP9" i="1"/>
  <c r="U10" i="1"/>
  <c r="AP10" i="1"/>
  <c r="N27" i="1"/>
  <c r="E26" i="1"/>
  <c r="F26" i="1" s="1"/>
  <c r="N26" i="1" s="1"/>
  <c r="D8" i="1"/>
  <c r="M43" i="1"/>
  <c r="O43" i="1" s="1"/>
  <c r="U8" i="1" l="1"/>
  <c r="AP8" i="1"/>
  <c r="H29" i="1" l="1"/>
  <c r="L11" i="1"/>
  <c r="H11" i="1"/>
  <c r="T11" i="1"/>
  <c r="AR11" i="1" s="1"/>
  <c r="C11" i="1"/>
  <c r="AO11" i="1" s="1"/>
  <c r="D11" i="1"/>
  <c r="AP11" i="1" s="1"/>
  <c r="D29" i="1"/>
  <c r="P11" i="1" l="1"/>
  <c r="E29" i="1"/>
  <c r="G29" i="1"/>
  <c r="K29" i="1"/>
  <c r="C29" i="1"/>
  <c r="J29" i="1"/>
  <c r="U11" i="1" l="1"/>
  <c r="AQ11" i="1"/>
  <c r="F29" i="1"/>
  <c r="L29" i="1"/>
  <c r="I29" i="1"/>
  <c r="N29" i="1" l="1"/>
  <c r="S66" i="1" l="1"/>
  <c r="O66" i="1"/>
  <c r="G49" i="1"/>
  <c r="H66" i="1" s="1"/>
  <c r="E49" i="1"/>
  <c r="Q66" i="1"/>
  <c r="G32" i="1" l="1"/>
  <c r="R66" i="1"/>
  <c r="D118" i="1"/>
  <c r="F83" i="1"/>
  <c r="I49" i="1"/>
  <c r="F49" i="1"/>
  <c r="C49" i="1"/>
  <c r="F118" i="1"/>
  <c r="H32" i="1"/>
  <c r="J83" i="1"/>
  <c r="E66" i="1"/>
  <c r="P83" i="1"/>
  <c r="M66" i="1"/>
  <c r="D49" i="1"/>
  <c r="J32" i="1"/>
  <c r="D83" i="1"/>
  <c r="N66" i="1"/>
  <c r="K83" i="1"/>
  <c r="O83" i="1"/>
  <c r="X66" i="1" l="1"/>
  <c r="H49" i="1"/>
  <c r="Q83" i="1"/>
  <c r="L83" i="1"/>
  <c r="I66" i="1"/>
  <c r="G118" i="1"/>
  <c r="K32" i="1"/>
  <c r="C100" i="1"/>
  <c r="K49" i="1"/>
  <c r="C83" i="1"/>
  <c r="C14" i="1"/>
  <c r="AO14" i="1" s="1"/>
  <c r="I32" i="1"/>
  <c r="C32" i="1"/>
  <c r="D14" i="1"/>
  <c r="AP14" i="1" s="1"/>
  <c r="L49" i="1"/>
  <c r="V66" i="1"/>
  <c r="P66" i="1"/>
  <c r="E83" i="1"/>
  <c r="U83" i="1" l="1"/>
  <c r="S83" i="1"/>
  <c r="H134" i="1"/>
  <c r="H83" i="1"/>
  <c r="U14" i="1"/>
  <c r="I83" i="1"/>
  <c r="G83" i="1"/>
  <c r="L32" i="1"/>
  <c r="D32" i="1"/>
  <c r="G100" i="1"/>
  <c r="J49" i="1"/>
  <c r="G66" i="1"/>
  <c r="W66" i="1"/>
  <c r="E32" i="1"/>
  <c r="S148" i="1" l="1"/>
  <c r="S147" i="1" s="1"/>
  <c r="S146" i="1" s="1"/>
  <c r="S145" i="1" s="1"/>
  <c r="S144" i="1" s="1"/>
  <c r="S143" i="1" s="1"/>
  <c r="S142" i="1" s="1"/>
  <c r="J66" i="1"/>
  <c r="D66" i="1"/>
  <c r="H100" i="1"/>
  <c r="AC84" i="1"/>
  <c r="Z84" i="1" s="1"/>
  <c r="AO84" i="1"/>
  <c r="M83" i="1"/>
  <c r="M49" i="1"/>
  <c r="O49" i="1" s="1"/>
  <c r="F32" i="1"/>
  <c r="N83" i="1"/>
  <c r="I134" i="1"/>
  <c r="AH150" i="1" l="1"/>
  <c r="AI150" i="1" s="1"/>
  <c r="V83" i="1"/>
  <c r="AA84" i="1"/>
  <c r="X84" i="1" s="1"/>
  <c r="F66" i="1"/>
  <c r="N32" i="1"/>
  <c r="AM84" i="1"/>
  <c r="I100" i="1"/>
  <c r="AN84" i="1"/>
  <c r="AB84" i="1"/>
  <c r="Y84" i="1" s="1"/>
  <c r="E134" i="1"/>
  <c r="K66" i="1" l="1"/>
  <c r="D134" i="1"/>
  <c r="BK23" i="2" l="1"/>
  <c r="CP23" i="2"/>
  <c r="AL23" i="2"/>
  <c r="BO23" i="2"/>
  <c r="BF23" i="2"/>
  <c r="BR23" i="2"/>
  <c r="AP23" i="2"/>
  <c r="AU23" i="2"/>
  <c r="BD23" i="2"/>
  <c r="BG23" i="2"/>
  <c r="BI23" i="2"/>
  <c r="CG23" i="2"/>
  <c r="AO23" i="2"/>
  <c r="AM11" i="2" l="1"/>
  <c r="CU11" i="2"/>
  <c r="CU12" i="2" s="1"/>
  <c r="CU13" i="2" s="1"/>
  <c r="CU14" i="2" s="1"/>
  <c r="CU15" i="2" s="1"/>
  <c r="CU16" i="2" s="1"/>
  <c r="CU17" i="2" s="1"/>
  <c r="CU18" i="2" s="1"/>
  <c r="CU19" i="2" s="1"/>
  <c r="CU20" i="2" s="1"/>
  <c r="CU21" i="2" s="1"/>
  <c r="CU22" i="2" s="1"/>
  <c r="BQ23" i="2"/>
  <c r="BT11" i="2"/>
  <c r="BE23" i="2"/>
  <c r="BH11" i="2"/>
  <c r="BH23" i="2" s="1"/>
  <c r="AN23" i="2"/>
  <c r="AQ11" i="2"/>
  <c r="BJ23" i="2"/>
  <c r="CJ11" i="2"/>
  <c r="CJ23" i="2" s="1"/>
  <c r="CI23" i="2"/>
  <c r="AT23" i="2"/>
  <c r="AW11" i="2"/>
  <c r="CQ13" i="2"/>
  <c r="CQ14" i="2" s="1"/>
  <c r="CQ15" i="2" s="1"/>
  <c r="CQ16" i="2" s="1"/>
  <c r="CQ17" i="2" s="1"/>
  <c r="CQ18" i="2" s="1"/>
  <c r="CQ19" i="2" s="1"/>
  <c r="CQ20" i="2" s="1"/>
  <c r="CQ21" i="2" s="1"/>
  <c r="CQ22" i="2" s="1"/>
  <c r="CQ23" i="2" s="1"/>
  <c r="CK11" i="2" l="1"/>
  <c r="CK12" i="2" s="1"/>
  <c r="CK13" i="2" s="1"/>
  <c r="CK14" i="2" s="1"/>
  <c r="CK15" i="2" s="1"/>
  <c r="CK16" i="2" s="1"/>
  <c r="CK17" i="2" s="1"/>
  <c r="CK18" i="2" s="1"/>
  <c r="CK19" i="2" s="1"/>
  <c r="CK20" i="2" s="1"/>
  <c r="CK21" i="2" s="1"/>
  <c r="CK22" i="2" s="1"/>
  <c r="BB11" i="2"/>
  <c r="AW23" i="2"/>
  <c r="AR11" i="2"/>
  <c r="AQ23" i="2"/>
  <c r="CK23" i="2"/>
  <c r="BU11" i="2"/>
  <c r="BT23" i="2"/>
  <c r="BV11" i="2"/>
  <c r="BN23" i="2"/>
  <c r="J45" i="1" l="1"/>
  <c r="M45" i="1" l="1"/>
  <c r="O45" i="1" s="1"/>
  <c r="D62" i="1"/>
  <c r="AJ23" i="2" l="1"/>
  <c r="AR15" i="2"/>
  <c r="AK23" i="2"/>
  <c r="AM15" i="2"/>
  <c r="AM23" i="2" s="1"/>
  <c r="F62" i="1"/>
  <c r="K62" i="1" l="1"/>
  <c r="C24" i="1"/>
  <c r="H6" i="1"/>
  <c r="T6" i="1"/>
  <c r="E92" i="1"/>
  <c r="G24" i="1"/>
  <c r="D6" i="1"/>
  <c r="E58" i="1" l="1"/>
  <c r="BE23" i="3"/>
  <c r="D75" i="1"/>
  <c r="BF23" i="4"/>
  <c r="C126" i="1"/>
  <c r="AR6" i="1"/>
  <c r="C6" i="1"/>
  <c r="BI23" i="4"/>
  <c r="BI23" i="3"/>
  <c r="H75" i="1"/>
  <c r="AT11" i="4"/>
  <c r="M58" i="1"/>
  <c r="F92" i="1"/>
  <c r="CF11" i="4"/>
  <c r="C110" i="1"/>
  <c r="CG11" i="4"/>
  <c r="CG23" i="4" s="1"/>
  <c r="CG23" i="3"/>
  <c r="D110" i="1"/>
  <c r="I58" i="1"/>
  <c r="AP6" i="1"/>
  <c r="CS11" i="4"/>
  <c r="H126" i="1"/>
  <c r="F110" i="1"/>
  <c r="CI11" i="4"/>
  <c r="K24" i="1"/>
  <c r="L6" i="1"/>
  <c r="E24" i="1"/>
  <c r="CT11" i="4"/>
  <c r="CT23" i="4" s="1"/>
  <c r="CT23" i="3"/>
  <c r="I126" i="1"/>
  <c r="BO23" i="4"/>
  <c r="BO23" i="3"/>
  <c r="N75" i="1"/>
  <c r="BD23" i="4"/>
  <c r="BD23" i="3"/>
  <c r="C75" i="1"/>
  <c r="CP23" i="4"/>
  <c r="CP23" i="3"/>
  <c r="E126" i="1"/>
  <c r="AU11" i="4"/>
  <c r="AU23" i="4" s="1"/>
  <c r="N58" i="1"/>
  <c r="AU23" i="3"/>
  <c r="H24" i="1"/>
  <c r="G92" i="1"/>
  <c r="D92" i="1"/>
  <c r="C92" i="1"/>
  <c r="BK23" i="4"/>
  <c r="BK23" i="3"/>
  <c r="J75" i="1"/>
  <c r="D58" i="1"/>
  <c r="J24" i="1"/>
  <c r="G58" i="1"/>
  <c r="F75" i="1"/>
  <c r="BG23" i="4"/>
  <c r="Q75" i="1"/>
  <c r="BR23" i="3"/>
  <c r="BR23" i="4"/>
  <c r="D24" i="1"/>
  <c r="P75" i="1"/>
  <c r="X58" i="1" l="1"/>
  <c r="V75" i="1"/>
  <c r="U75" i="1"/>
  <c r="E75" i="1"/>
  <c r="I75" i="1"/>
  <c r="CI23" i="4"/>
  <c r="CJ11" i="4"/>
  <c r="CJ23" i="4" s="1"/>
  <c r="AT23" i="4"/>
  <c r="AW11" i="4"/>
  <c r="S75" i="1"/>
  <c r="J58" i="1"/>
  <c r="G110" i="1"/>
  <c r="C122" i="1"/>
  <c r="CF23" i="3"/>
  <c r="F126" i="1"/>
  <c r="C127" i="1" s="1"/>
  <c r="C138" i="1"/>
  <c r="H92" i="1"/>
  <c r="D104" i="1"/>
  <c r="BQ23" i="3"/>
  <c r="BT11" i="3"/>
  <c r="P6" i="1"/>
  <c r="U6" i="1" s="1"/>
  <c r="CF23" i="4"/>
  <c r="CN12" i="3"/>
  <c r="CQ12" i="3" s="1"/>
  <c r="CN13" i="3" s="1"/>
  <c r="CQ13" i="3" s="1"/>
  <c r="CN14" i="3" s="1"/>
  <c r="CQ14" i="3" s="1"/>
  <c r="CN15" i="3" s="1"/>
  <c r="CQ15" i="3" s="1"/>
  <c r="CN16" i="3" s="1"/>
  <c r="CQ16" i="3" s="1"/>
  <c r="CN17" i="3" s="1"/>
  <c r="CQ17" i="3" s="1"/>
  <c r="CN18" i="3" s="1"/>
  <c r="CQ18" i="3" s="1"/>
  <c r="CN19" i="3" s="1"/>
  <c r="CQ19" i="3" s="1"/>
  <c r="CN20" i="3" s="1"/>
  <c r="CQ20" i="3" s="1"/>
  <c r="CN21" i="3" s="1"/>
  <c r="CQ21" i="3" s="1"/>
  <c r="CN22" i="3" s="1"/>
  <c r="CQ22" i="3" s="1"/>
  <c r="CQ23" i="3" s="1"/>
  <c r="CN23" i="3"/>
  <c r="BT11" i="4"/>
  <c r="BQ23" i="4"/>
  <c r="F24" i="1"/>
  <c r="CN23" i="4"/>
  <c r="CQ23" i="4" s="1"/>
  <c r="CQ11" i="4"/>
  <c r="CN12" i="4" s="1"/>
  <c r="CQ12" i="4" s="1"/>
  <c r="CN13" i="4" s="1"/>
  <c r="CQ13" i="4" s="1"/>
  <c r="CN14" i="4" s="1"/>
  <c r="CQ14" i="4" s="1"/>
  <c r="CN15" i="4" s="1"/>
  <c r="CQ15" i="4" s="1"/>
  <c r="CN16" i="4" s="1"/>
  <c r="CQ16" i="4" s="1"/>
  <c r="CN17" i="4" s="1"/>
  <c r="CQ17" i="4" s="1"/>
  <c r="CN18" i="4" s="1"/>
  <c r="CQ18" i="4" s="1"/>
  <c r="CN19" i="4" s="1"/>
  <c r="CQ19" i="4" s="1"/>
  <c r="CN20" i="4" s="1"/>
  <c r="CQ20" i="4" s="1"/>
  <c r="CN21" i="4" s="1"/>
  <c r="CQ21" i="4" s="1"/>
  <c r="CN22" i="4" s="1"/>
  <c r="CQ22" i="4" s="1"/>
  <c r="F58" i="1"/>
  <c r="I24" i="1"/>
  <c r="L24" i="1"/>
  <c r="J126" i="1"/>
  <c r="G127" i="1" s="1"/>
  <c r="AO6" i="1"/>
  <c r="BE23" i="4"/>
  <c r="BH11" i="4"/>
  <c r="BH23" i="4" s="1"/>
  <c r="CR12" i="3"/>
  <c r="CU12" i="3" s="1"/>
  <c r="CR13" i="3" s="1"/>
  <c r="CU13" i="3" s="1"/>
  <c r="CR14" i="3" s="1"/>
  <c r="CU14" i="3" s="1"/>
  <c r="CR15" i="3" s="1"/>
  <c r="CU15" i="3" s="1"/>
  <c r="CR16" i="3" s="1"/>
  <c r="CU16" i="3" s="1"/>
  <c r="CR17" i="3" s="1"/>
  <c r="CU17" i="3" s="1"/>
  <c r="CR18" i="3" s="1"/>
  <c r="CU18" i="3" s="1"/>
  <c r="CR19" i="3" s="1"/>
  <c r="CU19" i="3" s="1"/>
  <c r="CR20" i="3" s="1"/>
  <c r="CU20" i="3" s="1"/>
  <c r="CR21" i="3" s="1"/>
  <c r="CU21" i="3" s="1"/>
  <c r="CR22" i="3" s="1"/>
  <c r="CU22" i="3" s="1"/>
  <c r="CS23" i="3"/>
  <c r="CU23" i="3" s="1"/>
  <c r="P58" i="1"/>
  <c r="CI23" i="3"/>
  <c r="CJ11" i="3"/>
  <c r="CJ23" i="3" s="1"/>
  <c r="CU11" i="4"/>
  <c r="CR12" i="4" s="1"/>
  <c r="CU12" i="4" s="1"/>
  <c r="CR13" i="4" s="1"/>
  <c r="CU13" i="4" s="1"/>
  <c r="CR14" i="4" s="1"/>
  <c r="CU14" i="4" s="1"/>
  <c r="CR15" i="4" s="1"/>
  <c r="CU15" i="4" s="1"/>
  <c r="CR16" i="4" s="1"/>
  <c r="CU16" i="4" s="1"/>
  <c r="CR17" i="4" s="1"/>
  <c r="CU17" i="4" s="1"/>
  <c r="CR18" i="4" s="1"/>
  <c r="CU18" i="4" s="1"/>
  <c r="CR19" i="4" s="1"/>
  <c r="CU19" i="4" s="1"/>
  <c r="CR20" i="4" s="1"/>
  <c r="CU20" i="4" s="1"/>
  <c r="CR21" i="4" s="1"/>
  <c r="CU21" i="4" s="1"/>
  <c r="CR22" i="4" s="1"/>
  <c r="CU22" i="4" s="1"/>
  <c r="CS23" i="4"/>
  <c r="CU23" i="4" s="1"/>
  <c r="AT23" i="3"/>
  <c r="AW11" i="3"/>
  <c r="G75" i="1" l="1"/>
  <c r="AO76" i="1" s="1"/>
  <c r="F127" i="1"/>
  <c r="C128" i="1" s="1"/>
  <c r="M75" i="1"/>
  <c r="L126" i="1"/>
  <c r="BB11" i="4"/>
  <c r="AW23" i="4"/>
  <c r="N24" i="1"/>
  <c r="CK23" i="4"/>
  <c r="BH11" i="3"/>
  <c r="BH23" i="3" s="1"/>
  <c r="BF23" i="3"/>
  <c r="CK11" i="3"/>
  <c r="CF12" i="3" s="1"/>
  <c r="CK12" i="3" s="1"/>
  <c r="CF13" i="3" s="1"/>
  <c r="CK13" i="3" s="1"/>
  <c r="CF14" i="3" s="1"/>
  <c r="CK14" i="3" s="1"/>
  <c r="CF15" i="3" s="1"/>
  <c r="CK15" i="3" s="1"/>
  <c r="CF16" i="3" s="1"/>
  <c r="CK16" i="3" s="1"/>
  <c r="CF17" i="3" s="1"/>
  <c r="CK17" i="3" s="1"/>
  <c r="CF18" i="3" s="1"/>
  <c r="CK18" i="3" s="1"/>
  <c r="CF19" i="3" s="1"/>
  <c r="CK19" i="3" s="1"/>
  <c r="CF20" i="3" s="1"/>
  <c r="CK20" i="3" s="1"/>
  <c r="CF21" i="3" s="1"/>
  <c r="CK21" i="3" s="1"/>
  <c r="CF22" i="3" s="1"/>
  <c r="CK22" i="3" s="1"/>
  <c r="BB11" i="3"/>
  <c r="AW23" i="3"/>
  <c r="BU11" i="4"/>
  <c r="BT23" i="4"/>
  <c r="BU11" i="3"/>
  <c r="BT23" i="3"/>
  <c r="CK23" i="3"/>
  <c r="BN11" i="4"/>
  <c r="BJ23" i="4"/>
  <c r="J127" i="1"/>
  <c r="G128" i="1" s="1"/>
  <c r="AQ6" i="1"/>
  <c r="K58" i="1"/>
  <c r="BN11" i="3"/>
  <c r="BJ23" i="3"/>
  <c r="W58" i="1"/>
  <c r="M126" i="1"/>
  <c r="H110" i="1"/>
  <c r="I142" i="1"/>
  <c r="CK11" i="4"/>
  <c r="CF12" i="4" s="1"/>
  <c r="CK12" i="4" s="1"/>
  <c r="CF13" i="4" s="1"/>
  <c r="CK13" i="4" s="1"/>
  <c r="CF14" i="4" s="1"/>
  <c r="CK14" i="4" s="1"/>
  <c r="CF15" i="4" s="1"/>
  <c r="CK15" i="4" s="1"/>
  <c r="CF16" i="4" s="1"/>
  <c r="CK16" i="4" s="1"/>
  <c r="CF17" i="4" s="1"/>
  <c r="CK17" i="4" s="1"/>
  <c r="CF18" i="4" s="1"/>
  <c r="CK18" i="4" s="1"/>
  <c r="CF19" i="4" s="1"/>
  <c r="CK19" i="4" s="1"/>
  <c r="CF20" i="4" s="1"/>
  <c r="CK20" i="4" s="1"/>
  <c r="CF21" i="4" s="1"/>
  <c r="CK21" i="4" s="1"/>
  <c r="CF22" i="4" s="1"/>
  <c r="CK22" i="4" s="1"/>
  <c r="I92" i="1"/>
  <c r="AM76" i="1"/>
  <c r="AA76" i="1"/>
  <c r="X76" i="1" s="1"/>
  <c r="AC76" i="1" l="1"/>
  <c r="Z76" i="1" s="1"/>
  <c r="L127" i="1"/>
  <c r="M127" i="1"/>
  <c r="F128" i="1"/>
  <c r="C129" i="1" s="1"/>
  <c r="BV11" i="3"/>
  <c r="BN23" i="3"/>
  <c r="BV11" i="4"/>
  <c r="BN23" i="4"/>
  <c r="AH142" i="1"/>
  <c r="AI142" i="1" s="1"/>
  <c r="J142" i="1"/>
  <c r="J128" i="1"/>
  <c r="G129" i="1" s="1"/>
  <c r="J129" i="1" s="1"/>
  <c r="AN76" i="1"/>
  <c r="AB76" i="1"/>
  <c r="Y76" i="1" s="1"/>
  <c r="C111" i="1"/>
  <c r="I110" i="1"/>
  <c r="F129" i="1" l="1"/>
  <c r="C130" i="1" s="1"/>
  <c r="G143" i="1"/>
  <c r="J143" i="1" s="1"/>
  <c r="L128" i="1"/>
  <c r="M128" i="1"/>
  <c r="H111" i="1"/>
  <c r="G130" i="1"/>
  <c r="J130" i="1" s="1"/>
  <c r="C112" i="1" l="1"/>
  <c r="H112" i="1" s="1"/>
  <c r="G144" i="1"/>
  <c r="J144" i="1" s="1"/>
  <c r="F130" i="1"/>
  <c r="C131" i="1" s="1"/>
  <c r="I111" i="1"/>
  <c r="M129" i="1"/>
  <c r="L129" i="1"/>
  <c r="G131" i="1"/>
  <c r="J131" i="1" s="1"/>
  <c r="F131" i="1" l="1"/>
  <c r="C132" i="1" s="1"/>
  <c r="C113" i="1"/>
  <c r="H113" i="1" s="1"/>
  <c r="G145" i="1"/>
  <c r="J145" i="1" s="1"/>
  <c r="I112" i="1"/>
  <c r="L130" i="1"/>
  <c r="M130" i="1"/>
  <c r="G132" i="1"/>
  <c r="J132" i="1" s="1"/>
  <c r="G146" i="1" l="1"/>
  <c r="J146" i="1" s="1"/>
  <c r="C114" i="1"/>
  <c r="H114" i="1" s="1"/>
  <c r="F132" i="1"/>
  <c r="C133" i="1" s="1"/>
  <c r="M131" i="1"/>
  <c r="I113" i="1"/>
  <c r="L131" i="1"/>
  <c r="G133" i="1"/>
  <c r="J133" i="1" s="1"/>
  <c r="F133" i="1" l="1"/>
  <c r="C134" i="1" s="1"/>
  <c r="C115" i="1"/>
  <c r="H115" i="1" s="1"/>
  <c r="G147" i="1"/>
  <c r="J147" i="1" s="1"/>
  <c r="L132" i="1"/>
  <c r="I114" i="1"/>
  <c r="G134" i="1"/>
  <c r="J134" i="1" s="1"/>
  <c r="M132" i="1"/>
  <c r="G148" i="1" l="1"/>
  <c r="J148" i="1" s="1"/>
  <c r="C116" i="1"/>
  <c r="H116" i="1" s="1"/>
  <c r="I115" i="1"/>
  <c r="M133" i="1"/>
  <c r="L133" i="1"/>
  <c r="F134" i="1"/>
  <c r="C135" i="1" s="1"/>
  <c r="G135" i="1"/>
  <c r="C117" i="1" l="1"/>
  <c r="H117" i="1" s="1"/>
  <c r="C118" i="1" s="1"/>
  <c r="G149" i="1"/>
  <c r="J149" i="1" s="1"/>
  <c r="G150" i="1" s="1"/>
  <c r="J150" i="1" s="1"/>
  <c r="G151" i="1" s="1"/>
  <c r="I116" i="1"/>
  <c r="L134" i="1"/>
  <c r="M134" i="1"/>
  <c r="I117" i="1" l="1"/>
  <c r="H118" i="1"/>
  <c r="C119" i="1" s="1"/>
  <c r="I118" i="1" l="1"/>
  <c r="H15" i="1" l="1"/>
  <c r="L15" i="1"/>
  <c r="Q84" i="1"/>
  <c r="C101" i="1"/>
  <c r="G101" i="1"/>
  <c r="H33" i="1"/>
  <c r="F84" i="1"/>
  <c r="H135" i="1"/>
  <c r="F119" i="1"/>
  <c r="J33" i="1"/>
  <c r="D84" i="1"/>
  <c r="E101" i="1"/>
  <c r="U84" i="1" l="1"/>
  <c r="P15" i="1"/>
  <c r="J84" i="1"/>
  <c r="E67" i="1"/>
  <c r="M67" i="1"/>
  <c r="C15" i="1"/>
  <c r="D119" i="1"/>
  <c r="C84" i="1"/>
  <c r="I84" i="1"/>
  <c r="D33" i="1"/>
  <c r="K33" i="1"/>
  <c r="G119" i="1"/>
  <c r="G67" i="1"/>
  <c r="D67" i="1"/>
  <c r="AQ15" i="1" l="1"/>
  <c r="C33" i="1"/>
  <c r="P84" i="1"/>
  <c r="G33" i="1"/>
  <c r="N67" i="1"/>
  <c r="L33" i="1"/>
  <c r="H119" i="1"/>
  <c r="C120" i="1" s="1"/>
  <c r="F101" i="1"/>
  <c r="D15" i="1"/>
  <c r="H84" i="1"/>
  <c r="E84" i="1"/>
  <c r="I67" i="1"/>
  <c r="AO15" i="1"/>
  <c r="E135" i="1" l="1"/>
  <c r="N84" i="1"/>
  <c r="V84" i="1" s="1"/>
  <c r="AP15" i="1"/>
  <c r="H101" i="1"/>
  <c r="AH151" i="1"/>
  <c r="AI151" i="1" s="1"/>
  <c r="I154" i="1"/>
  <c r="J151" i="1"/>
  <c r="G152" i="1" s="1"/>
  <c r="J152" i="1" s="1"/>
  <c r="I33" i="1"/>
  <c r="U15" i="1"/>
  <c r="E33" i="1"/>
  <c r="I135" i="1"/>
  <c r="J135" i="1" s="1"/>
  <c r="G84" i="1"/>
  <c r="I119" i="1"/>
  <c r="G153" i="1" l="1"/>
  <c r="J153" i="1" s="1"/>
  <c r="T159" i="1"/>
  <c r="J154" i="1"/>
  <c r="G142" i="7" s="1"/>
  <c r="AH154" i="1"/>
  <c r="AI154" i="1" s="1"/>
  <c r="I101" i="1"/>
  <c r="F33" i="1"/>
  <c r="N33" i="1" s="1"/>
  <c r="AC85" i="1"/>
  <c r="Z85" i="1" s="1"/>
  <c r="AO85" i="1"/>
  <c r="G136" i="1"/>
  <c r="D135" i="1"/>
  <c r="G154" i="7" l="1"/>
  <c r="J142" i="7"/>
  <c r="G143" i="7" s="1"/>
  <c r="M135" i="1"/>
  <c r="F135" i="1"/>
  <c r="C136" i="1" s="1"/>
  <c r="L135" i="1" l="1"/>
  <c r="O84" i="1" l="1"/>
  <c r="L50" i="1"/>
  <c r="G50" i="1"/>
  <c r="H67" i="1" s="1"/>
  <c r="C67" i="1"/>
  <c r="J50" i="1"/>
  <c r="E50" i="1"/>
  <c r="Q67" i="1"/>
  <c r="F50" i="1" l="1"/>
  <c r="K50" i="1"/>
  <c r="I50" i="1"/>
  <c r="X67" i="1" s="1"/>
  <c r="F67" i="1"/>
  <c r="L84" i="1"/>
  <c r="K84" i="1"/>
  <c r="S84" i="1"/>
  <c r="AM85" i="1" s="1"/>
  <c r="O67" i="1"/>
  <c r="J67" i="1"/>
  <c r="S67" i="1" l="1"/>
  <c r="C50" i="1"/>
  <c r="AA85" i="1"/>
  <c r="X85" i="1" s="1"/>
  <c r="K67" i="1"/>
  <c r="M84" i="1"/>
  <c r="M50" i="1"/>
  <c r="D50" i="1"/>
  <c r="P67" i="1"/>
  <c r="V67" i="1" l="1"/>
  <c r="W67" i="1" s="1"/>
  <c r="H50" i="1"/>
  <c r="AB85" i="1"/>
  <c r="Y85" i="1" s="1"/>
  <c r="AN85" i="1"/>
  <c r="O50" i="1" l="1"/>
  <c r="K153" i="1" l="1"/>
  <c r="N153" i="1" s="1"/>
  <c r="AL152" i="1"/>
  <c r="AM152" i="1" s="1"/>
  <c r="M154" i="1"/>
  <c r="AL154" i="1" s="1"/>
  <c r="AM154" i="1" s="1"/>
  <c r="N154" i="1" l="1"/>
  <c r="F151" i="1" l="1"/>
  <c r="C152" i="1" s="1"/>
  <c r="F152" i="1" s="1"/>
  <c r="C153" i="1" s="1"/>
  <c r="AC151" i="1"/>
  <c r="AE151" i="1" s="1"/>
  <c r="F153" i="1" l="1"/>
  <c r="U153" i="1" s="1"/>
  <c r="P153" i="1"/>
  <c r="R153" i="1" s="1"/>
  <c r="S153" i="1" s="1"/>
  <c r="T153" i="1" s="1"/>
  <c r="AC152" i="1"/>
  <c r="AE152" i="1" s="1"/>
  <c r="E154" i="1"/>
  <c r="F154" i="1" l="1"/>
  <c r="AC154" i="1"/>
  <c r="AE154" i="1" s="1"/>
  <c r="L16" i="1" l="1"/>
  <c r="T16" i="1"/>
  <c r="D120" i="1"/>
  <c r="E68" i="1"/>
  <c r="P85" i="1"/>
  <c r="K34" i="1"/>
  <c r="E102" i="1"/>
  <c r="F120" i="1"/>
  <c r="G102" i="1"/>
  <c r="N68" i="1"/>
  <c r="G34" i="1"/>
  <c r="I85" i="1"/>
  <c r="H136" i="1"/>
  <c r="C102" i="1"/>
  <c r="I68" i="1"/>
  <c r="H85" i="1"/>
  <c r="E34" i="1"/>
  <c r="D16" i="1"/>
  <c r="D68" i="1"/>
  <c r="G68" i="1" l="1"/>
  <c r="D85" i="1"/>
  <c r="F102" i="1"/>
  <c r="C34" i="1"/>
  <c r="N85" i="1"/>
  <c r="AP16" i="1"/>
  <c r="H34" i="1"/>
  <c r="J34" i="1"/>
  <c r="G120" i="1"/>
  <c r="H120" i="1" s="1"/>
  <c r="C121" i="1" s="1"/>
  <c r="M68" i="1"/>
  <c r="C85" i="1"/>
  <c r="H102" i="1"/>
  <c r="D34" i="1"/>
  <c r="H16" i="1"/>
  <c r="H18" i="1" s="1"/>
  <c r="AR16" i="1"/>
  <c r="T18" i="1"/>
  <c r="AR18" i="1" s="1"/>
  <c r="F85" i="1"/>
  <c r="E136" i="1"/>
  <c r="F68" i="1"/>
  <c r="C16" i="1"/>
  <c r="J85" i="1"/>
  <c r="L18" i="1"/>
  <c r="Q85" i="1"/>
  <c r="S85" i="1" s="1"/>
  <c r="P16" i="1" l="1"/>
  <c r="M85" i="1"/>
  <c r="AN86" i="1" s="1"/>
  <c r="AQ16" i="1"/>
  <c r="P18" i="1"/>
  <c r="AQ18" i="1" s="1"/>
  <c r="X68" i="1"/>
  <c r="P68" i="1"/>
  <c r="V85" i="1"/>
  <c r="AM86" i="1"/>
  <c r="I136" i="1"/>
  <c r="AO16" i="1"/>
  <c r="U16" i="1"/>
  <c r="I34" i="1"/>
  <c r="AA86" i="1"/>
  <c r="X86" i="1" s="1"/>
  <c r="L34" i="1"/>
  <c r="F34" i="1"/>
  <c r="J68" i="1"/>
  <c r="E85" i="1"/>
  <c r="D136" i="1"/>
  <c r="I102" i="1"/>
  <c r="U85" i="1"/>
  <c r="I120" i="1"/>
  <c r="AB86" i="1" l="1"/>
  <c r="Y86" i="1" s="1"/>
  <c r="F136" i="1"/>
  <c r="C137" i="1" s="1"/>
  <c r="G85" i="1"/>
  <c r="W68" i="1"/>
  <c r="J136" i="1"/>
  <c r="K68" i="1"/>
  <c r="N34" i="1"/>
  <c r="G137" i="1" l="1"/>
  <c r="L136" i="1"/>
  <c r="AC86" i="1"/>
  <c r="Z86" i="1" s="1"/>
  <c r="AO86" i="1"/>
  <c r="M136" i="1"/>
  <c r="S69" i="1" l="1"/>
  <c r="S70" i="1" s="1"/>
  <c r="O69" i="1"/>
  <c r="O70" i="1" s="1"/>
  <c r="Q69" i="1"/>
  <c r="K52" i="1"/>
  <c r="K53" i="1" s="1"/>
  <c r="C69" i="1"/>
  <c r="F52" i="1"/>
  <c r="R69" i="1" l="1"/>
  <c r="R70" i="1" s="1"/>
  <c r="O86" i="1"/>
  <c r="L86" i="1"/>
  <c r="L87" i="1" s="1"/>
  <c r="H137" i="1"/>
  <c r="H138" i="1" s="1"/>
  <c r="H86" i="1"/>
  <c r="G103" i="1"/>
  <c r="G104" i="1" s="1"/>
  <c r="M69" i="1"/>
  <c r="M70" i="1" s="1"/>
  <c r="F103" i="1"/>
  <c r="F104" i="1" s="1"/>
  <c r="Q86" i="1"/>
  <c r="K35" i="1"/>
  <c r="J35" i="1"/>
  <c r="J36" i="1" s="1"/>
  <c r="D86" i="1"/>
  <c r="D121" i="1"/>
  <c r="J86" i="1"/>
  <c r="J87" i="1" s="1"/>
  <c r="F121" i="1"/>
  <c r="H35" i="1"/>
  <c r="F86" i="1"/>
  <c r="F87" i="1" s="1"/>
  <c r="C70" i="1"/>
  <c r="Q70" i="1"/>
  <c r="G52" i="1"/>
  <c r="H69" i="1" s="1"/>
  <c r="D35" i="1"/>
  <c r="E52" i="1"/>
  <c r="E53" i="1" s="1"/>
  <c r="O87" i="1" l="1"/>
  <c r="Q87" i="1"/>
  <c r="U86" i="1"/>
  <c r="V86" i="1"/>
  <c r="V69" i="1"/>
  <c r="K86" i="1"/>
  <c r="K87" i="1" s="1"/>
  <c r="D52" i="1"/>
  <c r="D53" i="1" s="1"/>
  <c r="G53" i="1" s="1"/>
  <c r="I69" i="1"/>
  <c r="I70" i="1" s="1"/>
  <c r="C86" i="1"/>
  <c r="L35" i="1"/>
  <c r="L36" i="1" s="1"/>
  <c r="K36" i="1"/>
  <c r="E103" i="1"/>
  <c r="G121" i="1"/>
  <c r="G122" i="1" s="1"/>
  <c r="F122" i="1"/>
  <c r="D87" i="1"/>
  <c r="L52" i="1"/>
  <c r="L53" i="1" s="1"/>
  <c r="C52" i="1"/>
  <c r="C53" i="1" s="1"/>
  <c r="I52" i="1"/>
  <c r="J52" i="1"/>
  <c r="J53" i="1" s="1"/>
  <c r="H87" i="1"/>
  <c r="C103" i="1"/>
  <c r="C104" i="1" s="1"/>
  <c r="H70" i="1"/>
  <c r="P86" i="1"/>
  <c r="S86" i="1" s="1"/>
  <c r="H36" i="1"/>
  <c r="G35" i="1"/>
  <c r="G36" i="1" s="1"/>
  <c r="C17" i="1"/>
  <c r="G69" i="1"/>
  <c r="G70" i="1" s="1"/>
  <c r="E69" i="1"/>
  <c r="E70" i="1" s="1"/>
  <c r="D122" i="1"/>
  <c r="H121" i="1"/>
  <c r="I121" i="1" s="1"/>
  <c r="I86" i="1"/>
  <c r="M86" i="1" s="1"/>
  <c r="D36" i="1"/>
  <c r="H122" i="1" l="1"/>
  <c r="I122" i="1" s="1"/>
  <c r="V70" i="1"/>
  <c r="F53" i="1"/>
  <c r="H52" i="1"/>
  <c r="H53" i="1" s="1"/>
  <c r="M52" i="1"/>
  <c r="O52" i="1" s="1"/>
  <c r="I53" i="1"/>
  <c r="M53" i="1" s="1"/>
  <c r="X69" i="1"/>
  <c r="J69" i="1"/>
  <c r="D69" i="1"/>
  <c r="E35" i="1"/>
  <c r="H103" i="1"/>
  <c r="E104" i="1"/>
  <c r="E86" i="1"/>
  <c r="I35" i="1"/>
  <c r="I36" i="1" s="1"/>
  <c r="C35" i="1"/>
  <c r="C36" i="1" s="1"/>
  <c r="C87" i="1"/>
  <c r="AO17" i="1"/>
  <c r="C18" i="1"/>
  <c r="AO18" i="1" s="1"/>
  <c r="P87" i="1"/>
  <c r="N69" i="1"/>
  <c r="I87" i="1"/>
  <c r="N70" i="1" l="1"/>
  <c r="P69" i="1"/>
  <c r="W69" i="1" s="1"/>
  <c r="S87" i="1"/>
  <c r="I103" i="1"/>
  <c r="H104" i="1"/>
  <c r="D70" i="1"/>
  <c r="F69" i="1"/>
  <c r="F70" i="1" s="1"/>
  <c r="D17" i="1"/>
  <c r="J70" i="1"/>
  <c r="AB87" i="1"/>
  <c r="Y87" i="1" s="1"/>
  <c r="M87" i="1"/>
  <c r="AN87" i="1"/>
  <c r="E87" i="1"/>
  <c r="G86" i="1"/>
  <c r="E36" i="1"/>
  <c r="F35" i="1"/>
  <c r="AM87" i="1" l="1"/>
  <c r="N87" i="1"/>
  <c r="AA87" i="1"/>
  <c r="X87" i="1" s="1"/>
  <c r="E137" i="1"/>
  <c r="E138" i="1" s="1"/>
  <c r="AC87" i="1"/>
  <c r="Z87" i="1" s="1"/>
  <c r="G87" i="1"/>
  <c r="AO87" i="1"/>
  <c r="K70" i="1"/>
  <c r="AP17" i="1"/>
  <c r="D18" i="1"/>
  <c r="AP18" i="1" s="1"/>
  <c r="U17" i="1"/>
  <c r="P70" i="1"/>
  <c r="K69" i="1"/>
  <c r="N35" i="1"/>
  <c r="F36" i="1"/>
  <c r="D137" i="1" l="1"/>
  <c r="I137" i="1" l="1"/>
  <c r="D138" i="1"/>
  <c r="F137" i="1"/>
  <c r="F138" i="1" s="1"/>
  <c r="L138" i="1" l="1"/>
  <c r="L137" i="1"/>
  <c r="I138" i="1"/>
  <c r="J138" i="1" s="1"/>
  <c r="M138" i="1" s="1"/>
  <c r="J137" i="1"/>
  <c r="M137" i="1" s="1"/>
  <c r="F42" i="7"/>
  <c r="D159" i="7" l="1"/>
  <c r="Q59" i="7"/>
  <c r="G42" i="7"/>
  <c r="H59" i="7" s="1"/>
  <c r="H70" i="7" s="1"/>
  <c r="C159" i="7"/>
  <c r="C170" i="7" s="1"/>
  <c r="C59" i="7"/>
  <c r="C70" i="7" s="1"/>
  <c r="F159" i="7"/>
  <c r="D42" i="7"/>
  <c r="D53" i="7" s="1"/>
  <c r="J76" i="7"/>
  <c r="J87" i="7" s="1"/>
  <c r="Q70" i="7"/>
  <c r="O76" i="7"/>
  <c r="S59" i="7"/>
  <c r="S70" i="7" s="1"/>
  <c r="R59" i="7"/>
  <c r="R70" i="7" s="1"/>
  <c r="I42" i="7" l="1"/>
  <c r="C25" i="7"/>
  <c r="G93" i="7"/>
  <c r="G104" i="7" s="1"/>
  <c r="G25" i="7"/>
  <c r="G36" i="7" s="1"/>
  <c r="H25" i="7"/>
  <c r="F76" i="7"/>
  <c r="F87" i="7" s="1"/>
  <c r="H76" i="7"/>
  <c r="H87" i="7" s="1"/>
  <c r="K76" i="7"/>
  <c r="K87" i="7" s="1"/>
  <c r="C7" i="7"/>
  <c r="J25" i="7"/>
  <c r="J36" i="7" s="1"/>
  <c r="I127" i="7"/>
  <c r="I138" i="7" s="1"/>
  <c r="P76" i="7"/>
  <c r="P87" i="7" s="1"/>
  <c r="F111" i="7"/>
  <c r="G111" i="7" s="1"/>
  <c r="D76" i="7"/>
  <c r="D87" i="7" s="1"/>
  <c r="E42" i="7"/>
  <c r="E53" i="7" s="1"/>
  <c r="G53" i="7" s="1"/>
  <c r="D111" i="7"/>
  <c r="D122" i="7" s="1"/>
  <c r="D25" i="7"/>
  <c r="J42" i="7"/>
  <c r="O59" i="7"/>
  <c r="C36" i="7"/>
  <c r="I53" i="7"/>
  <c r="N59" i="7"/>
  <c r="N70" i="7" s="1"/>
  <c r="F93" i="7"/>
  <c r="F104" i="7" s="1"/>
  <c r="L42" i="7"/>
  <c r="L53" i="7" s="1"/>
  <c r="E159" i="7"/>
  <c r="O87" i="7"/>
  <c r="K42" i="7"/>
  <c r="K53" i="7" s="1"/>
  <c r="D104" i="7"/>
  <c r="H127" i="7"/>
  <c r="C42" i="7"/>
  <c r="C53" i="7" s="1"/>
  <c r="F53" i="7" s="1"/>
  <c r="M59" i="7"/>
  <c r="M70" i="7" s="1"/>
  <c r="H36" i="7"/>
  <c r="L76" i="7"/>
  <c r="L87" i="7" s="1"/>
  <c r="V59" i="7"/>
  <c r="V70" i="7" s="1"/>
  <c r="X59" i="7" l="1"/>
  <c r="F122" i="7"/>
  <c r="I25" i="7"/>
  <c r="I36" i="7" s="1"/>
  <c r="I76" i="7"/>
  <c r="I143" i="7" s="1"/>
  <c r="C18" i="7"/>
  <c r="AO18" i="7" s="1"/>
  <c r="S76" i="7"/>
  <c r="S87" i="7" s="1"/>
  <c r="E25" i="7"/>
  <c r="E36" i="7" s="1"/>
  <c r="C93" i="7"/>
  <c r="C104" i="7" s="1"/>
  <c r="H42" i="7"/>
  <c r="H53" i="7" s="1"/>
  <c r="E93" i="7"/>
  <c r="K25" i="7"/>
  <c r="P59" i="7"/>
  <c r="O70" i="7"/>
  <c r="M42" i="7"/>
  <c r="J53" i="7"/>
  <c r="M53" i="7" s="1"/>
  <c r="N76" i="7"/>
  <c r="G122" i="7"/>
  <c r="H122" i="7" s="1"/>
  <c r="I122" i="7" s="1"/>
  <c r="H111" i="7"/>
  <c r="I111" i="7" s="1"/>
  <c r="E59" i="7"/>
  <c r="E70" i="7" s="1"/>
  <c r="D7" i="7"/>
  <c r="D59" i="7"/>
  <c r="I59" i="7"/>
  <c r="I70" i="7" s="1"/>
  <c r="G59" i="7"/>
  <c r="C76" i="7"/>
  <c r="H138" i="7"/>
  <c r="J138" i="7" s="1"/>
  <c r="M138" i="7" s="1"/>
  <c r="J127" i="7"/>
  <c r="M127" i="7" s="1"/>
  <c r="D36" i="7"/>
  <c r="M76" i="7" l="1"/>
  <c r="AN77" i="7" s="1"/>
  <c r="AA77" i="7"/>
  <c r="X77" i="7" s="1"/>
  <c r="I87" i="7"/>
  <c r="F25" i="7"/>
  <c r="F36" i="7" s="1"/>
  <c r="O42" i="7"/>
  <c r="L25" i="7"/>
  <c r="K36" i="7"/>
  <c r="D70" i="7"/>
  <c r="F59" i="7"/>
  <c r="F70" i="7" s="1"/>
  <c r="C87" i="7"/>
  <c r="AP7" i="7"/>
  <c r="D18" i="7"/>
  <c r="AP18" i="7" s="1"/>
  <c r="U7" i="7"/>
  <c r="E76" i="7"/>
  <c r="I154" i="7"/>
  <c r="AH143" i="7"/>
  <c r="AI143" i="7" s="1"/>
  <c r="S142" i="7"/>
  <c r="J143" i="7"/>
  <c r="J59" i="7"/>
  <c r="G70" i="7"/>
  <c r="W59" i="7"/>
  <c r="P70" i="7"/>
  <c r="M87" i="7"/>
  <c r="AB77" i="7"/>
  <c r="Y77" i="7" s="1"/>
  <c r="E104" i="7"/>
  <c r="H93" i="7"/>
  <c r="N87" i="7"/>
  <c r="V76" i="7"/>
  <c r="AM77" i="7"/>
  <c r="E127" i="7" l="1"/>
  <c r="E138" i="7" s="1"/>
  <c r="L36" i="7"/>
  <c r="N25" i="7"/>
  <c r="J70" i="7"/>
  <c r="K70" i="7" s="1"/>
  <c r="K59" i="7"/>
  <c r="I93" i="7"/>
  <c r="H104" i="7"/>
  <c r="AH154" i="7"/>
  <c r="AI154" i="7" s="1"/>
  <c r="J154" i="7"/>
  <c r="E87" i="7"/>
  <c r="G76" i="7"/>
  <c r="AC77" i="7" l="1"/>
  <c r="Z77" i="7" s="1"/>
  <c r="G87" i="7"/>
  <c r="AO77" i="7"/>
  <c r="D127" i="7"/>
  <c r="F127" i="7" l="1"/>
  <c r="L127" i="7" s="1"/>
  <c r="D138" i="7"/>
  <c r="L138" i="7" s="1"/>
</calcChain>
</file>

<file path=xl/sharedStrings.xml><?xml version="1.0" encoding="utf-8"?>
<sst xmlns="http://schemas.openxmlformats.org/spreadsheetml/2006/main" count="1125" uniqueCount="134">
  <si>
    <t>Energie Electrique</t>
  </si>
  <si>
    <t>Mois</t>
  </si>
  <si>
    <t>Consommation</t>
  </si>
  <si>
    <t>GE</t>
  </si>
  <si>
    <t>GTA1</t>
  </si>
  <si>
    <t>Total</t>
  </si>
  <si>
    <t>TED</t>
  </si>
  <si>
    <t>U01</t>
  </si>
  <si>
    <t>Prod.</t>
  </si>
  <si>
    <t>Cons.</t>
  </si>
  <si>
    <t>Vapeur HP</t>
  </si>
  <si>
    <t>CAP</t>
  </si>
  <si>
    <t>BA</t>
  </si>
  <si>
    <t>BP</t>
  </si>
  <si>
    <t>Eau Alimentaire</t>
  </si>
  <si>
    <t>Eau
 traitée</t>
  </si>
  <si>
    <t>Eau Brute</t>
  </si>
  <si>
    <t>Eau Filtrée</t>
  </si>
  <si>
    <t xml:space="preserve">Production et Consommation </t>
  </si>
  <si>
    <t>Production et Consommation d'eau Filtrée</t>
  </si>
  <si>
    <t>WFI</t>
  </si>
  <si>
    <t>WD</t>
  </si>
  <si>
    <t>Lavage
WFI</t>
  </si>
  <si>
    <t>Reg
WDS</t>
  </si>
  <si>
    <t>WDS
A</t>
  </si>
  <si>
    <t>WDS
B</t>
  </si>
  <si>
    <t>Total
WFI</t>
  </si>
  <si>
    <t>Eau Désilicée</t>
  </si>
  <si>
    <t>Appoint
WB</t>
  </si>
  <si>
    <t>Reg
WDP</t>
  </si>
  <si>
    <t>Eau de Mer</t>
  </si>
  <si>
    <t>Production et Consommation d'Eau de Mer (x 1000)</t>
  </si>
  <si>
    <t>Trop
Plein</t>
  </si>
  <si>
    <t>Stock
Initial</t>
  </si>
  <si>
    <t>Récep.</t>
  </si>
  <si>
    <t>Cons.
Globale</t>
  </si>
  <si>
    <t>Stock
Final</t>
  </si>
  <si>
    <t>Gasoil</t>
  </si>
  <si>
    <t>Réception et Consommation de Gasoil</t>
  </si>
  <si>
    <t>Réception et consommation Soude Liquide</t>
  </si>
  <si>
    <t>Réception et Consommation  H2SO4</t>
  </si>
  <si>
    <t>Cons.
PU</t>
  </si>
  <si>
    <t>Cons.
WDS</t>
  </si>
  <si>
    <t>Réception et Consommation  Na3PO4</t>
  </si>
  <si>
    <t>Réception et Consommation  NH3</t>
  </si>
  <si>
    <t>Réception et Consommation  N2H4</t>
  </si>
  <si>
    <t>Cons.
NORIA</t>
  </si>
  <si>
    <t>Cons.
U21</t>
  </si>
  <si>
    <t>Heures de Marche</t>
  </si>
  <si>
    <t>Centrale</t>
  </si>
  <si>
    <t>Compresseurs</t>
  </si>
  <si>
    <t>Désiliciation</t>
  </si>
  <si>
    <t>Eau Traitée</t>
  </si>
  <si>
    <t>AC01</t>
  </si>
  <si>
    <t>BC01</t>
  </si>
  <si>
    <t>WDP
A</t>
  </si>
  <si>
    <t>WDP
B</t>
  </si>
  <si>
    <t>WDP
C</t>
  </si>
  <si>
    <t>Total
Débité</t>
  </si>
  <si>
    <t>Total
Reçu</t>
  </si>
  <si>
    <t>Echange avec l'ONE et PDE</t>
  </si>
  <si>
    <t>GTA</t>
  </si>
  <si>
    <t>Production
GTA</t>
  </si>
  <si>
    <t>Conso
Usine</t>
  </si>
  <si>
    <t>PMP
=&gt; ONE</t>
  </si>
  <si>
    <t>PMP
=&gt; MP</t>
  </si>
  <si>
    <t>SAP</t>
  </si>
  <si>
    <t>Prod
SAP</t>
  </si>
  <si>
    <t>Détente</t>
  </si>
  <si>
    <t>Echange</t>
  </si>
  <si>
    <t>Cédée</t>
  </si>
  <si>
    <t>Excédent</t>
  </si>
  <si>
    <t>A la Dde</t>
  </si>
  <si>
    <t>Recue</t>
  </si>
  <si>
    <t>Vapeur BP</t>
  </si>
  <si>
    <t>Extract
GTA</t>
  </si>
  <si>
    <t>Production</t>
  </si>
  <si>
    <t>Dét HP/BP</t>
  </si>
  <si>
    <t>Déssurch</t>
  </si>
  <si>
    <t>PAP</t>
  </si>
  <si>
    <t>Cond</t>
  </si>
  <si>
    <t>Event</t>
  </si>
  <si>
    <t>Vapeur BA</t>
  </si>
  <si>
    <t>MP</t>
  </si>
  <si>
    <t>Déssur</t>
  </si>
  <si>
    <t>Condensats</t>
  </si>
  <si>
    <t>Appoint
IR45</t>
  </si>
  <si>
    <t>Consomation</t>
  </si>
  <si>
    <t>IK40</t>
  </si>
  <si>
    <t>IK41</t>
  </si>
  <si>
    <t>IK42</t>
  </si>
  <si>
    <t>Réception</t>
  </si>
  <si>
    <t>Incendie</t>
  </si>
  <si>
    <t>Production et Consommation d'eau Désiliciée</t>
  </si>
  <si>
    <t>CTE</t>
  </si>
  <si>
    <t>Soutirage
GTA</t>
  </si>
  <si>
    <t>Réception et Consommation  Eau Javel</t>
  </si>
  <si>
    <t>Réception et Consommation  CORTROL</t>
  </si>
  <si>
    <t>Réception et Consommation  N2H4OH</t>
  </si>
  <si>
    <t>Réception et Consommation de Gasoil (m3)</t>
  </si>
  <si>
    <t xml:space="preserve">Quantité traitée, valorisée ou éliminée </t>
  </si>
  <si>
    <t>GESTION DES FUTS VIDES</t>
  </si>
  <si>
    <t xml:space="preserve">Quantité
générée </t>
  </si>
  <si>
    <t xml:space="preserve">Quantité
Stocké
en  PST </t>
  </si>
  <si>
    <t>Quantité
Stocké en
Décharge site</t>
  </si>
  <si>
    <t>WW</t>
  </si>
  <si>
    <t>WDS</t>
  </si>
  <si>
    <t>Variation du syock</t>
  </si>
  <si>
    <t>Ecarts(Réc/Cons)</t>
  </si>
  <si>
    <t>St Fin</t>
  </si>
  <si>
    <t>St Ini</t>
  </si>
  <si>
    <t>Programme Prévisionnel</t>
  </si>
  <si>
    <t>R/P (%)</t>
  </si>
  <si>
    <t>Débité</t>
  </si>
  <si>
    <t>Reçu</t>
  </si>
  <si>
    <t>Production
Réalisée (MWH)
GTA</t>
  </si>
  <si>
    <t>Production
Prévue (MWH)
GTA</t>
  </si>
  <si>
    <t>H.Cr</t>
  </si>
  <si>
    <t>H.Pl</t>
  </si>
  <si>
    <t>H.Ptes</t>
  </si>
  <si>
    <t>PMP =&gt; ONE</t>
  </si>
  <si>
    <t>PMP =&gt; MP</t>
  </si>
  <si>
    <t>PDE =&gt; PMP</t>
  </si>
  <si>
    <t>Process</t>
  </si>
  <si>
    <t>Maintenance</t>
  </si>
  <si>
    <t>Externe</t>
  </si>
  <si>
    <t>Qté</t>
  </si>
  <si>
    <t>PT</t>
  </si>
  <si>
    <t>Prix Vente</t>
  </si>
  <si>
    <t>Prod Prév
Prévue (MWH)
GTA</t>
  </si>
  <si>
    <t>Cons Prév
Usine</t>
  </si>
  <si>
    <t>Total Prév
Débité</t>
  </si>
  <si>
    <t>Total Prév
Reçu</t>
  </si>
  <si>
    <t>Total Reçu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</si>
</sst>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#,##0.000"/>
    <numFmt numFmtId="165" formatCode="0.00000"/>
    <numFmt numFmtId="166" formatCode="#,##0.0000"/>
    <numFmt numFmtId="167" formatCode="[h]:mm:ss;@"/>
  </numFmts>
  <fonts count="15" x14ac:knownFonts="1">
    <font>
      <sz val="12"/>
      <name val="Times New Roman"/>
    </font>
    <font>
      <b/>
      <sz val="9"/>
      <name val="Times New Roman"/>
      <family val="1"/>
    </font>
    <font>
      <sz val="9"/>
      <name val="Times New Roman"/>
      <family val="1"/>
    </font>
    <font>
      <b/>
      <sz val="9"/>
      <color rgb="FFFF0000"/>
      <name val="Times New Roman"/>
      <family val="1"/>
    </font>
    <font>
      <sz val="9"/>
      <color rgb="FFFF0000"/>
      <name val="Times New Roman"/>
      <family val="1"/>
    </font>
    <font>
      <sz val="8"/>
      <name val="Times New Roman"/>
      <family val="1"/>
    </font>
    <font>
      <sz val="7"/>
      <name val="Times New Roman"/>
      <family val="1"/>
    </font>
    <font>
      <b/>
      <sz val="11"/>
      <color theme="1"/>
      <name val="Calibri"/>
      <family val="2"/>
    </font>
    <font>
      <sz val="10"/>
      <color theme="1"/>
      <name val="Calibri"/>
      <family val="2"/>
    </font>
    <font>
      <i/>
      <sz val="9"/>
      <name val="Times New Roman"/>
      <family val="1"/>
    </font>
    <font>
      <i/>
      <sz val="9"/>
      <color rgb="FFFF0000"/>
      <name val="Times New Roman"/>
      <family val="1"/>
    </font>
    <font>
      <sz val="12"/>
      <name val="Times New Roman"/>
      <family val="1"/>
    </font>
    <font>
      <b/>
      <sz val="10"/>
      <color indexed="10"/>
      <name val="Tahoma"/>
      <family val="2"/>
    </font>
    <font>
      <b/>
      <sz val="9"/>
      <color theme="1"/>
      <name val="Times New Roman"/>
      <family val="1"/>
    </font>
    <font>
      <b/>
      <i/>
      <u/>
      <sz val="12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D5DCE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7" tint="0.79998168889431442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1" fillId="0" borderId="0" applyFont="0" applyFill="0" applyBorder="0" applyAlignment="0" applyProtection="0"/>
  </cellStyleXfs>
  <cellXfs count="155">
    <xf numFmtId="0" fontId="0" fillId="0" borderId="0" xfId="0"/>
    <xf numFmtId="0" fontId="1" fillId="0" borderId="1" xfId="0" applyFont="1" applyBorder="1" applyAlignment="1">
      <alignment horizontal="centerContinuous" vertical="center"/>
    </xf>
    <xf numFmtId="0" fontId="2" fillId="0" borderId="0" xfId="0" applyFont="1" applyAlignment="1">
      <alignment vertical="center"/>
    </xf>
    <xf numFmtId="0" fontId="1" fillId="0" borderId="2" xfId="0" applyFont="1" applyBorder="1" applyAlignment="1">
      <alignment horizontal="centerContinuous" vertical="center"/>
    </xf>
    <xf numFmtId="0" fontId="1" fillId="0" borderId="3" xfId="0" applyFont="1" applyBorder="1" applyAlignment="1">
      <alignment horizontal="centerContinuous" vertical="center"/>
    </xf>
    <xf numFmtId="0" fontId="1" fillId="0" borderId="4" xfId="0" applyFont="1" applyBorder="1" applyAlignment="1">
      <alignment horizontal="centerContinuous" vertical="center"/>
    </xf>
    <xf numFmtId="0" fontId="1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17" fontId="1" fillId="0" borderId="5" xfId="0" applyNumberFormat="1" applyFont="1" applyBorder="1" applyAlignment="1">
      <alignment horizontal="left" vertical="center"/>
    </xf>
    <xf numFmtId="4" fontId="2" fillId="0" borderId="5" xfId="0" applyNumberFormat="1" applyFont="1" applyBorder="1" applyAlignment="1">
      <alignment horizontal="right" vertical="center"/>
    </xf>
    <xf numFmtId="3" fontId="2" fillId="0" borderId="5" xfId="0" applyNumberFormat="1" applyFont="1" applyBorder="1" applyAlignment="1">
      <alignment horizontal="right" vertical="center"/>
    </xf>
    <xf numFmtId="4" fontId="1" fillId="0" borderId="5" xfId="0" applyNumberFormat="1" applyFont="1" applyBorder="1" applyAlignment="1">
      <alignment horizontal="right" vertical="center"/>
    </xf>
    <xf numFmtId="3" fontId="1" fillId="0" borderId="5" xfId="0" applyNumberFormat="1" applyFont="1" applyBorder="1" applyAlignment="1">
      <alignment horizontal="right" vertical="center"/>
    </xf>
    <xf numFmtId="3" fontId="2" fillId="0" borderId="0" xfId="0" applyNumberFormat="1" applyFont="1" applyAlignment="1">
      <alignment vertical="center"/>
    </xf>
    <xf numFmtId="17" fontId="2" fillId="0" borderId="0" xfId="0" applyNumberFormat="1" applyFont="1" applyAlignment="1">
      <alignment vertical="center"/>
    </xf>
    <xf numFmtId="0" fontId="1" fillId="0" borderId="0" xfId="0" applyFont="1" applyAlignment="1">
      <alignment horizontal="centerContinuous" vertical="center"/>
    </xf>
    <xf numFmtId="0" fontId="1" fillId="0" borderId="8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3" fontId="2" fillId="0" borderId="5" xfId="0" applyNumberFormat="1" applyFont="1" applyBorder="1" applyAlignment="1">
      <alignment vertical="center"/>
    </xf>
    <xf numFmtId="2" fontId="2" fillId="0" borderId="0" xfId="0" applyNumberFormat="1" applyFont="1" applyAlignment="1">
      <alignment vertical="center"/>
    </xf>
    <xf numFmtId="3" fontId="1" fillId="0" borderId="5" xfId="0" applyNumberFormat="1" applyFont="1" applyBorder="1" applyAlignment="1">
      <alignment vertical="center"/>
    </xf>
    <xf numFmtId="164" fontId="1" fillId="0" borderId="5" xfId="0" applyNumberFormat="1" applyFont="1" applyBorder="1" applyAlignment="1">
      <alignment horizontal="right" vertical="center"/>
    </xf>
    <xf numFmtId="17" fontId="1" fillId="0" borderId="0" xfId="0" applyNumberFormat="1" applyFont="1" applyBorder="1" applyAlignment="1">
      <alignment horizontal="left" vertical="center"/>
    </xf>
    <xf numFmtId="164" fontId="2" fillId="0" borderId="5" xfId="0" applyNumberFormat="1" applyFont="1" applyBorder="1" applyAlignment="1">
      <alignment horizontal="right" vertical="center"/>
    </xf>
    <xf numFmtId="1" fontId="2" fillId="0" borderId="0" xfId="0" applyNumberFormat="1" applyFont="1" applyAlignment="1">
      <alignment vertical="center"/>
    </xf>
    <xf numFmtId="165" fontId="2" fillId="0" borderId="0" xfId="0" applyNumberFormat="1" applyFont="1" applyAlignment="1">
      <alignment vertical="center"/>
    </xf>
    <xf numFmtId="164" fontId="2" fillId="0" borderId="0" xfId="0" applyNumberFormat="1" applyFont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17" fontId="3" fillId="0" borderId="5" xfId="0" applyNumberFormat="1" applyFont="1" applyBorder="1" applyAlignment="1">
      <alignment horizontal="left" vertical="center"/>
    </xf>
    <xf numFmtId="3" fontId="3" fillId="0" borderId="5" xfId="0" applyNumberFormat="1" applyFont="1" applyBorder="1" applyAlignment="1">
      <alignment horizontal="right" vertical="center"/>
    </xf>
    <xf numFmtId="0" fontId="3" fillId="0" borderId="5" xfId="0" applyFont="1" applyBorder="1" applyAlignment="1">
      <alignment horizontal="center" vertical="center"/>
    </xf>
    <xf numFmtId="3" fontId="4" fillId="0" borderId="5" xfId="0" applyNumberFormat="1" applyFont="1" applyBorder="1" applyAlignment="1">
      <alignment horizontal="right" vertical="center"/>
    </xf>
    <xf numFmtId="0" fontId="3" fillId="0" borderId="8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3" fontId="1" fillId="0" borderId="0" xfId="0" applyNumberFormat="1" applyFont="1" applyBorder="1" applyAlignment="1">
      <alignment horizontal="right" vertical="center"/>
    </xf>
    <xf numFmtId="0" fontId="3" fillId="2" borderId="1" xfId="0" applyFont="1" applyFill="1" applyBorder="1" applyAlignment="1">
      <alignment horizontal="centerContinuous" vertical="center"/>
    </xf>
    <xf numFmtId="0" fontId="1" fillId="0" borderId="2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3" fillId="2" borderId="1" xfId="0" applyFont="1" applyFill="1" applyBorder="1" applyAlignment="1">
      <alignment vertical="center"/>
    </xf>
    <xf numFmtId="0" fontId="1" fillId="0" borderId="7" xfId="0" applyFont="1" applyBorder="1" applyAlignment="1">
      <alignment vertical="center"/>
    </xf>
    <xf numFmtId="0" fontId="1" fillId="0" borderId="14" xfId="0" applyFont="1" applyBorder="1" applyAlignment="1">
      <alignment vertical="center"/>
    </xf>
    <xf numFmtId="0" fontId="1" fillId="0" borderId="15" xfId="0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16" xfId="0" applyFont="1" applyBorder="1" applyAlignment="1">
      <alignment vertical="center"/>
    </xf>
    <xf numFmtId="3" fontId="5" fillId="0" borderId="0" xfId="0" applyNumberFormat="1" applyFont="1"/>
    <xf numFmtId="3" fontId="6" fillId="0" borderId="0" xfId="0" applyNumberFormat="1" applyFont="1"/>
    <xf numFmtId="0" fontId="1" fillId="0" borderId="8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7" fillId="3" borderId="5" xfId="0" applyFont="1" applyFill="1" applyBorder="1" applyAlignment="1">
      <alignment vertical="center" wrapText="1"/>
    </xf>
    <xf numFmtId="3" fontId="7" fillId="3" borderId="5" xfId="0" applyNumberFormat="1" applyFont="1" applyFill="1" applyBorder="1" applyAlignment="1">
      <alignment vertical="center" wrapText="1"/>
    </xf>
    <xf numFmtId="1" fontId="7" fillId="3" borderId="5" xfId="0" applyNumberFormat="1" applyFont="1" applyFill="1" applyBorder="1" applyAlignment="1">
      <alignment vertical="center" wrapText="1"/>
    </xf>
    <xf numFmtId="0" fontId="8" fillId="3" borderId="17" xfId="0" applyFont="1" applyFill="1" applyBorder="1" applyAlignment="1">
      <alignment horizontal="center" vertical="center" wrapText="1"/>
    </xf>
    <xf numFmtId="0" fontId="8" fillId="3" borderId="19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Continuous" vertical="center"/>
    </xf>
    <xf numFmtId="0" fontId="9" fillId="4" borderId="0" xfId="0" applyFont="1" applyFill="1" applyAlignment="1">
      <alignment horizontal="center" vertical="center"/>
    </xf>
    <xf numFmtId="0" fontId="2" fillId="4" borderId="0" xfId="0" applyFont="1" applyFill="1" applyAlignment="1">
      <alignment vertical="center"/>
    </xf>
    <xf numFmtId="3" fontId="2" fillId="4" borderId="0" xfId="0" applyNumberFormat="1" applyFont="1" applyFill="1" applyAlignment="1">
      <alignment vertical="center"/>
    </xf>
    <xf numFmtId="0" fontId="9" fillId="5" borderId="0" xfId="0" applyFont="1" applyFill="1" applyAlignment="1">
      <alignment horizontal="center" vertical="center"/>
    </xf>
    <xf numFmtId="0" fontId="2" fillId="5" borderId="0" xfId="0" applyFont="1" applyFill="1" applyAlignment="1">
      <alignment vertical="center"/>
    </xf>
    <xf numFmtId="0" fontId="10" fillId="5" borderId="0" xfId="0" applyFont="1" applyFill="1" applyAlignment="1">
      <alignment horizontal="right" vertical="center"/>
    </xf>
    <xf numFmtId="0" fontId="9" fillId="5" borderId="0" xfId="0" applyFont="1" applyFill="1" applyAlignment="1">
      <alignment horizontal="right" vertical="center"/>
    </xf>
    <xf numFmtId="0" fontId="4" fillId="5" borderId="0" xfId="0" applyFont="1" applyFill="1" applyAlignment="1">
      <alignment horizontal="right" vertical="center"/>
    </xf>
    <xf numFmtId="0" fontId="4" fillId="4" borderId="0" xfId="0" applyFont="1" applyFill="1" applyAlignment="1">
      <alignment horizontal="right" vertical="center"/>
    </xf>
    <xf numFmtId="0" fontId="3" fillId="2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3" fontId="2" fillId="0" borderId="0" xfId="0" applyNumberFormat="1" applyFont="1" applyBorder="1" applyAlignment="1">
      <alignment horizontal="right" vertical="center"/>
    </xf>
    <xf numFmtId="4" fontId="2" fillId="0" borderId="0" xfId="0" applyNumberFormat="1" applyFont="1" applyAlignment="1">
      <alignment vertical="center"/>
    </xf>
    <xf numFmtId="0" fontId="1" fillId="0" borderId="5" xfId="0" applyFont="1" applyBorder="1" applyAlignment="1">
      <alignment horizontal="center" vertical="center" wrapText="1"/>
    </xf>
    <xf numFmtId="10" fontId="13" fillId="6" borderId="5" xfId="1" applyNumberFormat="1" applyFont="1" applyFill="1" applyBorder="1" applyAlignment="1">
      <alignment horizontal="right" vertical="center"/>
    </xf>
    <xf numFmtId="10" fontId="13" fillId="7" borderId="5" xfId="1" applyNumberFormat="1" applyFont="1" applyFill="1" applyBorder="1" applyAlignment="1">
      <alignment horizontal="right" vertical="center"/>
    </xf>
    <xf numFmtId="0" fontId="3" fillId="2" borderId="0" xfId="0" applyFont="1" applyFill="1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3" fontId="3" fillId="0" borderId="0" xfId="0" applyNumberFormat="1" applyFont="1" applyBorder="1" applyAlignment="1">
      <alignment horizontal="right" vertical="center"/>
    </xf>
    <xf numFmtId="0" fontId="1" fillId="0" borderId="5" xfId="0" applyFont="1" applyBorder="1" applyAlignment="1">
      <alignment horizontal="center" vertical="center" wrapText="1"/>
    </xf>
    <xf numFmtId="164" fontId="3" fillId="0" borderId="5" xfId="0" applyNumberFormat="1" applyFont="1" applyBorder="1" applyAlignment="1">
      <alignment horizontal="right" vertical="center"/>
    </xf>
    <xf numFmtId="164" fontId="4" fillId="0" borderId="5" xfId="0" applyNumberFormat="1" applyFont="1" applyBorder="1" applyAlignment="1">
      <alignment horizontal="right" vertical="center"/>
    </xf>
    <xf numFmtId="0" fontId="14" fillId="0" borderId="0" xfId="0" applyFont="1" applyFill="1" applyAlignment="1">
      <alignment vertical="center"/>
    </xf>
    <xf numFmtId="0" fontId="14" fillId="0" borderId="0" xfId="0" applyFont="1" applyFill="1" applyBorder="1" applyAlignment="1">
      <alignment vertical="center"/>
    </xf>
    <xf numFmtId="0" fontId="3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centerContinuous" vertical="center"/>
    </xf>
    <xf numFmtId="0" fontId="3" fillId="0" borderId="0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166" fontId="2" fillId="0" borderId="0" xfId="0" applyNumberFormat="1" applyFont="1" applyAlignment="1">
      <alignment vertical="center"/>
    </xf>
    <xf numFmtId="4" fontId="2" fillId="0" borderId="5" xfId="0" applyNumberFormat="1" applyFont="1" applyBorder="1" applyAlignment="1">
      <alignment vertical="center"/>
    </xf>
    <xf numFmtId="4" fontId="3" fillId="0" borderId="5" xfId="0" applyNumberFormat="1" applyFont="1" applyBorder="1" applyAlignment="1">
      <alignment horizontal="right" vertical="center"/>
    </xf>
    <xf numFmtId="0" fontId="2" fillId="2" borderId="0" xfId="0" applyFont="1" applyFill="1" applyAlignment="1">
      <alignment vertical="center"/>
    </xf>
    <xf numFmtId="0" fontId="1" fillId="0" borderId="8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9" fillId="5" borderId="0" xfId="0" applyFont="1" applyFill="1" applyAlignment="1">
      <alignment horizontal="center" vertical="center"/>
    </xf>
    <xf numFmtId="0" fontId="8" fillId="3" borderId="17" xfId="0" applyFont="1" applyFill="1" applyBorder="1" applyAlignment="1">
      <alignment horizontal="center" vertical="center" wrapText="1"/>
    </xf>
    <xf numFmtId="0" fontId="8" fillId="3" borderId="19" xfId="0" applyFont="1" applyFill="1" applyBorder="1" applyAlignment="1">
      <alignment horizontal="center" vertical="center" wrapText="1"/>
    </xf>
    <xf numFmtId="0" fontId="9" fillId="4" borderId="0" xfId="0" applyFont="1" applyFill="1" applyAlignment="1">
      <alignment horizontal="center" vertical="center"/>
    </xf>
    <xf numFmtId="167" fontId="2" fillId="0" borderId="5" xfId="0" applyNumberFormat="1" applyFont="1" applyBorder="1" applyAlignment="1">
      <alignment horizontal="right" vertical="center"/>
    </xf>
    <xf numFmtId="167" fontId="1" fillId="0" borderId="5" xfId="0" applyNumberFormat="1" applyFont="1" applyBorder="1" applyAlignment="1">
      <alignment horizontal="right" vertical="center"/>
    </xf>
    <xf numFmtId="4" fontId="4" fillId="0" borderId="5" xfId="0" applyNumberFormat="1" applyFont="1" applyBorder="1" applyAlignment="1">
      <alignment horizontal="right" vertical="center"/>
    </xf>
    <xf numFmtId="0" fontId="1" fillId="0" borderId="5" xfId="0" applyFont="1" applyBorder="1" applyAlignment="1">
      <alignment horizontal="center" vertical="center" wrapText="1"/>
    </xf>
    <xf numFmtId="0" fontId="2" fillId="0" borderId="5" xfId="0" applyFont="1" applyBorder="1" applyAlignment="1">
      <alignment vertical="center"/>
    </xf>
    <xf numFmtId="3" fontId="2" fillId="0" borderId="5" xfId="0" applyNumberFormat="1" applyFont="1" applyBorder="1" applyAlignment="1">
      <alignment horizontal="center" vertical="center"/>
    </xf>
    <xf numFmtId="164" fontId="2" fillId="0" borderId="5" xfId="0" applyNumberFormat="1" applyFont="1" applyBorder="1" applyAlignment="1">
      <alignment vertical="center"/>
    </xf>
    <xf numFmtId="3" fontId="1" fillId="2" borderId="5" xfId="0" applyNumberFormat="1" applyFont="1" applyFill="1" applyBorder="1" applyAlignment="1">
      <alignment vertical="center"/>
    </xf>
    <xf numFmtId="0" fontId="9" fillId="5" borderId="0" xfId="0" applyFont="1" applyFill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3" fillId="2" borderId="5" xfId="0" applyFont="1" applyFill="1" applyBorder="1" applyAlignment="1">
      <alignment horizontal="left" vertical="center"/>
    </xf>
    <xf numFmtId="0" fontId="12" fillId="6" borderId="5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 wrapText="1"/>
    </xf>
    <xf numFmtId="0" fontId="1" fillId="6" borderId="5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9" fillId="5" borderId="0" xfId="0" applyFont="1" applyFill="1" applyAlignment="1">
      <alignment horizontal="center" vertical="center"/>
    </xf>
    <xf numFmtId="0" fontId="8" fillId="3" borderId="17" xfId="0" applyFont="1" applyFill="1" applyBorder="1" applyAlignment="1">
      <alignment horizontal="center" vertical="center" wrapText="1"/>
    </xf>
    <xf numFmtId="0" fontId="8" fillId="3" borderId="19" xfId="0" applyFont="1" applyFill="1" applyBorder="1" applyAlignment="1">
      <alignment horizontal="center" vertical="center" wrapText="1"/>
    </xf>
    <xf numFmtId="0" fontId="8" fillId="3" borderId="18" xfId="0" applyFont="1" applyFill="1" applyBorder="1" applyAlignment="1">
      <alignment horizontal="center" vertical="center" wrapText="1"/>
    </xf>
    <xf numFmtId="0" fontId="8" fillId="3" borderId="20" xfId="0" applyFont="1" applyFill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2" fillId="4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10" fillId="5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3" fontId="2" fillId="4" borderId="0" xfId="0" applyNumberFormat="1" applyFont="1" applyFill="1" applyAlignment="1">
      <alignment horizontal="center" vertical="center"/>
    </xf>
    <xf numFmtId="3" fontId="2" fillId="0" borderId="0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externalLink" Target="externalLinks/externalLink19.xml"/><Relationship Id="rId117" Type="http://schemas.openxmlformats.org/officeDocument/2006/relationships/externalLink" Target="externalLinks/externalLink110.xml"/><Relationship Id="rId21" Type="http://schemas.openxmlformats.org/officeDocument/2006/relationships/externalLink" Target="externalLinks/externalLink14.xml"/><Relationship Id="rId42" Type="http://schemas.openxmlformats.org/officeDocument/2006/relationships/externalLink" Target="externalLinks/externalLink35.xml"/><Relationship Id="rId47" Type="http://schemas.openxmlformats.org/officeDocument/2006/relationships/externalLink" Target="externalLinks/externalLink40.xml"/><Relationship Id="rId63" Type="http://schemas.openxmlformats.org/officeDocument/2006/relationships/externalLink" Target="externalLinks/externalLink56.xml"/><Relationship Id="rId68" Type="http://schemas.openxmlformats.org/officeDocument/2006/relationships/externalLink" Target="externalLinks/externalLink61.xml"/><Relationship Id="rId84" Type="http://schemas.openxmlformats.org/officeDocument/2006/relationships/externalLink" Target="externalLinks/externalLink77.xml"/><Relationship Id="rId89" Type="http://schemas.openxmlformats.org/officeDocument/2006/relationships/externalLink" Target="externalLinks/externalLink82.xml"/><Relationship Id="rId112" Type="http://schemas.openxmlformats.org/officeDocument/2006/relationships/externalLink" Target="externalLinks/externalLink105.xml"/><Relationship Id="rId16" Type="http://schemas.openxmlformats.org/officeDocument/2006/relationships/externalLink" Target="externalLinks/externalLink9.xml"/><Relationship Id="rId107" Type="http://schemas.openxmlformats.org/officeDocument/2006/relationships/externalLink" Target="externalLinks/externalLink100.xml"/><Relationship Id="rId11" Type="http://schemas.openxmlformats.org/officeDocument/2006/relationships/externalLink" Target="externalLinks/externalLink4.xml"/><Relationship Id="rId32" Type="http://schemas.openxmlformats.org/officeDocument/2006/relationships/externalLink" Target="externalLinks/externalLink25.xml"/><Relationship Id="rId37" Type="http://schemas.openxmlformats.org/officeDocument/2006/relationships/externalLink" Target="externalLinks/externalLink30.xml"/><Relationship Id="rId53" Type="http://schemas.openxmlformats.org/officeDocument/2006/relationships/externalLink" Target="externalLinks/externalLink46.xml"/><Relationship Id="rId58" Type="http://schemas.openxmlformats.org/officeDocument/2006/relationships/externalLink" Target="externalLinks/externalLink51.xml"/><Relationship Id="rId74" Type="http://schemas.openxmlformats.org/officeDocument/2006/relationships/externalLink" Target="externalLinks/externalLink67.xml"/><Relationship Id="rId79" Type="http://schemas.openxmlformats.org/officeDocument/2006/relationships/externalLink" Target="externalLinks/externalLink72.xml"/><Relationship Id="rId102" Type="http://schemas.openxmlformats.org/officeDocument/2006/relationships/externalLink" Target="externalLinks/externalLink95.xml"/><Relationship Id="rId123" Type="http://schemas.openxmlformats.org/officeDocument/2006/relationships/calcChain" Target="calcChain.xml"/><Relationship Id="rId5" Type="http://schemas.openxmlformats.org/officeDocument/2006/relationships/worksheet" Target="worksheets/sheet5.xml"/><Relationship Id="rId61" Type="http://schemas.openxmlformats.org/officeDocument/2006/relationships/externalLink" Target="externalLinks/externalLink54.xml"/><Relationship Id="rId82" Type="http://schemas.openxmlformats.org/officeDocument/2006/relationships/externalLink" Target="externalLinks/externalLink75.xml"/><Relationship Id="rId90" Type="http://schemas.openxmlformats.org/officeDocument/2006/relationships/externalLink" Target="externalLinks/externalLink83.xml"/><Relationship Id="rId95" Type="http://schemas.openxmlformats.org/officeDocument/2006/relationships/externalLink" Target="externalLinks/externalLink88.xml"/><Relationship Id="rId19" Type="http://schemas.openxmlformats.org/officeDocument/2006/relationships/externalLink" Target="externalLinks/externalLink12.xml"/><Relationship Id="rId14" Type="http://schemas.openxmlformats.org/officeDocument/2006/relationships/externalLink" Target="externalLinks/externalLink7.xml"/><Relationship Id="rId22" Type="http://schemas.openxmlformats.org/officeDocument/2006/relationships/externalLink" Target="externalLinks/externalLink15.xml"/><Relationship Id="rId27" Type="http://schemas.openxmlformats.org/officeDocument/2006/relationships/externalLink" Target="externalLinks/externalLink20.xml"/><Relationship Id="rId30" Type="http://schemas.openxmlformats.org/officeDocument/2006/relationships/externalLink" Target="externalLinks/externalLink23.xml"/><Relationship Id="rId35" Type="http://schemas.openxmlformats.org/officeDocument/2006/relationships/externalLink" Target="externalLinks/externalLink28.xml"/><Relationship Id="rId43" Type="http://schemas.openxmlformats.org/officeDocument/2006/relationships/externalLink" Target="externalLinks/externalLink36.xml"/><Relationship Id="rId48" Type="http://schemas.openxmlformats.org/officeDocument/2006/relationships/externalLink" Target="externalLinks/externalLink41.xml"/><Relationship Id="rId56" Type="http://schemas.openxmlformats.org/officeDocument/2006/relationships/externalLink" Target="externalLinks/externalLink49.xml"/><Relationship Id="rId64" Type="http://schemas.openxmlformats.org/officeDocument/2006/relationships/externalLink" Target="externalLinks/externalLink57.xml"/><Relationship Id="rId69" Type="http://schemas.openxmlformats.org/officeDocument/2006/relationships/externalLink" Target="externalLinks/externalLink62.xml"/><Relationship Id="rId77" Type="http://schemas.openxmlformats.org/officeDocument/2006/relationships/externalLink" Target="externalLinks/externalLink70.xml"/><Relationship Id="rId100" Type="http://schemas.openxmlformats.org/officeDocument/2006/relationships/externalLink" Target="externalLinks/externalLink93.xml"/><Relationship Id="rId105" Type="http://schemas.openxmlformats.org/officeDocument/2006/relationships/externalLink" Target="externalLinks/externalLink98.xml"/><Relationship Id="rId113" Type="http://schemas.openxmlformats.org/officeDocument/2006/relationships/externalLink" Target="externalLinks/externalLink106.xml"/><Relationship Id="rId118" Type="http://schemas.openxmlformats.org/officeDocument/2006/relationships/externalLink" Target="externalLinks/externalLink111.xml"/><Relationship Id="rId8" Type="http://schemas.openxmlformats.org/officeDocument/2006/relationships/externalLink" Target="externalLinks/externalLink1.xml"/><Relationship Id="rId51" Type="http://schemas.openxmlformats.org/officeDocument/2006/relationships/externalLink" Target="externalLinks/externalLink44.xml"/><Relationship Id="rId72" Type="http://schemas.openxmlformats.org/officeDocument/2006/relationships/externalLink" Target="externalLinks/externalLink65.xml"/><Relationship Id="rId80" Type="http://schemas.openxmlformats.org/officeDocument/2006/relationships/externalLink" Target="externalLinks/externalLink73.xml"/><Relationship Id="rId85" Type="http://schemas.openxmlformats.org/officeDocument/2006/relationships/externalLink" Target="externalLinks/externalLink78.xml"/><Relationship Id="rId93" Type="http://schemas.openxmlformats.org/officeDocument/2006/relationships/externalLink" Target="externalLinks/externalLink86.xml"/><Relationship Id="rId98" Type="http://schemas.openxmlformats.org/officeDocument/2006/relationships/externalLink" Target="externalLinks/externalLink91.xml"/><Relationship Id="rId121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externalLink" Target="externalLinks/externalLink5.xml"/><Relationship Id="rId17" Type="http://schemas.openxmlformats.org/officeDocument/2006/relationships/externalLink" Target="externalLinks/externalLink10.xml"/><Relationship Id="rId25" Type="http://schemas.openxmlformats.org/officeDocument/2006/relationships/externalLink" Target="externalLinks/externalLink18.xml"/><Relationship Id="rId33" Type="http://schemas.openxmlformats.org/officeDocument/2006/relationships/externalLink" Target="externalLinks/externalLink26.xml"/><Relationship Id="rId38" Type="http://schemas.openxmlformats.org/officeDocument/2006/relationships/externalLink" Target="externalLinks/externalLink31.xml"/><Relationship Id="rId46" Type="http://schemas.openxmlformats.org/officeDocument/2006/relationships/externalLink" Target="externalLinks/externalLink39.xml"/><Relationship Id="rId59" Type="http://schemas.openxmlformats.org/officeDocument/2006/relationships/externalLink" Target="externalLinks/externalLink52.xml"/><Relationship Id="rId67" Type="http://schemas.openxmlformats.org/officeDocument/2006/relationships/externalLink" Target="externalLinks/externalLink60.xml"/><Relationship Id="rId103" Type="http://schemas.openxmlformats.org/officeDocument/2006/relationships/externalLink" Target="externalLinks/externalLink96.xml"/><Relationship Id="rId108" Type="http://schemas.openxmlformats.org/officeDocument/2006/relationships/externalLink" Target="externalLinks/externalLink101.xml"/><Relationship Id="rId116" Type="http://schemas.openxmlformats.org/officeDocument/2006/relationships/externalLink" Target="externalLinks/externalLink109.xml"/><Relationship Id="rId20" Type="http://schemas.openxmlformats.org/officeDocument/2006/relationships/externalLink" Target="externalLinks/externalLink13.xml"/><Relationship Id="rId41" Type="http://schemas.openxmlformats.org/officeDocument/2006/relationships/externalLink" Target="externalLinks/externalLink34.xml"/><Relationship Id="rId54" Type="http://schemas.openxmlformats.org/officeDocument/2006/relationships/externalLink" Target="externalLinks/externalLink47.xml"/><Relationship Id="rId62" Type="http://schemas.openxmlformats.org/officeDocument/2006/relationships/externalLink" Target="externalLinks/externalLink55.xml"/><Relationship Id="rId70" Type="http://schemas.openxmlformats.org/officeDocument/2006/relationships/externalLink" Target="externalLinks/externalLink63.xml"/><Relationship Id="rId75" Type="http://schemas.openxmlformats.org/officeDocument/2006/relationships/externalLink" Target="externalLinks/externalLink68.xml"/><Relationship Id="rId83" Type="http://schemas.openxmlformats.org/officeDocument/2006/relationships/externalLink" Target="externalLinks/externalLink76.xml"/><Relationship Id="rId88" Type="http://schemas.openxmlformats.org/officeDocument/2006/relationships/externalLink" Target="externalLinks/externalLink81.xml"/><Relationship Id="rId91" Type="http://schemas.openxmlformats.org/officeDocument/2006/relationships/externalLink" Target="externalLinks/externalLink84.xml"/><Relationship Id="rId96" Type="http://schemas.openxmlformats.org/officeDocument/2006/relationships/externalLink" Target="externalLinks/externalLink89.xml"/><Relationship Id="rId111" Type="http://schemas.openxmlformats.org/officeDocument/2006/relationships/externalLink" Target="externalLinks/externalLink10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externalLink" Target="externalLinks/externalLink8.xml"/><Relationship Id="rId23" Type="http://schemas.openxmlformats.org/officeDocument/2006/relationships/externalLink" Target="externalLinks/externalLink16.xml"/><Relationship Id="rId28" Type="http://schemas.openxmlformats.org/officeDocument/2006/relationships/externalLink" Target="externalLinks/externalLink21.xml"/><Relationship Id="rId36" Type="http://schemas.openxmlformats.org/officeDocument/2006/relationships/externalLink" Target="externalLinks/externalLink29.xml"/><Relationship Id="rId49" Type="http://schemas.openxmlformats.org/officeDocument/2006/relationships/externalLink" Target="externalLinks/externalLink42.xml"/><Relationship Id="rId57" Type="http://schemas.openxmlformats.org/officeDocument/2006/relationships/externalLink" Target="externalLinks/externalLink50.xml"/><Relationship Id="rId106" Type="http://schemas.openxmlformats.org/officeDocument/2006/relationships/externalLink" Target="externalLinks/externalLink99.xml"/><Relationship Id="rId114" Type="http://schemas.openxmlformats.org/officeDocument/2006/relationships/externalLink" Target="externalLinks/externalLink107.xml"/><Relationship Id="rId119" Type="http://schemas.openxmlformats.org/officeDocument/2006/relationships/externalLink" Target="externalLinks/externalLink112.xml"/><Relationship Id="rId10" Type="http://schemas.openxmlformats.org/officeDocument/2006/relationships/externalLink" Target="externalLinks/externalLink3.xml"/><Relationship Id="rId31" Type="http://schemas.openxmlformats.org/officeDocument/2006/relationships/externalLink" Target="externalLinks/externalLink24.xml"/><Relationship Id="rId44" Type="http://schemas.openxmlformats.org/officeDocument/2006/relationships/externalLink" Target="externalLinks/externalLink37.xml"/><Relationship Id="rId52" Type="http://schemas.openxmlformats.org/officeDocument/2006/relationships/externalLink" Target="externalLinks/externalLink45.xml"/><Relationship Id="rId60" Type="http://schemas.openxmlformats.org/officeDocument/2006/relationships/externalLink" Target="externalLinks/externalLink53.xml"/><Relationship Id="rId65" Type="http://schemas.openxmlformats.org/officeDocument/2006/relationships/externalLink" Target="externalLinks/externalLink58.xml"/><Relationship Id="rId73" Type="http://schemas.openxmlformats.org/officeDocument/2006/relationships/externalLink" Target="externalLinks/externalLink66.xml"/><Relationship Id="rId78" Type="http://schemas.openxmlformats.org/officeDocument/2006/relationships/externalLink" Target="externalLinks/externalLink71.xml"/><Relationship Id="rId81" Type="http://schemas.openxmlformats.org/officeDocument/2006/relationships/externalLink" Target="externalLinks/externalLink74.xml"/><Relationship Id="rId86" Type="http://schemas.openxmlformats.org/officeDocument/2006/relationships/externalLink" Target="externalLinks/externalLink79.xml"/><Relationship Id="rId94" Type="http://schemas.openxmlformats.org/officeDocument/2006/relationships/externalLink" Target="externalLinks/externalLink87.xml"/><Relationship Id="rId99" Type="http://schemas.openxmlformats.org/officeDocument/2006/relationships/externalLink" Target="externalLinks/externalLink92.xml"/><Relationship Id="rId101" Type="http://schemas.openxmlformats.org/officeDocument/2006/relationships/externalLink" Target="externalLinks/externalLink94.xml"/><Relationship Id="rId122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3" Type="http://schemas.openxmlformats.org/officeDocument/2006/relationships/externalLink" Target="externalLinks/externalLink6.xml"/><Relationship Id="rId18" Type="http://schemas.openxmlformats.org/officeDocument/2006/relationships/externalLink" Target="externalLinks/externalLink11.xml"/><Relationship Id="rId39" Type="http://schemas.openxmlformats.org/officeDocument/2006/relationships/externalLink" Target="externalLinks/externalLink32.xml"/><Relationship Id="rId109" Type="http://schemas.openxmlformats.org/officeDocument/2006/relationships/externalLink" Target="externalLinks/externalLink102.xml"/><Relationship Id="rId34" Type="http://schemas.openxmlformats.org/officeDocument/2006/relationships/externalLink" Target="externalLinks/externalLink27.xml"/><Relationship Id="rId50" Type="http://schemas.openxmlformats.org/officeDocument/2006/relationships/externalLink" Target="externalLinks/externalLink43.xml"/><Relationship Id="rId55" Type="http://schemas.openxmlformats.org/officeDocument/2006/relationships/externalLink" Target="externalLinks/externalLink48.xml"/><Relationship Id="rId76" Type="http://schemas.openxmlformats.org/officeDocument/2006/relationships/externalLink" Target="externalLinks/externalLink69.xml"/><Relationship Id="rId97" Type="http://schemas.openxmlformats.org/officeDocument/2006/relationships/externalLink" Target="externalLinks/externalLink90.xml"/><Relationship Id="rId104" Type="http://schemas.openxmlformats.org/officeDocument/2006/relationships/externalLink" Target="externalLinks/externalLink97.xml"/><Relationship Id="rId120" Type="http://schemas.openxmlformats.org/officeDocument/2006/relationships/theme" Target="theme/theme1.xml"/><Relationship Id="rId7" Type="http://schemas.openxmlformats.org/officeDocument/2006/relationships/worksheet" Target="worksheets/sheet7.xml"/><Relationship Id="rId71" Type="http://schemas.openxmlformats.org/officeDocument/2006/relationships/externalLink" Target="externalLinks/externalLink64.xml"/><Relationship Id="rId92" Type="http://schemas.openxmlformats.org/officeDocument/2006/relationships/externalLink" Target="externalLinks/externalLink85.xml"/><Relationship Id="rId2" Type="http://schemas.openxmlformats.org/officeDocument/2006/relationships/worksheet" Target="worksheets/sheet2.xml"/><Relationship Id="rId29" Type="http://schemas.openxmlformats.org/officeDocument/2006/relationships/externalLink" Target="externalLinks/externalLink22.xml"/><Relationship Id="rId24" Type="http://schemas.openxmlformats.org/officeDocument/2006/relationships/externalLink" Target="externalLinks/externalLink17.xml"/><Relationship Id="rId40" Type="http://schemas.openxmlformats.org/officeDocument/2006/relationships/externalLink" Target="externalLinks/externalLink33.xml"/><Relationship Id="rId45" Type="http://schemas.openxmlformats.org/officeDocument/2006/relationships/externalLink" Target="externalLinks/externalLink38.xml"/><Relationship Id="rId66" Type="http://schemas.openxmlformats.org/officeDocument/2006/relationships/externalLink" Target="externalLinks/externalLink59.xml"/><Relationship Id="rId87" Type="http://schemas.openxmlformats.org/officeDocument/2006/relationships/externalLink" Target="externalLinks/externalLink80.xml"/><Relationship Id="rId110" Type="http://schemas.openxmlformats.org/officeDocument/2006/relationships/externalLink" Target="externalLinks/externalLink103.xml"/><Relationship Id="rId115" Type="http://schemas.openxmlformats.org/officeDocument/2006/relationships/externalLink" Target="externalLinks/externalLink10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'BA-2023'!$C$4</c:f>
              <c:strCache>
                <c:ptCount val="1"/>
                <c:pt idx="0">
                  <c:v>Production
Réalisée (MWH)
GTA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'BA-2023'!$AN$6:$AN$17</c:f>
              <c:numCache>
                <c:formatCode>mmm\-yy</c:formatCode>
                <c:ptCount val="12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</c:numCache>
            </c:numRef>
          </c:cat>
          <c:val>
            <c:numRef>
              <c:f>'BA-2023'!$C$6:$C$17</c:f>
              <c:numCache>
                <c:formatCode>#,##0</c:formatCode>
                <c:ptCount val="12"/>
                <c:pt idx="0">
                  <c:v>0</c:v>
                </c:pt>
                <c:pt idx="1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2F-420E-A2ED-6208F97E4D86}"/>
            </c:ext>
          </c:extLst>
        </c:ser>
        <c:ser>
          <c:idx val="1"/>
          <c:order val="1"/>
          <c:tx>
            <c:strRef>
              <c:f>'BA-2023'!$AF$4:$AF$5</c:f>
              <c:strCache>
                <c:ptCount val="2"/>
                <c:pt idx="0">
                  <c:v>Prod Prév
Prévue (MWH)
GTA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'BA-2023'!$AN$6:$AN$17</c:f>
              <c:numCache>
                <c:formatCode>mmm\-yy</c:formatCode>
                <c:ptCount val="12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</c:numCache>
            </c:numRef>
          </c:cat>
          <c:val>
            <c:numRef>
              <c:f>'BA-2023'!$AF$6:$AF$17</c:f>
              <c:numCache>
                <c:formatCode>#,##0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19276.110576178573</c:v>
                </c:pt>
                <c:pt idx="3">
                  <c:v>18654.300557592163</c:v>
                </c:pt>
                <c:pt idx="4">
                  <c:v>19276.110576178573</c:v>
                </c:pt>
                <c:pt idx="5">
                  <c:v>18654.300557592163</c:v>
                </c:pt>
                <c:pt idx="6">
                  <c:v>19276.110576178573</c:v>
                </c:pt>
                <c:pt idx="7">
                  <c:v>19276.110576178573</c:v>
                </c:pt>
                <c:pt idx="8">
                  <c:v>18654.300557592163</c:v>
                </c:pt>
                <c:pt idx="9">
                  <c:v>19276.110576178573</c:v>
                </c:pt>
                <c:pt idx="10">
                  <c:v>18654.300557592163</c:v>
                </c:pt>
                <c:pt idx="11">
                  <c:v>19276.110576178573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2F-420E-A2ED-6208F97E4D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884088"/>
        <c:axId val="628885728"/>
      </c:lineChart>
      <c:dateAx>
        <c:axId val="628884088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885728"/>
        <c:crosses val="autoZero"/>
        <c:auto val="1"/>
        <c:lblOffset val="100"/>
        <c:baseTimeUnit val="months"/>
      </c:dateAx>
      <c:valAx>
        <c:axId val="62888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884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5251926797943707E-2"/>
          <c:y val="0.79340113735783024"/>
          <c:w val="0.92437450816813937"/>
          <c:h val="0.1788210848643919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6460383388900642E-2"/>
          <c:y val="0.15782407407407409"/>
          <c:w val="0.93646748915785483"/>
          <c:h val="0.56463655584718575"/>
        </c:manualLayout>
      </c:layout>
      <c:lineChart>
        <c:grouping val="standard"/>
        <c:varyColors val="0"/>
        <c:ser>
          <c:idx val="0"/>
          <c:order val="0"/>
          <c:tx>
            <c:strRef>
              <c:f>'BA-2023'!$C$4</c:f>
              <c:strCache>
                <c:ptCount val="1"/>
                <c:pt idx="0">
                  <c:v>Production
Réalisée (MWH)
GTA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'BA-2023'!$C$6:$C$17</c:f>
              <c:numCache>
                <c:formatCode>#,##0</c:formatCode>
                <c:ptCount val="12"/>
                <c:pt idx="0">
                  <c:v>0</c:v>
                </c:pt>
                <c:pt idx="1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62D-4214-B603-A4932A02C323}"/>
            </c:ext>
          </c:extLst>
        </c:ser>
        <c:ser>
          <c:idx val="2"/>
          <c:order val="2"/>
          <c:tx>
            <c:strRef>
              <c:f>'BA-2023'!$D$4</c:f>
              <c:strCache>
                <c:ptCount val="1"/>
                <c:pt idx="0">
                  <c:v>Conso
Usine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'BA-2023'!$D$6:$D$17</c:f>
              <c:numCache>
                <c:formatCode>#,##0</c:formatCode>
                <c:ptCount val="12"/>
                <c:pt idx="0">
                  <c:v>156</c:v>
                </c:pt>
                <c:pt idx="1">
                  <c:v>1104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62D-4214-B603-A4932A02C323}"/>
            </c:ext>
          </c:extLst>
        </c:ser>
        <c:ser>
          <c:idx val="4"/>
          <c:order val="4"/>
          <c:tx>
            <c:strRef>
              <c:f>'BA-2023'!$M$4</c:f>
              <c:strCache>
                <c:ptCount val="1"/>
                <c:pt idx="0">
                  <c:v>Total
Débité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'BA-2023'!$P$6:$P$17</c:f>
              <c:numCache>
                <c:formatCode>#\ ##0.000</c:formatCode>
                <c:ptCount val="12"/>
                <c:pt idx="0">
                  <c:v>0</c:v>
                </c:pt>
                <c:pt idx="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62D-4214-B603-A4932A02C323}"/>
            </c:ext>
          </c:extLst>
        </c:ser>
        <c:ser>
          <c:idx val="5"/>
          <c:order val="5"/>
          <c:tx>
            <c:strRef>
              <c:f>'BA-2023'!$T$5</c:f>
              <c:strCache>
                <c:ptCount val="1"/>
                <c:pt idx="0">
                  <c:v>Total
Reçu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'BA-2023'!$T$6:$T$17</c:f>
              <c:numCache>
                <c:formatCode>#,##0.00</c:formatCode>
                <c:ptCount val="12"/>
                <c:pt idx="0">
                  <c:v>156</c:v>
                </c:pt>
                <c:pt idx="1">
                  <c:v>1079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62D-4214-B603-A4932A02C3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1528664"/>
        <c:axId val="581531616"/>
      </c:lineChart>
      <c:lineChart>
        <c:grouping val="standard"/>
        <c:varyColors val="0"/>
        <c:ser>
          <c:idx val="1"/>
          <c:order val="1"/>
          <c:tx>
            <c:strRef>
              <c:f>'BA-2023'!$AF$4</c:f>
              <c:strCache>
                <c:ptCount val="1"/>
                <c:pt idx="0">
                  <c:v>Prod Prév
Prévue (MWH)
GTA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'BA-2023'!$AF$6:$AF$17</c:f>
              <c:numCache>
                <c:formatCode>#,##0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19276.110576178573</c:v>
                </c:pt>
                <c:pt idx="3">
                  <c:v>18654.300557592163</c:v>
                </c:pt>
                <c:pt idx="4">
                  <c:v>19276.110576178573</c:v>
                </c:pt>
                <c:pt idx="5">
                  <c:v>18654.300557592163</c:v>
                </c:pt>
                <c:pt idx="6">
                  <c:v>19276.110576178573</c:v>
                </c:pt>
                <c:pt idx="7">
                  <c:v>19276.110576178573</c:v>
                </c:pt>
                <c:pt idx="8">
                  <c:v>18654.300557592163</c:v>
                </c:pt>
                <c:pt idx="9">
                  <c:v>19276.110576178573</c:v>
                </c:pt>
                <c:pt idx="10">
                  <c:v>18654.300557592163</c:v>
                </c:pt>
                <c:pt idx="11">
                  <c:v>19276.110576178573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62D-4214-B603-A4932A02C323}"/>
            </c:ext>
          </c:extLst>
        </c:ser>
        <c:ser>
          <c:idx val="3"/>
          <c:order val="3"/>
          <c:tx>
            <c:strRef>
              <c:f>'BA-2023'!$AG$4</c:f>
              <c:strCache>
                <c:ptCount val="1"/>
                <c:pt idx="0">
                  <c:v>Cons Prév
Usine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'BA-2023'!$AG$6:$AG$17</c:f>
              <c:numCache>
                <c:formatCode>#,##0</c:formatCode>
                <c:ptCount val="12"/>
                <c:pt idx="0">
                  <c:v>155.4</c:v>
                </c:pt>
                <c:pt idx="1">
                  <c:v>140.19999999999999</c:v>
                </c:pt>
                <c:pt idx="2">
                  <c:v>7027.3834923147633</c:v>
                </c:pt>
                <c:pt idx="3">
                  <c:v>6803.0843474013836</c:v>
                </c:pt>
                <c:pt idx="4">
                  <c:v>7027.3834923147633</c:v>
                </c:pt>
                <c:pt idx="5">
                  <c:v>6803.0843474013836</c:v>
                </c:pt>
                <c:pt idx="6">
                  <c:v>7027.3834923147633</c:v>
                </c:pt>
                <c:pt idx="7">
                  <c:v>7027.3834923147633</c:v>
                </c:pt>
                <c:pt idx="8">
                  <c:v>6803.0843474013836</c:v>
                </c:pt>
                <c:pt idx="9">
                  <c:v>7027.3834923147633</c:v>
                </c:pt>
                <c:pt idx="10">
                  <c:v>6803.0843474013836</c:v>
                </c:pt>
                <c:pt idx="11">
                  <c:v>7027.3834923147633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62D-4214-B603-A4932A02C323}"/>
            </c:ext>
          </c:extLst>
        </c:ser>
        <c:ser>
          <c:idx val="6"/>
          <c:order val="6"/>
          <c:tx>
            <c:strRef>
              <c:f>'BA-2023'!$AJ$5</c:f>
              <c:strCache>
                <c:ptCount val="1"/>
                <c:pt idx="0">
                  <c:v>Total Prév
Débité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'BA-2023'!$AJ$6:$AJ$17</c:f>
              <c:numCache>
                <c:formatCode>#,##0</c:formatCode>
                <c:ptCount val="12"/>
                <c:pt idx="0">
                  <c:v>-0.40000000000000568</c:v>
                </c:pt>
                <c:pt idx="1">
                  <c:v>-0.19999999999998863</c:v>
                </c:pt>
                <c:pt idx="2">
                  <c:v>12348.727083863811</c:v>
                </c:pt>
                <c:pt idx="3">
                  <c:v>11951.21621019078</c:v>
                </c:pt>
                <c:pt idx="4">
                  <c:v>12348.727083863811</c:v>
                </c:pt>
                <c:pt idx="5">
                  <c:v>11951.21621019078</c:v>
                </c:pt>
                <c:pt idx="6">
                  <c:v>12348.727083863811</c:v>
                </c:pt>
                <c:pt idx="7">
                  <c:v>12348.727083863811</c:v>
                </c:pt>
                <c:pt idx="8">
                  <c:v>11951.21621019078</c:v>
                </c:pt>
                <c:pt idx="9">
                  <c:v>12348.727083863811</c:v>
                </c:pt>
                <c:pt idx="10">
                  <c:v>11951.21621019078</c:v>
                </c:pt>
                <c:pt idx="11">
                  <c:v>12348.727083863811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62D-4214-B603-A4932A02C323}"/>
            </c:ext>
          </c:extLst>
        </c:ser>
        <c:ser>
          <c:idx val="7"/>
          <c:order val="7"/>
          <c:tx>
            <c:strRef>
              <c:f>'BA-2023'!$AK$5</c:f>
              <c:strCache>
                <c:ptCount val="1"/>
                <c:pt idx="0">
                  <c:v>Total Prév
Reçu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'BA-2023'!$AK$6:$AK$17</c:f>
              <c:numCache>
                <c:formatCode>#,##0</c:formatCode>
                <c:ptCount val="12"/>
                <c:pt idx="0">
                  <c:v>155</c:v>
                </c:pt>
                <c:pt idx="1">
                  <c:v>140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62D-4214-B603-A4932A02C3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4073040"/>
        <c:axId val="614074680"/>
      </c:lineChart>
      <c:valAx>
        <c:axId val="581531616"/>
        <c:scaling>
          <c:orientation val="minMax"/>
        </c:scaling>
        <c:delete val="0"/>
        <c:axPos val="r"/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81528664"/>
        <c:crosses val="max"/>
        <c:crossBetween val="between"/>
      </c:valAx>
      <c:catAx>
        <c:axId val="581528664"/>
        <c:scaling>
          <c:orientation val="minMax"/>
        </c:scaling>
        <c:delete val="1"/>
        <c:axPos val="b"/>
        <c:majorTickMark val="out"/>
        <c:minorTickMark val="none"/>
        <c:tickLblPos val="nextTo"/>
        <c:crossAx val="581531616"/>
        <c:auto val="1"/>
        <c:lblAlgn val="ctr"/>
        <c:lblOffset val="100"/>
        <c:noMultiLvlLbl val="0"/>
      </c:catAx>
      <c:valAx>
        <c:axId val="614074680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4073040"/>
        <c:crossBetween val="between"/>
      </c:valAx>
      <c:catAx>
        <c:axId val="614073040"/>
        <c:scaling>
          <c:orientation val="minMax"/>
        </c:scaling>
        <c:delete val="1"/>
        <c:axPos val="b"/>
        <c:majorTickMark val="out"/>
        <c:minorTickMark val="none"/>
        <c:tickLblPos val="nextTo"/>
        <c:crossAx val="61407468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'BA-2022'!$C$4</c:f>
              <c:strCache>
                <c:ptCount val="1"/>
                <c:pt idx="0">
                  <c:v>Production
Réalisée (MWH)
GTA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'BA-2022'!$AN$6:$AN$17</c:f>
              <c:numCache>
                <c:formatCode>mmm\-yy</c:formatCode>
                <c:ptCount val="12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</c:numCache>
            </c:numRef>
          </c:cat>
          <c:val>
            <c:numRef>
              <c:f>'BA-2022'!$C$6:$C$17</c:f>
              <c:numCache>
                <c:formatCode>#,##0</c:formatCode>
                <c:ptCount val="12"/>
                <c:pt idx="0">
                  <c:v>9124</c:v>
                </c:pt>
                <c:pt idx="1">
                  <c:v>8911</c:v>
                </c:pt>
                <c:pt idx="2">
                  <c:v>20091</c:v>
                </c:pt>
                <c:pt idx="3">
                  <c:v>19710</c:v>
                </c:pt>
                <c:pt idx="4">
                  <c:v>20541</c:v>
                </c:pt>
                <c:pt idx="5">
                  <c:v>19755</c:v>
                </c:pt>
                <c:pt idx="6">
                  <c:v>16498</c:v>
                </c:pt>
                <c:pt idx="7">
                  <c:v>16274</c:v>
                </c:pt>
                <c:pt idx="8">
                  <c:v>18377</c:v>
                </c:pt>
                <c:pt idx="9">
                  <c:v>19019</c:v>
                </c:pt>
                <c:pt idx="10">
                  <c:v>16460</c:v>
                </c:pt>
                <c:pt idx="11">
                  <c:v>9319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61-4D70-9EFF-ECAB3EBB76A6}"/>
            </c:ext>
          </c:extLst>
        </c:ser>
        <c:ser>
          <c:idx val="1"/>
          <c:order val="1"/>
          <c:tx>
            <c:strRef>
              <c:f>'BA-2022'!$AF$4:$AF$5</c:f>
              <c:strCache>
                <c:ptCount val="2"/>
                <c:pt idx="0">
                  <c:v>Production
Prévue (MWH)
GTA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'BA-2022'!$AN$6:$AN$17</c:f>
              <c:numCache>
                <c:formatCode>mmm\-yy</c:formatCode>
                <c:ptCount val="12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</c:numCache>
            </c:numRef>
          </c:cat>
          <c:val>
            <c:numRef>
              <c:f>'BA-2022'!$AF$6:$AF$17</c:f>
              <c:numCache>
                <c:formatCode>#,##0</c:formatCode>
                <c:ptCount val="12"/>
                <c:pt idx="0">
                  <c:v>8526</c:v>
                </c:pt>
                <c:pt idx="1">
                  <c:v>9390.0455860208567</c:v>
                </c:pt>
                <c:pt idx="2">
                  <c:v>19406.094211109768</c:v>
                </c:pt>
                <c:pt idx="3">
                  <c:v>18780.091172041713</c:v>
                </c:pt>
                <c:pt idx="4">
                  <c:v>19406.094211109768</c:v>
                </c:pt>
                <c:pt idx="5">
                  <c:v>18780.091172041713</c:v>
                </c:pt>
                <c:pt idx="6">
                  <c:v>19406.094211109768</c:v>
                </c:pt>
                <c:pt idx="7">
                  <c:v>19406.094211109768</c:v>
                </c:pt>
                <c:pt idx="8">
                  <c:v>18780.091172041713</c:v>
                </c:pt>
                <c:pt idx="9">
                  <c:v>19406.094211109768</c:v>
                </c:pt>
                <c:pt idx="10">
                  <c:v>18780.091172041713</c:v>
                </c:pt>
                <c:pt idx="11">
                  <c:v>19406.094211109768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261-4D70-9EFF-ECAB3EBB76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884088"/>
        <c:axId val="628885728"/>
      </c:lineChart>
      <c:dateAx>
        <c:axId val="628884088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885728"/>
        <c:crosses val="autoZero"/>
        <c:auto val="1"/>
        <c:lblOffset val="100"/>
        <c:baseTimeUnit val="months"/>
      </c:dateAx>
      <c:valAx>
        <c:axId val="62888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884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5251926797943707E-2"/>
          <c:y val="0.79340113735783024"/>
          <c:w val="0.92437450816813937"/>
          <c:h val="0.1788210848643919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4.6460383388900642E-2"/>
          <c:y val="0.15782407407407409"/>
          <c:w val="0.93646748915785483"/>
          <c:h val="0.56463655584718575"/>
        </c:manualLayout>
      </c:layout>
      <c:lineChart>
        <c:grouping val="standard"/>
        <c:varyColors val="0"/>
        <c:ser>
          <c:idx val="0"/>
          <c:order val="0"/>
          <c:tx>
            <c:strRef>
              <c:f>'BA-2022'!$AO$4</c:f>
              <c:strCache>
                <c:ptCount val="1"/>
                <c:pt idx="0">
                  <c:v>Production
GTA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'BA-2022'!$AN$5:$AN$18</c:f>
              <c:strCache>
                <c:ptCount val="14"/>
                <c:pt idx="1">
                  <c:v>janv-22</c:v>
                </c:pt>
                <c:pt idx="2">
                  <c:v>févr-22</c:v>
                </c:pt>
                <c:pt idx="3">
                  <c:v>mars-22</c:v>
                </c:pt>
                <c:pt idx="4">
                  <c:v>avr-22</c:v>
                </c:pt>
                <c:pt idx="5">
                  <c:v>mai-22</c:v>
                </c:pt>
                <c:pt idx="6">
                  <c:v>juin-22</c:v>
                </c:pt>
                <c:pt idx="7">
                  <c:v>juil-22</c:v>
                </c:pt>
                <c:pt idx="8">
                  <c:v>août-22</c:v>
                </c:pt>
                <c:pt idx="9">
                  <c:v>sept-22</c:v>
                </c:pt>
                <c:pt idx="10">
                  <c:v>oct-22</c:v>
                </c:pt>
                <c:pt idx="11">
                  <c:v>nov-22</c:v>
                </c:pt>
                <c:pt idx="12">
                  <c:v>déc-22</c:v>
                </c:pt>
                <c:pt idx="13">
                  <c:v>Total</c:v>
                </c:pt>
              </c:strCache>
            </c:strRef>
          </c:cat>
          <c:val>
            <c:numRef>
              <c:f>'BA-2022'!$AO$5:$AO$18</c:f>
              <c:numCache>
                <c:formatCode>0.00%</c:formatCode>
                <c:ptCount val="14"/>
                <c:pt idx="1">
                  <c:v>1.0701384001876613</c:v>
                </c:pt>
                <c:pt idx="2">
                  <c:v>0.94898367833974939</c:v>
                </c:pt>
                <c:pt idx="3">
                  <c:v>1.0352933352502294</c:v>
                </c:pt>
                <c:pt idx="4">
                  <c:v>1.0495156716460812</c:v>
                </c:pt>
                <c:pt idx="5">
                  <c:v>1.0584819271999881</c:v>
                </c:pt>
                <c:pt idx="6">
                  <c:v>1.0519118261475564</c:v>
                </c:pt>
                <c:pt idx="7">
                  <c:v>0.85014531108248881</c:v>
                </c:pt>
                <c:pt idx="8">
                  <c:v>0.83860254531194223</c:v>
                </c:pt>
                <c:pt idx="9">
                  <c:v>0.97853625052460858</c:v>
                </c:pt>
                <c:pt idx="10">
                  <c:v>0.98005295620547073</c:v>
                </c:pt>
                <c:pt idx="11">
                  <c:v>0.87646006876177052</c:v>
                </c:pt>
                <c:pt idx="12">
                  <c:v>0.48020997417733746</c:v>
                </c:pt>
                <c:pt idx="13">
                  <c:v>0.92651092342055075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5F-4003-9394-B7ED090A3424}"/>
            </c:ext>
          </c:extLst>
        </c:ser>
        <c:ser>
          <c:idx val="1"/>
          <c:order val="1"/>
          <c:tx>
            <c:strRef>
              <c:f>'BA-2022'!$AP$4</c:f>
              <c:strCache>
                <c:ptCount val="1"/>
                <c:pt idx="0">
                  <c:v>Conso
Usine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'BA-2022'!$AN$5:$AN$18</c:f>
              <c:strCache>
                <c:ptCount val="14"/>
                <c:pt idx="1">
                  <c:v>janv-22</c:v>
                </c:pt>
                <c:pt idx="2">
                  <c:v>févr-22</c:v>
                </c:pt>
                <c:pt idx="3">
                  <c:v>mars-22</c:v>
                </c:pt>
                <c:pt idx="4">
                  <c:v>avr-22</c:v>
                </c:pt>
                <c:pt idx="5">
                  <c:v>mai-22</c:v>
                </c:pt>
                <c:pt idx="6">
                  <c:v>juin-22</c:v>
                </c:pt>
                <c:pt idx="7">
                  <c:v>juil-22</c:v>
                </c:pt>
                <c:pt idx="8">
                  <c:v>août-22</c:v>
                </c:pt>
                <c:pt idx="9">
                  <c:v>sept-22</c:v>
                </c:pt>
                <c:pt idx="10">
                  <c:v>oct-22</c:v>
                </c:pt>
                <c:pt idx="11">
                  <c:v>nov-22</c:v>
                </c:pt>
                <c:pt idx="12">
                  <c:v>déc-22</c:v>
                </c:pt>
                <c:pt idx="13">
                  <c:v>Total</c:v>
                </c:pt>
              </c:strCache>
            </c:strRef>
          </c:cat>
          <c:val>
            <c:numRef>
              <c:f>'BA-2022'!$AP$5:$AP$18</c:f>
              <c:numCache>
                <c:formatCode>0.00%</c:formatCode>
                <c:ptCount val="14"/>
                <c:pt idx="1">
                  <c:v>0.51443214112382485</c:v>
                </c:pt>
                <c:pt idx="2">
                  <c:v>1.0034476525016984</c:v>
                </c:pt>
                <c:pt idx="3">
                  <c:v>1.6117069896772869</c:v>
                </c:pt>
                <c:pt idx="4">
                  <c:v>0.94980082658755638</c:v>
                </c:pt>
                <c:pt idx="5">
                  <c:v>0.95094032181002364</c:v>
                </c:pt>
                <c:pt idx="6">
                  <c:v>0.95508127046691604</c:v>
                </c:pt>
                <c:pt idx="7">
                  <c:v>0.89145245146357899</c:v>
                </c:pt>
                <c:pt idx="8">
                  <c:v>0.90602486898984769</c:v>
                </c:pt>
                <c:pt idx="9">
                  <c:v>0.94532071720849198</c:v>
                </c:pt>
                <c:pt idx="10">
                  <c:v>0.93844243662763471</c:v>
                </c:pt>
                <c:pt idx="11">
                  <c:v>0.91186100267272363</c:v>
                </c:pt>
                <c:pt idx="12">
                  <c:v>0.63329786422865353</c:v>
                </c:pt>
                <c:pt idx="13">
                  <c:v>0.90588891771528357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5F-4003-9394-B7ED090A3424}"/>
            </c:ext>
          </c:extLst>
        </c:ser>
        <c:ser>
          <c:idx val="2"/>
          <c:order val="2"/>
          <c:tx>
            <c:strRef>
              <c:f>'BA-2022'!$AQ$4</c:f>
              <c:strCache>
                <c:ptCount val="1"/>
                <c:pt idx="0">
                  <c:v>Débité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'BA-2022'!$AN$5:$AN$18</c:f>
              <c:strCache>
                <c:ptCount val="14"/>
                <c:pt idx="1">
                  <c:v>janv-22</c:v>
                </c:pt>
                <c:pt idx="2">
                  <c:v>févr-22</c:v>
                </c:pt>
                <c:pt idx="3">
                  <c:v>mars-22</c:v>
                </c:pt>
                <c:pt idx="4">
                  <c:v>avr-22</c:v>
                </c:pt>
                <c:pt idx="5">
                  <c:v>mai-22</c:v>
                </c:pt>
                <c:pt idx="6">
                  <c:v>juin-22</c:v>
                </c:pt>
                <c:pt idx="7">
                  <c:v>juil-22</c:v>
                </c:pt>
                <c:pt idx="8">
                  <c:v>août-22</c:v>
                </c:pt>
                <c:pt idx="9">
                  <c:v>sept-22</c:v>
                </c:pt>
                <c:pt idx="10">
                  <c:v>oct-22</c:v>
                </c:pt>
                <c:pt idx="11">
                  <c:v>nov-22</c:v>
                </c:pt>
                <c:pt idx="12">
                  <c:v>déc-22</c:v>
                </c:pt>
                <c:pt idx="13">
                  <c:v>Total</c:v>
                </c:pt>
              </c:strCache>
            </c:strRef>
          </c:cat>
          <c:val>
            <c:numRef>
              <c:f>'BA-2022'!$AQ$5:$AQ$18</c:f>
              <c:numCache>
                <c:formatCode>0.00%</c:formatCode>
                <c:ptCount val="14"/>
                <c:pt idx="1">
                  <c:v>1.0740755079227331</c:v>
                </c:pt>
                <c:pt idx="2">
                  <c:v>0.83014790664686899</c:v>
                </c:pt>
                <c:pt idx="3">
                  <c:v>1.1013888926426356</c:v>
                </c:pt>
                <c:pt idx="4">
                  <c:v>1.131742485213993</c:v>
                </c:pt>
                <c:pt idx="5">
                  <c:v>1.1238807931857497</c:v>
                </c:pt>
                <c:pt idx="6">
                  <c:v>1.1146791797530635</c:v>
                </c:pt>
                <c:pt idx="7">
                  <c:v>0.84480939624966545</c:v>
                </c:pt>
                <c:pt idx="8">
                  <c:v>0.81799586262745094</c:v>
                </c:pt>
                <c:pt idx="9">
                  <c:v>0.99918267458466614</c:v>
                </c:pt>
                <c:pt idx="10">
                  <c:v>1.0054291883499478</c:v>
                </c:pt>
                <c:pt idx="11">
                  <c:v>0.85587390400032282</c:v>
                </c:pt>
                <c:pt idx="12">
                  <c:v>0.42901653795543238</c:v>
                </c:pt>
                <c:pt idx="13">
                  <c:v>0.94124787297260581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5F-4003-9394-B7ED090A3424}"/>
            </c:ext>
          </c:extLst>
        </c:ser>
        <c:ser>
          <c:idx val="3"/>
          <c:order val="3"/>
          <c:tx>
            <c:strRef>
              <c:f>'BA-2022'!$AR$4</c:f>
              <c:strCache>
                <c:ptCount val="1"/>
                <c:pt idx="0">
                  <c:v>Reçu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'BA-2022'!$AN$5:$AN$18</c:f>
              <c:strCache>
                <c:ptCount val="14"/>
                <c:pt idx="1">
                  <c:v>janv-22</c:v>
                </c:pt>
                <c:pt idx="2">
                  <c:v>févr-22</c:v>
                </c:pt>
                <c:pt idx="3">
                  <c:v>mars-22</c:v>
                </c:pt>
                <c:pt idx="4">
                  <c:v>avr-22</c:v>
                </c:pt>
                <c:pt idx="5">
                  <c:v>mai-22</c:v>
                </c:pt>
                <c:pt idx="6">
                  <c:v>juin-22</c:v>
                </c:pt>
                <c:pt idx="7">
                  <c:v>juil-22</c:v>
                </c:pt>
                <c:pt idx="8">
                  <c:v>août-22</c:v>
                </c:pt>
                <c:pt idx="9">
                  <c:v>sept-22</c:v>
                </c:pt>
                <c:pt idx="10">
                  <c:v>oct-22</c:v>
                </c:pt>
                <c:pt idx="11">
                  <c:v>nov-22</c:v>
                </c:pt>
                <c:pt idx="12">
                  <c:v>déc-22</c:v>
                </c:pt>
                <c:pt idx="13">
                  <c:v>Total</c:v>
                </c:pt>
              </c:strCache>
            </c:strRef>
          </c:cat>
          <c:val>
            <c:numRef>
              <c:f>'BA-2022'!$AR$5:$AR$18</c:f>
              <c:numCache>
                <c:formatCode>0.00%</c:formatCode>
                <c:ptCount val="14"/>
                <c:pt idx="1">
                  <c:v>0.49294117647058822</c:v>
                </c:pt>
                <c:pt idx="2">
                  <c:v>1.0941846153846155</c:v>
                </c:pt>
                <c:pt idx="3">
                  <c:v>1.6177999999999884</c:v>
                </c:pt>
                <c:pt idx="4">
                  <c:v>2.48</c:v>
                </c:pt>
                <c:pt idx="5">
                  <c:v>0</c:v>
                </c:pt>
                <c:pt idx="6">
                  <c:v>0.41</c:v>
                </c:pt>
                <c:pt idx="7">
                  <c:v>2.37</c:v>
                </c:pt>
                <c:pt idx="8">
                  <c:v>2.44</c:v>
                </c:pt>
                <c:pt idx="9">
                  <c:v>0</c:v>
                </c:pt>
                <c:pt idx="10">
                  <c:v>0</c:v>
                </c:pt>
                <c:pt idx="11">
                  <c:v>0.05</c:v>
                </c:pt>
                <c:pt idx="12">
                  <c:v>5.03</c:v>
                </c:pt>
                <c:pt idx="13">
                  <c:v>1.0279999999999996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55F-4003-9394-B7ED090A34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884088"/>
        <c:axId val="628885728"/>
      </c:lineChart>
      <c:catAx>
        <c:axId val="628884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885728"/>
        <c:crosses val="autoZero"/>
        <c:auto val="1"/>
        <c:lblAlgn val="ctr"/>
        <c:lblOffset val="100"/>
        <c:noMultiLvlLbl val="0"/>
      </c:catAx>
      <c:valAx>
        <c:axId val="62888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884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45</xdr:col>
      <xdr:colOff>57149</xdr:colOff>
      <xdr:row>4</xdr:row>
      <xdr:rowOff>361950</xdr:rowOff>
    </xdr:from>
    <xdr:to>
      <xdr:col>58</xdr:col>
      <xdr:colOff>28575</xdr:colOff>
      <xdr:row>17</xdr:row>
      <xdr:rowOff>114300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0</xdr:colOff>
      <xdr:row>19</xdr:row>
      <xdr:rowOff>0</xdr:rowOff>
    </xdr:from>
    <xdr:to>
      <xdr:col>39</xdr:col>
      <xdr:colOff>628651</xdr:colOff>
      <xdr:row>32</xdr:row>
      <xdr:rowOff>190500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45</xdr:col>
      <xdr:colOff>57149</xdr:colOff>
      <xdr:row>4</xdr:row>
      <xdr:rowOff>361950</xdr:rowOff>
    </xdr:from>
    <xdr:to>
      <xdr:col>58</xdr:col>
      <xdr:colOff>28575</xdr:colOff>
      <xdr:row>17</xdr:row>
      <xdr:rowOff>114300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0</xdr:colOff>
      <xdr:row>19</xdr:row>
      <xdr:rowOff>0</xdr:rowOff>
    </xdr:from>
    <xdr:to>
      <xdr:col>39</xdr:col>
      <xdr:colOff>628651</xdr:colOff>
      <xdr:row>32</xdr:row>
      <xdr:rowOff>190500</xdr:rowOff>
    </xdr:to>
    <xdr:graphicFrame macro="">
      <xdr:nvGraphicFramePr>
        <xdr:cNvPr id="5" name="Graphique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ouad.boumtira.ext/Desktop/2%20-%20BILAN/secretariat%20technique/Exercice-2023/B-M/B-M-01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ouad.boumtira.ext/Desktop/2%20-%20BILAN/secretariat%20technique/Exercice-2022/Cumul%20mois/Cumul-03-2022.xls" TargetMode="External"/></Relationships>
</file>

<file path=xl/externalLinks/_rels/externalLink10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ouad.boumtira.ext/Desktop/2%20-%20BILAN/secretariat%20technique/Exercice-2019/Cumul%20mois/Cumul-12-2019.xls" TargetMode="External"/></Relationships>
</file>

<file path=xl/externalLinks/_rels/externalLink10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ouad.boumtira.ext/Desktop/2%20-%20BILAN/secretariat%20technique/Exercice-2018/B-M/B-M-01-18.xls" TargetMode="External"/></Relationships>
</file>

<file path=xl/externalLinks/_rels/externalLink10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ouad.boumtira.ext/Desktop/2%20-%20BILAN/secretariat%20technique/Exercice-2018/B-M/B-M-02-18.xls" TargetMode="External"/></Relationships>
</file>

<file path=xl/externalLinks/_rels/externalLink10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ouad.boumtira.ext/Desktop/2%20-%20BILAN/secretariat%20technique/Exercice-2018/B-M/B-M-03-18.xls" TargetMode="External"/></Relationships>
</file>

<file path=xl/externalLinks/_rels/externalLink10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ouad.boumtira.ext/Desktop/2%20-%20BILAN/secretariat%20technique/Exercice-2018/B-M/B-M-04-18.xls" TargetMode="External"/></Relationships>
</file>

<file path=xl/externalLinks/_rels/externalLink10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ouad.boumtira.ext/Desktop/2%20-%20BILAN/secretariat%20technique/Exercice-2018/B-M/B-M-05-18.xls" TargetMode="External"/></Relationships>
</file>

<file path=xl/externalLinks/_rels/externalLink10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ouad.boumtira.ext/Desktop/2%20-%20BILAN/secretariat%20technique/Exercice-2018/B-M/B-M-06-18.xls" TargetMode="External"/></Relationships>
</file>

<file path=xl/externalLinks/_rels/externalLink10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ouad.boumtira.ext/Desktop/2%20-%20BILAN/secretariat%20technique/Exercice-2018/B-M/B-M-07-18.xls" TargetMode="External"/></Relationships>
</file>

<file path=xl/externalLinks/_rels/externalLink10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ouad.boumtira.ext/Desktop/2%20-%20BILAN/secretariat%20technique/Exercice-2018/B-M/B-M-08-18.xls" TargetMode="External"/></Relationships>
</file>

<file path=xl/externalLinks/_rels/externalLink10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ouad.boumtira.ext/Desktop/2%20-%20BILAN/secretariat%20technique/Exercice-2018/B-M/B-M-09-18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ouad.boumtira.ext/Desktop/2%20-%20BILAN/secretariat%20technique/Exercice-2022/B-M/B-M-04-22.xls" TargetMode="External"/></Relationships>
</file>

<file path=xl/externalLinks/_rels/externalLink1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ouad.boumtira.ext/Desktop/2%20-%20BILAN/secretariat%20technique/Exercice-2018/B-M/B-M-10-18.xls" TargetMode="External"/></Relationships>
</file>

<file path=xl/externalLinks/_rels/externalLink1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ouad.boumtira.ext/Desktop/2%20-%20BILAN/secretariat%20technique/Exercice-2018/B-M/B-M-11-18.xls" TargetMode="External"/></Relationships>
</file>

<file path=xl/externalLinks/_rels/externalLink1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ouad.boumtira.ext/Desktop/2%20-%20BILAN/secretariat%20technique/Exercice-2018/B-M/B-M-12-18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ouad.boumtira.ext/Desktop/2%20-%20BILAN/secretariat%20technique/Exercice-2022/Cumul%20mois/Cumul-04-2022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ouad.boumtira.ext/Desktop/2%20-%20BILAN/secretariat%20technique/Exercice-2022/B-M/B-M-05-22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ouad.boumtira.ext/Desktop/2%20-%20BILAN/secretariat%20technique/Exercice-2022/Cumul%20mois/Cumul-05-2022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ouad.boumtira.ext/Desktop/2%20-%20BILAN/secretariat%20technique/Exercice-2022/B-M/B-M-06-22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ouad.boumtira.ext/Desktop/2%20-%20BILAN/secretariat%20technique/Exercice-2022/Cumul%20mois/Cumul-06-2022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ouad.boumtira.ext/Desktop/2%20-%20BILAN/secretariat%20technique/Exercice-2022/B-M/B-M-07-22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ouad.boumtira.ext/Desktop/2%20-%20BILAN/secretariat%20technique/Exercice-2022/Cumul%20mois/Cumul-07-2022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ouad.boumtira.ext/Desktop/2%20-%20BILAN/secretariat%20technique/Exercice-2022/B-M/B-M-08-2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ouad.boumtira.ext/Desktop/2%20-%20BILAN/secretariat%20technique/Exercice-2023/Cumul%20mois/Cumul-01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ouad.boumtira.ext/Desktop/2%20-%20BILAN/secretariat%20technique/Exercice-2022/Cumul%20mois/Cumul-08-2022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ouad.boumtira.ext/Desktop/2%20-%20BILAN/secretariat%20technique/Exercice-2022/B-M/B-M-09-22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ouad.boumtira.ext/Desktop/2%20-%20BILAN/secretariat%20technique/Exercice-2022/Cumul%20mois/Cumul-09-2022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ouad.boumtira.ext/Desktop/2%20-%20BILAN/secretariat%20technique/Exercice-2022/B-M/B-M-10-22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ouad.boumtira.ext/Desktop/2%20-%20BILAN/secretariat%20technique/Exercice-2022/Cumul%20mois/Cumul-10-2022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ouad.boumtira.ext/Desktop/2%20-%20BILAN/secretariat%20technique/Exercice-2022/B-M/B-M-11-22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ouad.boumtira.ext/Desktop/2%20-%20BILAN/secretariat%20technique/Exercice-2022/Cumul%20mois/Cumul-11-2022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ouad.boumtira.ext/Desktop/2%20-%20BILAN/secretariat%20technique/Exercice-2022/B-M/B-M-12-22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ouad.boumtira.ext/Desktop/2%20-%20BILAN/secretariat%20technique/Exercice-2022/Cumul%20mois/Cumul-12-2022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ouad.boumtira.ext/Desktop/2%20-%20BILAN/secretariat%20technique/Exercice-2021/B-M/B-M-01-2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ouad.boumtira.ext/Desktop/2%20-%20BILAN/secretariat%20technique/Exercice-2023/B-M/B-M-02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ouad.boumtira.ext/Desktop/2%20-%20BILAN/secretariat%20technique/Exercice-2021/Cumul%20mois/Cumul-01-2021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ouad.boumtira.ext/Desktop/2%20-%20BILAN/secretariat%20technique/Exercice-2021/B-M/B-M-02-21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ouad.boumtira.ext/Desktop/2%20-%20BILAN/secretariat%20technique/Exercice-2021/Cumul%20mois/Cumul-02-2021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ouad.boumtira.ext/Desktop/2%20-%20BILAN/secretariat%20technique/Exercice-2021/B-M/B-M-03-21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ouad.boumtira.ext/Desktop/2%20-%20BILAN/secretariat%20technique/Exercice-2021/Cumul%20mois/Cumul-03-2021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ouad.boumtira.ext/Desktop/2%20-%20BILAN/secretariat%20technique/Exercice-2021/B-M/B-M-04-21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ouad.boumtira.ext/Desktop/2%20-%20BILAN/secretariat%20technique/Exercice-2021/Cumul%20mois/Cumul-04-2021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ouad.boumtira.ext/Desktop/2%20-%20BILAN/secretariat%20technique/Exercice-2021/B-M/B-M-05-21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ouad.boumtira.ext/Desktop/2%20-%20BILAN/secretariat%20technique/Exercice-2021/Cumul%20mois/Cumul-05-2021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ouad.boumtira.ext/Desktop/2%20-%20BILAN/secretariat%20technique/Exercice-2021/B-M/B-M-06-2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ouad.boumtira.ext/Desktop/2%20-%20BILAN/secretariat%20technique/Exercice-2023/Cumul%20mois/Cumul-02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ouad.boumtira.ext/Desktop/2%20-%20BILAN/secretariat%20technique/Exercice-2021/Cumul%20mois/Cumul-06-2021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ouad.boumtira.ext/Desktop/2%20-%20BILAN/secretariat%20technique/Exercice-2021/B-M/B-M-07-21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ouad.boumtira.ext/Desktop/2%20-%20BILAN/secretariat%20technique/Exercice-2021/Cumul%20mois/Cumul-07-2021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ouad.boumtira.ext/Desktop/2%20-%20BILAN/secretariat%20technique/Exercice-2021/B-M/B-M-08-21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ouad.boumtira.ext/Desktop/2%20-%20BILAN/secretariat%20technique/Exercice-2021/Cumul%20mois/Cumul-08-2021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ouad.boumtira.ext/Desktop/2%20-%20BILAN/secretariat%20technique/Exercice-2021/B-M/B-M-09-21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ouad.boumtira.ext/Desktop/2%20-%20BILAN/secretariat%20technique/Exercice-2021/Cumul%20mois/Cumul-09-2021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ouad.boumtira.ext/Desktop/2%20-%20BILAN/secretariat%20technique/Exercice-2021/B-M/B-M-10-21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ouad.boumtira.ext/Desktop/2%20-%20BILAN/secretariat%20technique/Exercice-2021/Cumul%20mois/Cumul-10-2021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ouad.boumtira.ext/Desktop/2%20-%20BILAN/secretariat%20technique/Exercice-2021/B-M/B-M-11-2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ouad.boumtira.ext/Desktop/2%20-%20BILAN/secretariat%20technique/Exercice-2022/B-M/B-M-01-22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ouad.boumtira.ext/Desktop/2%20-%20BILAN/secretariat%20technique/Exercice-2021/Cumul%20mois/Cumul-11-2021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ouad.boumtira.ext/Desktop/2%20-%20BILAN/secretariat%20technique/Exercice-2021/B-M/B-M-12-21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ouad.boumtira.ext/Desktop/2%20-%20BILAN/secretariat%20technique/Exercice-2021/Cumul%20mois/Cumul-12-2021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ouad.boumtira.ext/Desktop/2%20-%20BILAN/secretariat%20technique/Exercice-2020/B-M/B-M-01-20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ouad.boumtira.ext/Desktop/2%20-%20BILAN/secretariat%20technique/Exercice-2020/Cumul%20mois/Cumul-01-2020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ouad.boumtira.ext/Desktop/2%20-%20BILAN/secretariat%20technique/Exercice-2020/B-M/B-M-02-20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ouad.boumtira.ext/Desktop/2%20-%20BILAN/secretariat%20technique/Exercice-2020/Cumul%20mois/Cumul-02-2020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ouad.boumtira.ext/Desktop/2%20-%20BILAN/secretariat%20technique/Exercice-2020/B-M/B-M-03-20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ouad.boumtira.ext/Desktop/2%20-%20BILAN/secretariat%20technique/Exercice-2020/Cumul%20mois/Cumul-03-2020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ouad.boumtira.ext/Desktop/2%20-%20BILAN/secretariat%20technique/Exercice-2020/B-M/B-M-04-20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ouad.boumtira.ext/Desktop/2%20-%20BILAN/secretariat%20technique/Exercice-2022/Cumul%20mois/Cumul-01-2022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ouad.boumtira.ext/Desktop/2%20-%20BILAN/secretariat%20technique/Exercice-2020/Cumul%20mois/Cumul-04-2020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ouad.boumtira.ext/Desktop/2%20-%20BILAN/secretariat%20technique/Exercice-2020/B-M/B-M-05-20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ouad.boumtira.ext/Desktop/2%20-%20BILAN/secretariat%20technique/Exercice-2020/Cumul%20mois/Cumul-05-2020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ouad.boumtira.ext/Desktop/2%20-%20BILAN/secretariat%20technique/Exercice-2020/B-M/B-M-06-20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ouad.boumtira.ext/Desktop/2%20-%20BILAN/secretariat%20technique/Exercice-2020/Cumul%20mois/Cumul-06-2020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ouad.boumtira.ext/Desktop/2%20-%20BILAN/secretariat%20technique/Exercice-2020/B-M/B-M-07-20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ouad.boumtira.ext/Desktop/2%20-%20BILAN/secretariat%20technique/Exercice-2020/Cumul%20mois/Cumul-07-2020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ouad.boumtira.ext/Desktop/2%20-%20BILAN/secretariat%20technique/Exercice-2020/B-M/B-M-08-20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ouad.boumtira.ext/Desktop/2%20-%20BILAN/secretariat%20technique/Exercice-2020/Cumul%20mois/Cumul-08-2020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ouad.boumtira.ext/Desktop/2%20-%20BILAN/secretariat%20technique/Exercice-2020/B-M/B-M-09-20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ouad.boumtira.ext/Desktop/2%20-%20BILAN/secretariat%20technique/Exercice-2022/B-M/B-M-02-22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ouad.boumtira.ext/Desktop/2%20-%20BILAN/secretariat%20technique/Exercice-2020/Cumul%20mois/Cumul-09-2020.xls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ouad.boumtira.ext/Desktop/2%20-%20BILAN/secretariat%20technique/Exercice-2020/B-M/B-M-10-20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ouad.boumtira.ext/Desktop/2%20-%20BILAN/secretariat%20technique/Exercice-2020/Cumul%20mois/Cumul-10-2020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ouad.boumtira.ext/Desktop/2%20-%20BILAN/secretariat%20technique/Exercice-2020/B-M/B-M-11-20.xls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ouad.boumtira.ext/Desktop/2%20-%20BILAN/secretariat%20technique/Exercice-2020/Cumul%20mois/Cumul-11-2020.xls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ouad.boumtira.ext/Desktop/2%20-%20BILAN/secretariat%20technique/Exercice-2020/B-M/B-M-12-20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ouad.boumtira.ext/Desktop/2%20-%20BILAN/secretariat%20technique/Exercice-2020/Cumul%20mois/Cumul-12-2020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ouad.boumtira.ext/Desktop/2%20-%20BILAN/secretariat%20technique/Exercice-2019/B-M/B-M-01-19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ouad.boumtira.ext/Desktop/2%20-%20BILAN/secretariat%20technique/Exercice-2019/Cumul%20mois/Cumul-01-2019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ouad.boumtira.ext/Desktop/2%20-%20BILAN/secretariat%20technique/Exercice-2019/B-M/B-M-02-19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ouad.boumtira.ext/Desktop/2%20-%20BILAN/secretariat%20technique/Exercice-2022/Cumul%20mois/Cumul-02-2022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ouad.boumtira.ext/Desktop/2%20-%20BILAN/secretariat%20technique/Exercice-2019/Cumul%20mois/Cumul-02-2019.xls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ouad.boumtira.ext/Desktop/2%20-%20BILAN/secretariat%20technique/Exercice-2019/B-M/B-M-03-19.xls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ouad.boumtira.ext/Desktop/2%20-%20BILAN/secretariat%20technique/Exercice-2019/Cumul%20mois/Cumul-03-2019.xls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ouad.boumtira.ext/Desktop/2%20-%20BILAN/secretariat%20technique/Exercice-2019/B-M/B-M-04-19.xls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ouad.boumtira.ext/Desktop/2%20-%20BILAN/secretariat%20technique/Exercice-2019/Cumul%20mois/Cumul-04-2019.xls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ouad.boumtira.ext/Desktop/2%20-%20BILAN/secretariat%20technique/Exercice-2019/B-M/B-M-05-19.xls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ouad.boumtira.ext/Desktop/2%20-%20BILAN/secretariat%20technique/Exercice-2019/Cumul%20mois/Cumul-05-2019.xls" TargetMode="External"/></Relationships>
</file>

<file path=xl/externalLinks/_rels/externalLink8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ouad.boumtira.ext/Desktop/2%20-%20BILAN/secretariat%20technique/Exercice-2019/B-M/B-M-06-19.xls" TargetMode="External"/></Relationships>
</file>

<file path=xl/externalLinks/_rels/externalLink8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ouad.boumtira.ext/Desktop/2%20-%20BILAN/secretariat%20technique/Exercice-2019/Cumul%20mois/Cumul-06-2019.xls" TargetMode="External"/></Relationships>
</file>

<file path=xl/externalLinks/_rels/externalLink8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ouad.boumtira.ext/Desktop/2%20-%20BILAN/secretariat%20technique/Exercice-2019/B-M/B-M-07-19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ouad.boumtira.ext/Desktop/2%20-%20BILAN/secretariat%20technique/Exercice-2022/B-M/B-M-03-22.xls" TargetMode="External"/></Relationships>
</file>

<file path=xl/externalLinks/_rels/externalLink9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ouad.boumtira.ext/Desktop/2%20-%20BILAN/secretariat%20technique/Exercice-2019/Cumul%20mois/Cumul-07-2019.xls" TargetMode="External"/></Relationships>
</file>

<file path=xl/externalLinks/_rels/externalLink9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ouad.boumtira.ext/Desktop/2%20-%20BILAN/secretariat%20technique/Exercice-2019/B-M/B-M-08-19.xls" TargetMode="External"/></Relationships>
</file>

<file path=xl/externalLinks/_rels/externalLink9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ouad.boumtira.ext/Desktop/2%20-%20BILAN/secretariat%20technique/Exercice-2019/Cumul%20mois/Cumul-08-2019.xls" TargetMode="External"/></Relationships>
</file>

<file path=xl/externalLinks/_rels/externalLink9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ouad.boumtira.ext/Desktop/2%20-%20BILAN/secretariat%20technique/Exercice-2019/B-M/B-M-09-19.xls" TargetMode="External"/></Relationships>
</file>

<file path=xl/externalLinks/_rels/externalLink9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ouad.boumtira.ext/Desktop/2%20-%20BILAN/secretariat%20technique/Exercice-2019/Cumul%20mois/Cumul-09-2019.xls" TargetMode="External"/></Relationships>
</file>

<file path=xl/externalLinks/_rels/externalLink9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ouad.boumtira.ext/Desktop/2%20-%20BILAN/secretariat%20technique/Exercice-2019/B-M/B-M-10-19.xls" TargetMode="External"/></Relationships>
</file>

<file path=xl/externalLinks/_rels/externalLink9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ouad.boumtira.ext/Desktop/2%20-%20BILAN/secretariat%20technique/Exercice-2019/Cumul%20mois/Cumul-10-2019.xls" TargetMode="External"/></Relationships>
</file>

<file path=xl/externalLinks/_rels/externalLink9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ouad.boumtira.ext/Desktop/2%20-%20BILAN/secretariat%20technique/Exercice-2019/B-M/B-M-11-19.xls" TargetMode="External"/></Relationships>
</file>

<file path=xl/externalLinks/_rels/externalLink9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ouad.boumtira.ext/Desktop/2%20-%20BILAN/secretariat%20technique/Exercice-2019/Cumul%20mois/Cumul-11-2019.xls" TargetMode="External"/></Relationships>
</file>

<file path=xl/externalLinks/_rels/externalLink9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ouad.boumtira.ext/Desktop/2%20-%20BILAN/secretariat%20technique/Exercice-2019/B-M/B-M-12-1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GE-GARDE"/>
      <sheetName val="BU-1"/>
      <sheetName val="BU-2"/>
      <sheetName val="BU-3"/>
      <sheetName val="BU-4"/>
    </sheetNames>
    <sheetDataSet>
      <sheetData sheetId="0" refreshError="1"/>
      <sheetData sheetId="1" refreshError="1"/>
      <sheetData sheetId="2">
        <row r="10">
          <cell r="E10">
            <v>0</v>
          </cell>
        </row>
        <row r="11">
          <cell r="E11">
            <v>0</v>
          </cell>
        </row>
        <row r="15">
          <cell r="E15">
            <v>2780</v>
          </cell>
        </row>
        <row r="17">
          <cell r="E17">
            <v>3694</v>
          </cell>
        </row>
        <row r="18">
          <cell r="E18">
            <v>989</v>
          </cell>
        </row>
        <row r="19">
          <cell r="E19">
            <v>0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1195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</sheetData>
      <sheetData sheetId="3">
        <row r="11">
          <cell r="F11">
            <v>156</v>
          </cell>
        </row>
        <row r="12">
          <cell r="F12">
            <v>2672</v>
          </cell>
        </row>
        <row r="13">
          <cell r="F13">
            <v>6180</v>
          </cell>
        </row>
        <row r="37">
          <cell r="F37">
            <v>0</v>
          </cell>
        </row>
        <row r="38">
          <cell r="F38">
            <v>1195</v>
          </cell>
        </row>
        <row r="39">
          <cell r="F39">
            <v>200</v>
          </cell>
        </row>
        <row r="41">
          <cell r="F41">
            <v>1943</v>
          </cell>
        </row>
        <row r="44">
          <cell r="F44">
            <v>0</v>
          </cell>
        </row>
        <row r="45">
          <cell r="F45">
            <v>323</v>
          </cell>
        </row>
        <row r="46">
          <cell r="F46">
            <v>0</v>
          </cell>
        </row>
        <row r="47">
          <cell r="F47">
            <v>0</v>
          </cell>
        </row>
        <row r="56">
          <cell r="F56">
            <v>140</v>
          </cell>
        </row>
        <row r="58">
          <cell r="F58">
            <v>0</v>
          </cell>
        </row>
        <row r="59">
          <cell r="F59">
            <v>0</v>
          </cell>
        </row>
        <row r="69">
          <cell r="F69">
            <v>543</v>
          </cell>
        </row>
        <row r="71">
          <cell r="F71">
            <v>0</v>
          </cell>
        </row>
        <row r="72">
          <cell r="F72">
            <v>0</v>
          </cell>
        </row>
        <row r="82">
          <cell r="F82">
            <v>17.928000000000001</v>
          </cell>
          <cell r="H82">
            <v>-2.4994799999996653E-3</v>
          </cell>
          <cell r="J82">
            <v>0.64550052000000002</v>
          </cell>
        </row>
        <row r="83">
          <cell r="F83">
            <v>52.286200000000036</v>
          </cell>
          <cell r="H83">
            <v>30</v>
          </cell>
          <cell r="J83">
            <v>5.1740000000000004</v>
          </cell>
        </row>
        <row r="84">
          <cell r="F84">
            <v>9.3419999999999987</v>
          </cell>
          <cell r="H84">
            <v>0</v>
          </cell>
          <cell r="J84">
            <v>0</v>
          </cell>
        </row>
      </sheetData>
      <sheetData sheetId="4">
        <row r="35">
          <cell r="E35">
            <v>0</v>
          </cell>
          <cell r="F35">
            <v>0</v>
          </cell>
          <cell r="G35">
            <v>0</v>
          </cell>
          <cell r="H35">
            <v>31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uil1"/>
      <sheetName val="Feuil4"/>
      <sheetName val="Feuil3"/>
      <sheetName val="Feuil2"/>
      <sheetName val="Mat aux"/>
      <sheetName val="PMP-PR"/>
      <sheetName val="cons sp"/>
      <sheetName val="Feuil5"/>
    </sheetNames>
    <sheetDataSet>
      <sheetData sheetId="0">
        <row r="40">
          <cell r="K40">
            <v>41504</v>
          </cell>
          <cell r="L40">
            <v>37025</v>
          </cell>
          <cell r="M40">
            <v>2410</v>
          </cell>
          <cell r="N40">
            <v>1860</v>
          </cell>
          <cell r="O40">
            <v>4879</v>
          </cell>
          <cell r="Q40">
            <v>77191</v>
          </cell>
          <cell r="R40">
            <v>9438</v>
          </cell>
          <cell r="S40">
            <v>0</v>
          </cell>
          <cell r="T40">
            <v>1049</v>
          </cell>
          <cell r="V40">
            <v>152140</v>
          </cell>
          <cell r="AO40">
            <v>24651</v>
          </cell>
          <cell r="AP40">
            <v>35489</v>
          </cell>
          <cell r="AX40">
            <v>27757</v>
          </cell>
          <cell r="BB40">
            <v>27607</v>
          </cell>
          <cell r="BD40">
            <v>54726</v>
          </cell>
          <cell r="BE40">
            <v>55052</v>
          </cell>
          <cell r="BF40">
            <v>41353</v>
          </cell>
        </row>
      </sheetData>
      <sheetData sheetId="1"/>
      <sheetData sheetId="2"/>
      <sheetData sheetId="3"/>
      <sheetData sheetId="4"/>
      <sheetData sheetId="5">
        <row r="8">
          <cell r="J8">
            <v>36</v>
          </cell>
        </row>
        <row r="9">
          <cell r="J9">
            <v>103.77999999999884</v>
          </cell>
        </row>
        <row r="10">
          <cell r="J10">
            <v>22</v>
          </cell>
        </row>
        <row r="12">
          <cell r="J12">
            <v>3874.744959682288</v>
          </cell>
        </row>
        <row r="13">
          <cell r="J13">
            <v>4152.5785846529943</v>
          </cell>
        </row>
        <row r="14">
          <cell r="J14">
            <v>2186.0864117394781</v>
          </cell>
        </row>
        <row r="16">
          <cell r="J16">
            <v>1087.2550403177117</v>
          </cell>
        </row>
        <row r="17">
          <cell r="J17">
            <v>1345.3901653470064</v>
          </cell>
        </row>
        <row r="18">
          <cell r="J18">
            <v>654.17921326052158</v>
          </cell>
        </row>
      </sheetData>
      <sheetData sheetId="6"/>
      <sheetData sheetId="7"/>
    </sheetDataSet>
  </externalBook>
</externalLink>
</file>

<file path=xl/externalLinks/externalLink10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uil1"/>
      <sheetName val="Feuil3"/>
      <sheetName val="Feuil2"/>
      <sheetName val="Mat aux"/>
      <sheetName val="PMP-PR"/>
      <sheetName val="cons sp"/>
    </sheetNames>
    <sheetDataSet>
      <sheetData sheetId="0">
        <row r="40">
          <cell r="K40">
            <v>32971</v>
          </cell>
          <cell r="L40">
            <v>49194</v>
          </cell>
          <cell r="M40">
            <v>171</v>
          </cell>
          <cell r="N40">
            <v>1560</v>
          </cell>
          <cell r="O40">
            <v>5367</v>
          </cell>
          <cell r="Q40">
            <v>76653</v>
          </cell>
          <cell r="R40">
            <v>11827</v>
          </cell>
          <cell r="S40">
            <v>0</v>
          </cell>
          <cell r="T40">
            <v>783</v>
          </cell>
          <cell r="AO40">
            <v>22979</v>
          </cell>
          <cell r="AP40">
            <v>21231</v>
          </cell>
          <cell r="AX40">
            <v>21011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externalLinks/externalLink10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GE-GARDE"/>
      <sheetName val="BU-1"/>
      <sheetName val="BU-2"/>
      <sheetName val="BU-3"/>
      <sheetName val="BU-4"/>
      <sheetName val="Evénements"/>
    </sheetNames>
    <sheetDataSet>
      <sheetData sheetId="0"/>
      <sheetData sheetId="1"/>
      <sheetData sheetId="2"/>
      <sheetData sheetId="3"/>
      <sheetData sheetId="4">
        <row r="35">
          <cell r="E35">
            <v>2.0347222222222223</v>
          </cell>
          <cell r="F35">
            <v>0</v>
          </cell>
          <cell r="G35">
            <v>28.965277777777779</v>
          </cell>
          <cell r="H35">
            <v>0</v>
          </cell>
        </row>
      </sheetData>
      <sheetData sheetId="5"/>
    </sheetDataSet>
  </externalBook>
</externalLink>
</file>

<file path=xl/externalLinks/externalLink10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GE-GARDE"/>
      <sheetName val="BU-1"/>
      <sheetName val="BU-2"/>
      <sheetName val="BU-3"/>
      <sheetName val="BU-4"/>
      <sheetName val="Evénements"/>
    </sheetNames>
    <sheetDataSet>
      <sheetData sheetId="0"/>
      <sheetData sheetId="1"/>
      <sheetData sheetId="2"/>
      <sheetData sheetId="3"/>
      <sheetData sheetId="4">
        <row r="35">
          <cell r="E35">
            <v>0</v>
          </cell>
          <cell r="F35">
            <v>0</v>
          </cell>
          <cell r="G35">
            <v>28</v>
          </cell>
          <cell r="H35">
            <v>0</v>
          </cell>
        </row>
      </sheetData>
      <sheetData sheetId="5"/>
    </sheetDataSet>
  </externalBook>
</externalLink>
</file>

<file path=xl/externalLinks/externalLink10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GE-GARDE"/>
      <sheetName val="BU-1"/>
      <sheetName val="BU-2"/>
      <sheetName val="BU-3"/>
      <sheetName val="BU-4"/>
      <sheetName val="Evénements"/>
    </sheetNames>
    <sheetDataSet>
      <sheetData sheetId="0"/>
      <sheetData sheetId="1"/>
      <sheetData sheetId="2"/>
      <sheetData sheetId="3"/>
      <sheetData sheetId="4">
        <row r="35">
          <cell r="E35">
            <v>0</v>
          </cell>
          <cell r="F35">
            <v>0</v>
          </cell>
          <cell r="G35">
            <v>31</v>
          </cell>
          <cell r="H35">
            <v>0</v>
          </cell>
        </row>
      </sheetData>
      <sheetData sheetId="5"/>
    </sheetDataSet>
  </externalBook>
</externalLink>
</file>

<file path=xl/externalLinks/externalLink10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GE-GARDE"/>
      <sheetName val="BU-1"/>
      <sheetName val="BU-2"/>
      <sheetName val="BU-3"/>
      <sheetName val="BU-4"/>
      <sheetName val="Evénements"/>
    </sheetNames>
    <sheetDataSet>
      <sheetData sheetId="0"/>
      <sheetData sheetId="1"/>
      <sheetData sheetId="2"/>
      <sheetData sheetId="3"/>
      <sheetData sheetId="4">
        <row r="35">
          <cell r="E35">
            <v>0</v>
          </cell>
          <cell r="F35">
            <v>0</v>
          </cell>
          <cell r="G35">
            <v>30</v>
          </cell>
          <cell r="H35">
            <v>0</v>
          </cell>
        </row>
      </sheetData>
      <sheetData sheetId="5"/>
    </sheetDataSet>
  </externalBook>
</externalLink>
</file>

<file path=xl/externalLinks/externalLink10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GE-GARDE"/>
      <sheetName val="BU-1"/>
      <sheetName val="BU-2"/>
      <sheetName val="BU-3"/>
      <sheetName val="BU-4"/>
      <sheetName val="Evénements"/>
    </sheetNames>
    <sheetDataSet>
      <sheetData sheetId="0"/>
      <sheetData sheetId="1"/>
      <sheetData sheetId="2"/>
      <sheetData sheetId="3"/>
      <sheetData sheetId="4">
        <row r="35">
          <cell r="E35">
            <v>0</v>
          </cell>
          <cell r="F35">
            <v>0</v>
          </cell>
          <cell r="G35">
            <v>31</v>
          </cell>
          <cell r="H35">
            <v>0</v>
          </cell>
        </row>
      </sheetData>
      <sheetData sheetId="5"/>
    </sheetDataSet>
  </externalBook>
</externalLink>
</file>

<file path=xl/externalLinks/externalLink10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GE-GARDE"/>
      <sheetName val="BU-1"/>
      <sheetName val="BU-2"/>
      <sheetName val="BU-3"/>
      <sheetName val="BU-4"/>
      <sheetName val="Evénements"/>
    </sheetNames>
    <sheetDataSet>
      <sheetData sheetId="0"/>
      <sheetData sheetId="1"/>
      <sheetData sheetId="2"/>
      <sheetData sheetId="3"/>
      <sheetData sheetId="4">
        <row r="35">
          <cell r="E35">
            <v>0</v>
          </cell>
          <cell r="F35">
            <v>0</v>
          </cell>
          <cell r="G35">
            <v>30</v>
          </cell>
          <cell r="H35">
            <v>0</v>
          </cell>
        </row>
      </sheetData>
      <sheetData sheetId="5"/>
    </sheetDataSet>
  </externalBook>
</externalLink>
</file>

<file path=xl/externalLinks/externalLink10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GE-GARDE"/>
      <sheetName val="BU-1"/>
      <sheetName val="BU-2"/>
      <sheetName val="BU-3"/>
      <sheetName val="BU-4"/>
      <sheetName val="Evénements"/>
    </sheetNames>
    <sheetDataSet>
      <sheetData sheetId="0"/>
      <sheetData sheetId="1"/>
      <sheetData sheetId="2"/>
      <sheetData sheetId="3"/>
      <sheetData sheetId="4">
        <row r="35">
          <cell r="E35">
            <v>30.368055555555557</v>
          </cell>
          <cell r="F35">
            <v>0</v>
          </cell>
          <cell r="G35">
            <v>0.3611111111111111</v>
          </cell>
          <cell r="H35">
            <v>0.27083333333333337</v>
          </cell>
        </row>
      </sheetData>
      <sheetData sheetId="5"/>
    </sheetDataSet>
  </externalBook>
</externalLink>
</file>

<file path=xl/externalLinks/externalLink10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GE-GARDE"/>
      <sheetName val="BU-1"/>
      <sheetName val="BU-2"/>
      <sheetName val="BU-3"/>
      <sheetName val="BU-4"/>
      <sheetName val="Evénements"/>
    </sheetNames>
    <sheetDataSet>
      <sheetData sheetId="0"/>
      <sheetData sheetId="1"/>
      <sheetData sheetId="2"/>
      <sheetData sheetId="3"/>
      <sheetData sheetId="4">
        <row r="35">
          <cell r="E35">
            <v>11.252083333333333</v>
          </cell>
          <cell r="F35">
            <v>0</v>
          </cell>
          <cell r="G35">
            <v>0</v>
          </cell>
          <cell r="H35">
            <v>19.747916666666669</v>
          </cell>
        </row>
      </sheetData>
      <sheetData sheetId="5"/>
    </sheetDataSet>
  </externalBook>
</externalLink>
</file>

<file path=xl/externalLinks/externalLink10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GE-GARDE"/>
      <sheetName val="BU-1"/>
      <sheetName val="BU-2"/>
      <sheetName val="BU-3"/>
      <sheetName val="BU-4"/>
      <sheetName val="Evénements"/>
    </sheetNames>
    <sheetDataSet>
      <sheetData sheetId="0"/>
      <sheetData sheetId="1"/>
      <sheetData sheetId="2"/>
      <sheetData sheetId="3"/>
      <sheetData sheetId="4">
        <row r="35">
          <cell r="E35">
            <v>28.127083333333331</v>
          </cell>
          <cell r="F35">
            <v>0</v>
          </cell>
          <cell r="G35">
            <v>0</v>
          </cell>
          <cell r="H35">
            <v>1.8729166666666668</v>
          </cell>
        </row>
      </sheetData>
      <sheetData sheetId="5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GE-GARDE"/>
      <sheetName val="BU-1"/>
      <sheetName val="BU-2"/>
      <sheetName val="BU-3"/>
      <sheetName val="BU-4"/>
    </sheetNames>
    <sheetDataSet>
      <sheetData sheetId="0"/>
      <sheetData sheetId="1"/>
      <sheetData sheetId="2">
        <row r="10">
          <cell r="E10">
            <v>19710</v>
          </cell>
        </row>
        <row r="11">
          <cell r="E11">
            <v>102718</v>
          </cell>
        </row>
        <row r="15">
          <cell r="E15">
            <v>209814</v>
          </cell>
        </row>
        <row r="17">
          <cell r="E17">
            <v>58174</v>
          </cell>
        </row>
        <row r="18">
          <cell r="E18">
            <v>55222</v>
          </cell>
        </row>
        <row r="19">
          <cell r="E19">
            <v>8598</v>
          </cell>
        </row>
        <row r="27">
          <cell r="E27">
            <v>248</v>
          </cell>
        </row>
        <row r="28">
          <cell r="E28">
            <v>5103.9718297536474</v>
          </cell>
        </row>
        <row r="29">
          <cell r="E29">
            <v>8122.9031702463526</v>
          </cell>
        </row>
        <row r="30">
          <cell r="E30">
            <v>0</v>
          </cell>
        </row>
        <row r="31">
          <cell r="E31">
            <v>702</v>
          </cell>
        </row>
        <row r="32">
          <cell r="E32">
            <v>689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</sheetData>
      <sheetData sheetId="3">
        <row r="11">
          <cell r="F11">
            <v>6731.125</v>
          </cell>
        </row>
        <row r="12">
          <cell r="F12">
            <v>1323</v>
          </cell>
        </row>
        <row r="13">
          <cell r="F13">
            <v>209814</v>
          </cell>
        </row>
        <row r="37">
          <cell r="F37">
            <v>100905</v>
          </cell>
        </row>
        <row r="38">
          <cell r="F38">
            <v>1800</v>
          </cell>
        </row>
        <row r="39">
          <cell r="F39">
            <v>6106</v>
          </cell>
        </row>
        <row r="41">
          <cell r="F41">
            <v>0</v>
          </cell>
        </row>
        <row r="44">
          <cell r="F44">
            <v>9914</v>
          </cell>
        </row>
        <row r="45">
          <cell r="F45">
            <v>1664</v>
          </cell>
        </row>
        <row r="46">
          <cell r="F46">
            <v>0</v>
          </cell>
        </row>
        <row r="47">
          <cell r="F47">
            <v>73884.650000000009</v>
          </cell>
        </row>
        <row r="56">
          <cell r="F56">
            <v>144463</v>
          </cell>
        </row>
        <row r="58">
          <cell r="F58">
            <v>20835</v>
          </cell>
        </row>
        <row r="59">
          <cell r="F59">
            <v>4486.4139999999998</v>
          </cell>
        </row>
        <row r="69">
          <cell r="F69">
            <v>151640</v>
          </cell>
        </row>
        <row r="71">
          <cell r="F71">
            <v>4111.5860000000002</v>
          </cell>
        </row>
        <row r="72">
          <cell r="F72">
            <v>51766.35</v>
          </cell>
        </row>
        <row r="82">
          <cell r="H82">
            <v>55.500294639999886</v>
          </cell>
          <cell r="J82">
            <v>46.956409919999999</v>
          </cell>
        </row>
        <row r="83">
          <cell r="H83">
            <v>0</v>
          </cell>
          <cell r="J83">
            <v>0</v>
          </cell>
        </row>
        <row r="84">
          <cell r="H84">
            <v>112.38751500000001</v>
          </cell>
          <cell r="J84">
            <v>100.7604765</v>
          </cell>
        </row>
      </sheetData>
      <sheetData sheetId="4">
        <row r="35">
          <cell r="E35">
            <v>28.296527777777776</v>
          </cell>
          <cell r="F35">
            <v>0</v>
          </cell>
          <cell r="G35">
            <v>0.23611111111111113</v>
          </cell>
          <cell r="H35">
            <v>1.4673611111111111</v>
          </cell>
        </row>
      </sheetData>
    </sheetDataSet>
  </externalBook>
</externalLink>
</file>

<file path=xl/externalLinks/externalLink1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GE-GARDE"/>
      <sheetName val="BU-1"/>
      <sheetName val="BU-2"/>
      <sheetName val="BU-3"/>
      <sheetName val="BU-4"/>
      <sheetName val="Evénements"/>
    </sheetNames>
    <sheetDataSet>
      <sheetData sheetId="0"/>
      <sheetData sheetId="1"/>
      <sheetData sheetId="2"/>
      <sheetData sheetId="3"/>
      <sheetData sheetId="4">
        <row r="35">
          <cell r="E35">
            <v>1.875</v>
          </cell>
          <cell r="F35">
            <v>0</v>
          </cell>
          <cell r="G35">
            <v>0</v>
          </cell>
          <cell r="H35">
            <v>29.125</v>
          </cell>
        </row>
      </sheetData>
      <sheetData sheetId="5"/>
    </sheetDataSet>
  </externalBook>
</externalLink>
</file>

<file path=xl/externalLinks/externalLink1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GE-GARDE"/>
      <sheetName val="BU-1"/>
      <sheetName val="BU-2"/>
      <sheetName val="BU-3"/>
      <sheetName val="BU-4"/>
      <sheetName val="Evénements"/>
    </sheetNames>
    <sheetDataSet>
      <sheetData sheetId="0"/>
      <sheetData sheetId="1"/>
      <sheetData sheetId="2"/>
      <sheetData sheetId="3"/>
      <sheetData sheetId="4">
        <row r="35">
          <cell r="E35">
            <v>0</v>
          </cell>
          <cell r="F35">
            <v>0</v>
          </cell>
          <cell r="G35">
            <v>0</v>
          </cell>
          <cell r="H35">
            <v>30</v>
          </cell>
        </row>
      </sheetData>
      <sheetData sheetId="5"/>
    </sheetDataSet>
  </externalBook>
</externalLink>
</file>

<file path=xl/externalLinks/externalLink1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GE-GARDE"/>
      <sheetName val="BU-1"/>
      <sheetName val="BU-2"/>
      <sheetName val="BU-3"/>
      <sheetName val="BU-4"/>
      <sheetName val="Evénements"/>
    </sheetNames>
    <sheetDataSet>
      <sheetData sheetId="0"/>
      <sheetData sheetId="1"/>
      <sheetData sheetId="2"/>
      <sheetData sheetId="3"/>
      <sheetData sheetId="4">
        <row r="35">
          <cell r="E35">
            <v>11.486111111111111</v>
          </cell>
          <cell r="F35">
            <v>0</v>
          </cell>
          <cell r="G35">
            <v>0</v>
          </cell>
          <cell r="H35">
            <v>19.513888888888889</v>
          </cell>
        </row>
      </sheetData>
      <sheetData sheetId="5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uil1"/>
      <sheetName val="Feuil6"/>
      <sheetName val="Feuil4"/>
      <sheetName val="Feuil3"/>
      <sheetName val="Feuil2"/>
      <sheetName val="Mat aux"/>
      <sheetName val="PMP-PR"/>
      <sheetName val="cons sp"/>
      <sheetName val="Feuil5"/>
    </sheetNames>
    <sheetDataSet>
      <sheetData sheetId="0">
        <row r="40">
          <cell r="K40">
            <v>39812</v>
          </cell>
          <cell r="L40">
            <v>26283.350000000002</v>
          </cell>
          <cell r="M40">
            <v>7715</v>
          </cell>
          <cell r="N40">
            <v>1800</v>
          </cell>
          <cell r="O40">
            <v>4999</v>
          </cell>
          <cell r="Q40">
            <v>73273</v>
          </cell>
          <cell r="R40">
            <v>6106</v>
          </cell>
          <cell r="S40">
            <v>179</v>
          </cell>
          <cell r="T40">
            <v>1051.1499999999999</v>
          </cell>
          <cell r="V40">
            <v>143356</v>
          </cell>
          <cell r="AO40">
            <v>28983</v>
          </cell>
          <cell r="AP40">
            <v>26239</v>
          </cell>
          <cell r="AX40">
            <v>24373</v>
          </cell>
          <cell r="BB40">
            <v>24270</v>
          </cell>
          <cell r="BD40">
            <v>57755</v>
          </cell>
          <cell r="BE40">
            <v>41222</v>
          </cell>
          <cell r="BF40">
            <v>50944</v>
          </cell>
        </row>
      </sheetData>
      <sheetData sheetId="1"/>
      <sheetData sheetId="2"/>
      <sheetData sheetId="3"/>
      <sheetData sheetId="4"/>
      <sheetData sheetId="5"/>
      <sheetData sheetId="6">
        <row r="8">
          <cell r="J8">
            <v>90</v>
          </cell>
        </row>
        <row r="9">
          <cell r="J9">
            <v>116</v>
          </cell>
        </row>
        <row r="10">
          <cell r="J10">
            <v>42</v>
          </cell>
        </row>
        <row r="12">
          <cell r="J12">
            <v>2769.0184515889105</v>
          </cell>
        </row>
        <row r="13">
          <cell r="J13">
            <v>3715.3100854355012</v>
          </cell>
        </row>
        <row r="14">
          <cell r="J14">
            <v>1638.5746332219412</v>
          </cell>
        </row>
        <row r="16">
          <cell r="J16">
            <v>1627.9815484110893</v>
          </cell>
        </row>
        <row r="17">
          <cell r="J17">
            <v>2374.0024145644988</v>
          </cell>
        </row>
        <row r="18">
          <cell r="J18">
            <v>1101.9878667780588</v>
          </cell>
        </row>
      </sheetData>
      <sheetData sheetId="7"/>
      <sheetData sheetId="8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GE-GARDE"/>
      <sheetName val="BU-1"/>
      <sheetName val="BU-2"/>
      <sheetName val="BU-3"/>
      <sheetName val="BU-4"/>
    </sheetNames>
    <sheetDataSet>
      <sheetData sheetId="0"/>
      <sheetData sheetId="1"/>
      <sheetData sheetId="2">
        <row r="10">
          <cell r="E10">
            <v>20541</v>
          </cell>
        </row>
        <row r="11">
          <cell r="E11">
            <v>105856</v>
          </cell>
        </row>
        <row r="15">
          <cell r="E15">
            <v>229566</v>
          </cell>
        </row>
        <row r="17">
          <cell r="E17">
            <v>59074</v>
          </cell>
        </row>
        <row r="18">
          <cell r="E18">
            <v>56301</v>
          </cell>
        </row>
        <row r="19">
          <cell r="E19">
            <v>8714</v>
          </cell>
        </row>
        <row r="27">
          <cell r="E27">
            <v>0</v>
          </cell>
        </row>
        <row r="28">
          <cell r="E28">
            <v>4193.071097754615</v>
          </cell>
        </row>
        <row r="29">
          <cell r="E29">
            <v>9378.772652245385</v>
          </cell>
        </row>
        <row r="30">
          <cell r="E30">
            <v>951</v>
          </cell>
        </row>
        <row r="31">
          <cell r="E31">
            <v>1666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</sheetData>
      <sheetData sheetId="3">
        <row r="11">
          <cell r="F11">
            <v>6969.15625</v>
          </cell>
        </row>
        <row r="12">
          <cell r="F12">
            <v>1057</v>
          </cell>
        </row>
        <row r="13">
          <cell r="F13">
            <v>229566</v>
          </cell>
        </row>
        <row r="37">
          <cell r="F37">
            <v>101379</v>
          </cell>
        </row>
        <row r="38">
          <cell r="F38">
            <v>1860</v>
          </cell>
        </row>
        <row r="39">
          <cell r="F39">
            <v>12542.75</v>
          </cell>
        </row>
        <row r="41">
          <cell r="F41">
            <v>0</v>
          </cell>
        </row>
        <row r="44">
          <cell r="F44">
            <v>10685</v>
          </cell>
        </row>
        <row r="45">
          <cell r="F45">
            <v>1621</v>
          </cell>
        </row>
        <row r="46">
          <cell r="F46">
            <v>0</v>
          </cell>
        </row>
        <row r="47">
          <cell r="F47">
            <v>67324.33</v>
          </cell>
        </row>
        <row r="56">
          <cell r="F56">
            <v>160110.75</v>
          </cell>
        </row>
        <row r="58">
          <cell r="F58">
            <v>21328</v>
          </cell>
        </row>
        <row r="59">
          <cell r="F59">
            <v>4485.1617729999998</v>
          </cell>
        </row>
        <row r="69">
          <cell r="F69">
            <v>170492</v>
          </cell>
        </row>
        <row r="71">
          <cell r="F71">
            <v>4228.8379999999997</v>
          </cell>
        </row>
        <row r="72">
          <cell r="F72">
            <v>63591.670000000006</v>
          </cell>
        </row>
        <row r="82">
          <cell r="H82">
            <v>45.698448959999993</v>
          </cell>
          <cell r="J82">
            <v>51.428448959999997</v>
          </cell>
        </row>
        <row r="83">
          <cell r="H83">
            <v>0</v>
          </cell>
          <cell r="J83">
            <v>0</v>
          </cell>
        </row>
        <row r="84">
          <cell r="H84">
            <v>117.00022075</v>
          </cell>
          <cell r="J84">
            <v>111.012331875</v>
          </cell>
        </row>
      </sheetData>
      <sheetData sheetId="4">
        <row r="35">
          <cell r="E35">
            <v>31</v>
          </cell>
          <cell r="F35">
            <v>0</v>
          </cell>
          <cell r="G35">
            <v>0</v>
          </cell>
          <cell r="H35">
            <v>0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uil1"/>
      <sheetName val="Feuil8"/>
      <sheetName val="Feuil5"/>
      <sheetName val="Feuil6"/>
      <sheetName val="Feuil4"/>
      <sheetName val="Feuil3"/>
      <sheetName val="Feuil2"/>
      <sheetName val="Mat aux"/>
      <sheetName val="PMP-PR"/>
      <sheetName val="cons sp"/>
      <sheetName val="Feuil7"/>
    </sheetNames>
    <sheetDataSet>
      <sheetData sheetId="0">
        <row r="40">
          <cell r="K40">
            <v>43587</v>
          </cell>
          <cell r="L40">
            <v>34277.670000000006</v>
          </cell>
          <cell r="M40">
            <v>9631</v>
          </cell>
          <cell r="N40">
            <v>1860</v>
          </cell>
          <cell r="O40">
            <v>5284</v>
          </cell>
          <cell r="Q40">
            <v>79803</v>
          </cell>
          <cell r="R40">
            <v>12542.75</v>
          </cell>
          <cell r="S40">
            <v>0</v>
          </cell>
          <cell r="T40">
            <v>2293.7599999999993</v>
          </cell>
          <cell r="V40">
            <v>152852</v>
          </cell>
          <cell r="AO40">
            <v>29428</v>
          </cell>
          <cell r="AP40">
            <v>26873</v>
          </cell>
          <cell r="AX40">
            <v>24258</v>
          </cell>
          <cell r="BB40">
            <v>24241</v>
          </cell>
          <cell r="BD40">
            <v>41191</v>
          </cell>
          <cell r="BE40">
            <v>56969</v>
          </cell>
          <cell r="BF40">
            <v>56997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>
        <row r="8">
          <cell r="J8">
            <v>0</v>
          </cell>
        </row>
        <row r="9">
          <cell r="J9">
            <v>0</v>
          </cell>
        </row>
        <row r="10">
          <cell r="J10">
            <v>0</v>
          </cell>
        </row>
        <row r="12">
          <cell r="J12">
            <v>3223.071204257375</v>
          </cell>
        </row>
        <row r="13">
          <cell r="J13">
            <v>4154.2901841864177</v>
          </cell>
        </row>
        <row r="14">
          <cell r="J14">
            <v>2001.4112638015918</v>
          </cell>
        </row>
        <row r="16">
          <cell r="J16">
            <v>1249.9287957426238</v>
          </cell>
        </row>
        <row r="17">
          <cell r="J17">
            <v>2110.8035658135827</v>
          </cell>
        </row>
        <row r="18">
          <cell r="J18">
            <v>832.33873619840847</v>
          </cell>
        </row>
      </sheetData>
      <sheetData sheetId="9"/>
      <sheetData sheetId="10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GE-GARDE"/>
      <sheetName val="BU-1"/>
      <sheetName val="BU-2"/>
      <sheetName val="BU-3"/>
      <sheetName val="BU-4"/>
    </sheetNames>
    <sheetDataSet>
      <sheetData sheetId="0"/>
      <sheetData sheetId="1"/>
      <sheetData sheetId="2">
        <row r="10">
          <cell r="E10">
            <v>19755</v>
          </cell>
        </row>
        <row r="11">
          <cell r="E11">
            <v>105746</v>
          </cell>
        </row>
        <row r="15">
          <cell r="E15">
            <v>217623</v>
          </cell>
        </row>
        <row r="17">
          <cell r="E17">
            <v>54262</v>
          </cell>
        </row>
        <row r="18">
          <cell r="E18">
            <v>52613</v>
          </cell>
        </row>
        <row r="19">
          <cell r="E19">
            <v>8475</v>
          </cell>
        </row>
        <row r="27">
          <cell r="E27">
            <v>41</v>
          </cell>
        </row>
        <row r="28">
          <cell r="E28">
            <v>2903.0723796994093</v>
          </cell>
        </row>
        <row r="29">
          <cell r="E29">
            <v>10124.380745300592</v>
          </cell>
        </row>
        <row r="30">
          <cell r="E30">
            <v>3122</v>
          </cell>
        </row>
        <row r="31">
          <cell r="E31">
            <v>592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</sheetData>
      <sheetData sheetId="3">
        <row r="11">
          <cell r="F11">
            <v>6768.5468749999982</v>
          </cell>
        </row>
        <row r="12">
          <cell r="F12">
            <v>848</v>
          </cell>
        </row>
        <row r="13">
          <cell r="F13">
            <v>217623</v>
          </cell>
        </row>
        <row r="37">
          <cell r="F37">
            <v>100232</v>
          </cell>
        </row>
        <row r="38">
          <cell r="F38">
            <v>1800</v>
          </cell>
        </row>
        <row r="39">
          <cell r="F39">
            <v>11818</v>
          </cell>
        </row>
        <row r="41">
          <cell r="F41">
            <v>0</v>
          </cell>
        </row>
        <row r="44">
          <cell r="F44">
            <v>9209</v>
          </cell>
        </row>
        <row r="45">
          <cell r="F45">
            <v>811</v>
          </cell>
        </row>
        <row r="46">
          <cell r="F46">
            <v>0</v>
          </cell>
        </row>
        <row r="47">
          <cell r="F47">
            <v>58192.9</v>
          </cell>
        </row>
        <row r="56">
          <cell r="F56">
            <v>155074</v>
          </cell>
        </row>
        <row r="58">
          <cell r="F58">
            <v>19782</v>
          </cell>
        </row>
        <row r="59">
          <cell r="F59">
            <v>4451.6499999999996</v>
          </cell>
        </row>
        <row r="69">
          <cell r="F69">
            <v>163361</v>
          </cell>
        </row>
        <row r="71">
          <cell r="F71">
            <v>4023.35</v>
          </cell>
        </row>
        <row r="72">
          <cell r="F72">
            <v>66503.100000000006</v>
          </cell>
        </row>
        <row r="82">
          <cell r="H82">
            <v>43.958322639999999</v>
          </cell>
          <cell r="J82">
            <v>45.425222640000001</v>
          </cell>
        </row>
        <row r="83">
          <cell r="H83">
            <v>0</v>
          </cell>
          <cell r="J83">
            <v>0</v>
          </cell>
        </row>
        <row r="84">
          <cell r="H84">
            <v>104.54987</v>
          </cell>
          <cell r="J84">
            <v>98.434349749999996</v>
          </cell>
        </row>
      </sheetData>
      <sheetData sheetId="4">
        <row r="35">
          <cell r="E35">
            <v>29.822916666666668</v>
          </cell>
          <cell r="F35">
            <v>0</v>
          </cell>
          <cell r="G35">
            <v>0</v>
          </cell>
          <cell r="H35">
            <v>0.17708333333333334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uil1"/>
      <sheetName val="Feuil9"/>
      <sheetName val="Feuil8"/>
      <sheetName val="Feuil5"/>
      <sheetName val="Feuil6"/>
      <sheetName val="Feuil4"/>
      <sheetName val="Feuil3"/>
      <sheetName val="Feuil2"/>
      <sheetName val="Mat aux"/>
      <sheetName val="PMP-PR"/>
      <sheetName val="cons sp"/>
      <sheetName val="Feuil7"/>
    </sheetNames>
    <sheetDataSet>
      <sheetData sheetId="0">
        <row r="40">
          <cell r="K40">
            <v>41462</v>
          </cell>
          <cell r="L40">
            <v>32619.65</v>
          </cell>
          <cell r="M40">
            <v>7306</v>
          </cell>
          <cell r="N40">
            <v>1800</v>
          </cell>
          <cell r="O40">
            <v>5317</v>
          </cell>
          <cell r="Q40">
            <v>76420</v>
          </cell>
          <cell r="R40">
            <v>11818</v>
          </cell>
          <cell r="S40">
            <v>0</v>
          </cell>
          <cell r="T40">
            <v>266.44100000000003</v>
          </cell>
          <cell r="V40">
            <v>148573</v>
          </cell>
          <cell r="AO40">
            <v>27724</v>
          </cell>
          <cell r="AP40">
            <v>24889</v>
          </cell>
          <cell r="AX40">
            <v>23822</v>
          </cell>
          <cell r="BB40">
            <v>23982</v>
          </cell>
          <cell r="BD40">
            <v>48219</v>
          </cell>
          <cell r="BE40">
            <v>54188</v>
          </cell>
          <cell r="BF40">
            <v>46271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8">
          <cell r="J8">
            <v>0</v>
          </cell>
        </row>
        <row r="9">
          <cell r="J9">
            <v>41</v>
          </cell>
        </row>
        <row r="10">
          <cell r="J10">
            <v>0</v>
          </cell>
        </row>
        <row r="12">
          <cell r="J12">
            <v>3418.8742106245327</v>
          </cell>
        </row>
        <row r="13">
          <cell r="J13">
            <v>4581.378479351014</v>
          </cell>
        </row>
        <row r="14">
          <cell r="J14">
            <v>2124.1280553250454</v>
          </cell>
        </row>
        <row r="16">
          <cell r="J16">
            <v>909.12578937546709</v>
          </cell>
        </row>
        <row r="17">
          <cell r="J17">
            <v>1401.7152706489878</v>
          </cell>
        </row>
        <row r="18">
          <cell r="J18">
            <v>592.23131967495442</v>
          </cell>
        </row>
      </sheetData>
      <sheetData sheetId="10"/>
      <sheetData sheetId="1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GE-GARDE"/>
      <sheetName val="BU-1"/>
      <sheetName val="BU-2"/>
      <sheetName val="BU-3"/>
      <sheetName val="BU-4"/>
    </sheetNames>
    <sheetDataSet>
      <sheetData sheetId="0"/>
      <sheetData sheetId="1"/>
      <sheetData sheetId="2">
        <row r="10">
          <cell r="E10">
            <v>16498</v>
          </cell>
        </row>
        <row r="11">
          <cell r="E11">
            <v>91491</v>
          </cell>
        </row>
        <row r="15">
          <cell r="E15">
            <v>203331</v>
          </cell>
        </row>
        <row r="17">
          <cell r="E17">
            <v>51830</v>
          </cell>
        </row>
        <row r="18">
          <cell r="E18">
            <v>49001</v>
          </cell>
        </row>
        <row r="19">
          <cell r="E19">
            <v>8240.07</v>
          </cell>
        </row>
        <row r="27">
          <cell r="E27">
            <v>237</v>
          </cell>
        </row>
        <row r="28">
          <cell r="E28">
            <v>4287.4903768611712</v>
          </cell>
        </row>
        <row r="29">
          <cell r="E29">
            <v>5914.3221231388288</v>
          </cell>
        </row>
        <row r="30">
          <cell r="E30">
            <v>179</v>
          </cell>
        </row>
        <row r="31">
          <cell r="E31">
            <v>724</v>
          </cell>
        </row>
        <row r="32">
          <cell r="E32">
            <v>373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128</v>
          </cell>
        </row>
      </sheetData>
      <sheetData sheetId="3">
        <row r="11">
          <cell r="F11">
            <v>6533.1875</v>
          </cell>
        </row>
        <row r="12">
          <cell r="F12">
            <v>1279</v>
          </cell>
        </row>
        <row r="13">
          <cell r="F13">
            <v>203331</v>
          </cell>
        </row>
        <row r="37">
          <cell r="F37">
            <v>89101</v>
          </cell>
        </row>
        <row r="38">
          <cell r="F38">
            <v>1860</v>
          </cell>
        </row>
        <row r="39">
          <cell r="F39">
            <v>14441</v>
          </cell>
        </row>
        <row r="41">
          <cell r="F41">
            <v>0</v>
          </cell>
        </row>
        <row r="44">
          <cell r="F44">
            <v>9114</v>
          </cell>
        </row>
        <row r="45">
          <cell r="F45">
            <v>1550</v>
          </cell>
        </row>
        <row r="46">
          <cell r="F46">
            <v>0</v>
          </cell>
        </row>
        <row r="47">
          <cell r="F47">
            <v>46293.5</v>
          </cell>
        </row>
        <row r="56">
          <cell r="F56">
            <v>137868</v>
          </cell>
        </row>
        <row r="58">
          <cell r="F58">
            <v>17082</v>
          </cell>
        </row>
        <row r="59">
          <cell r="F59">
            <v>4112.1710000000003</v>
          </cell>
        </row>
        <row r="69">
          <cell r="F69">
            <v>151501</v>
          </cell>
        </row>
        <row r="71">
          <cell r="F71">
            <v>4127.8990000000003</v>
          </cell>
        </row>
        <row r="72">
          <cell r="F72">
            <v>58957.5</v>
          </cell>
        </row>
        <row r="82">
          <cell r="H82">
            <v>44.173244839999995</v>
          </cell>
          <cell r="J82">
            <v>45.214344839999995</v>
          </cell>
        </row>
        <row r="83">
          <cell r="H83">
            <v>0</v>
          </cell>
          <cell r="J83">
            <v>0</v>
          </cell>
        </row>
        <row r="84">
          <cell r="H84">
            <v>107.000032875</v>
          </cell>
          <cell r="J84">
            <v>98.445135500000006</v>
          </cell>
        </row>
      </sheetData>
      <sheetData sheetId="4">
        <row r="35">
          <cell r="E35">
            <v>29.061111111111114</v>
          </cell>
          <cell r="F35">
            <v>0</v>
          </cell>
          <cell r="G35">
            <v>0</v>
          </cell>
          <cell r="H35">
            <v>1.9388888888888891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uil1"/>
      <sheetName val="Feuil8"/>
      <sheetName val="Feuil5"/>
      <sheetName val="Feuil6"/>
      <sheetName val="Feuil4"/>
      <sheetName val="Feuil3"/>
      <sheetName val="Feuil2"/>
      <sheetName val="Mat aux"/>
      <sheetName val="PMP-PR"/>
      <sheetName val="cons sp"/>
      <sheetName val="Feuil7"/>
    </sheetNames>
    <sheetDataSet>
      <sheetData sheetId="0">
        <row r="40">
          <cell r="K40">
            <v>35716</v>
          </cell>
          <cell r="L40">
            <v>32000.5</v>
          </cell>
          <cell r="M40">
            <v>8480</v>
          </cell>
          <cell r="N40">
            <v>1860</v>
          </cell>
          <cell r="O40">
            <v>5071</v>
          </cell>
          <cell r="Q40">
            <v>68223</v>
          </cell>
          <cell r="R40">
            <v>14441</v>
          </cell>
          <cell r="S40">
            <v>10.5</v>
          </cell>
          <cell r="T40">
            <v>452.69</v>
          </cell>
          <cell r="V40">
            <v>128626</v>
          </cell>
          <cell r="AO40">
            <v>24786</v>
          </cell>
          <cell r="AP40">
            <v>24215</v>
          </cell>
          <cell r="AX40">
            <v>22535</v>
          </cell>
          <cell r="BB40">
            <v>22445</v>
          </cell>
          <cell r="BD40">
            <v>40333</v>
          </cell>
          <cell r="BE40">
            <v>47518</v>
          </cell>
          <cell r="BF40">
            <v>39845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>
        <row r="8">
          <cell r="J8">
            <v>62</v>
          </cell>
        </row>
        <row r="9">
          <cell r="J9">
            <v>155</v>
          </cell>
        </row>
        <row r="10">
          <cell r="J10">
            <v>20</v>
          </cell>
        </row>
        <row r="12">
          <cell r="J12">
            <v>1921.3530017058256</v>
          </cell>
        </row>
        <row r="13">
          <cell r="J13">
            <v>2743.1341083866823</v>
          </cell>
        </row>
        <row r="14">
          <cell r="J14">
            <v>1249.8350130463207</v>
          </cell>
        </row>
        <row r="16">
          <cell r="J16">
            <v>1403.6469982941742</v>
          </cell>
        </row>
        <row r="17">
          <cell r="J17">
            <v>1975.4283916133172</v>
          </cell>
        </row>
        <row r="18">
          <cell r="J18">
            <v>908.41498695367954</v>
          </cell>
        </row>
      </sheetData>
      <sheetData sheetId="9"/>
      <sheetData sheetId="10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GE-GARDE"/>
      <sheetName val="BU-1"/>
      <sheetName val="BU-2"/>
      <sheetName val="BU-3"/>
      <sheetName val="BU-4"/>
    </sheetNames>
    <sheetDataSet>
      <sheetData sheetId="0"/>
      <sheetData sheetId="1"/>
      <sheetData sheetId="2">
        <row r="10">
          <cell r="E10">
            <v>16274</v>
          </cell>
        </row>
        <row r="11">
          <cell r="E11">
            <v>93610</v>
          </cell>
        </row>
        <row r="15">
          <cell r="E15">
            <v>186496</v>
          </cell>
        </row>
        <row r="17">
          <cell r="E17">
            <v>56197</v>
          </cell>
        </row>
        <row r="18">
          <cell r="E18">
            <v>53706</v>
          </cell>
        </row>
        <row r="19">
          <cell r="E19">
            <v>7715</v>
          </cell>
        </row>
        <row r="27">
          <cell r="E27">
            <v>244</v>
          </cell>
        </row>
        <row r="28">
          <cell r="E28">
            <v>3203.6620260264617</v>
          </cell>
        </row>
        <row r="29">
          <cell r="E29">
            <v>6674.3535989735383</v>
          </cell>
        </row>
        <row r="30">
          <cell r="E30">
            <v>70</v>
          </cell>
        </row>
        <row r="31">
          <cell r="E31">
            <v>478</v>
          </cell>
        </row>
        <row r="32">
          <cell r="E32">
            <v>351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133</v>
          </cell>
        </row>
      </sheetData>
      <sheetData sheetId="3">
        <row r="11">
          <cell r="F11">
            <v>6639.984375</v>
          </cell>
        </row>
        <row r="12">
          <cell r="F12">
            <v>1080</v>
          </cell>
        </row>
        <row r="13">
          <cell r="F13">
            <v>186592</v>
          </cell>
        </row>
        <row r="37">
          <cell r="F37">
            <v>91932.542000000001</v>
          </cell>
        </row>
        <row r="38">
          <cell r="F38">
            <v>1480</v>
          </cell>
        </row>
        <row r="39">
          <cell r="F39">
            <v>21281</v>
          </cell>
        </row>
        <row r="41">
          <cell r="F41">
            <v>0</v>
          </cell>
        </row>
        <row r="44">
          <cell r="F44">
            <v>10234</v>
          </cell>
        </row>
        <row r="45">
          <cell r="F45">
            <v>1441</v>
          </cell>
        </row>
        <row r="46">
          <cell r="F46">
            <v>0</v>
          </cell>
        </row>
        <row r="47">
          <cell r="F47">
            <v>36366.020000000004</v>
          </cell>
        </row>
        <row r="56">
          <cell r="F56">
            <v>148069</v>
          </cell>
        </row>
        <row r="58">
          <cell r="F58">
            <v>21485</v>
          </cell>
        </row>
        <row r="59">
          <cell r="F59">
            <v>4049.6289999999999</v>
          </cell>
        </row>
        <row r="69">
          <cell r="F69">
            <v>130395</v>
          </cell>
        </row>
        <row r="71">
          <cell r="F71">
            <v>3665.3710000000001</v>
          </cell>
        </row>
        <row r="72">
          <cell r="F72">
            <v>70505.87999999999</v>
          </cell>
        </row>
        <row r="82">
          <cell r="H82">
            <v>49.972984320000002</v>
          </cell>
          <cell r="J82">
            <v>50.644984319999999</v>
          </cell>
        </row>
        <row r="83">
          <cell r="H83">
            <v>0</v>
          </cell>
          <cell r="J83">
            <v>0</v>
          </cell>
        </row>
        <row r="84">
          <cell r="H84">
            <v>105.46665874999999</v>
          </cell>
          <cell r="J84">
            <v>111.66307212499999</v>
          </cell>
        </row>
      </sheetData>
      <sheetData sheetId="4">
        <row r="35">
          <cell r="E35">
            <v>29.073611111111109</v>
          </cell>
          <cell r="F35">
            <v>0</v>
          </cell>
          <cell r="G35">
            <v>0</v>
          </cell>
          <cell r="H35">
            <v>1.9263888888888889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uil1"/>
      <sheetName val="Feuil8"/>
      <sheetName val="Feuil5"/>
      <sheetName val="Feuil6"/>
      <sheetName val="Feuil4"/>
      <sheetName val="Feuil3"/>
      <sheetName val="Feuil2"/>
      <sheetName val="Mat aux"/>
      <sheetName val="PMP-PR"/>
      <sheetName val="cons sp"/>
      <sheetName val="Feuil7"/>
    </sheetNames>
    <sheetDataSet>
      <sheetData sheetId="0">
        <row r="40">
          <cell r="K40">
            <v>0</v>
          </cell>
          <cell r="L40">
            <v>0</v>
          </cell>
          <cell r="M40">
            <v>0</v>
          </cell>
          <cell r="N40">
            <v>1195</v>
          </cell>
          <cell r="O40">
            <v>891</v>
          </cell>
          <cell r="Q40">
            <v>0</v>
          </cell>
          <cell r="R40">
            <v>200</v>
          </cell>
          <cell r="S40">
            <v>102</v>
          </cell>
          <cell r="T40">
            <v>1784</v>
          </cell>
          <cell r="V40">
            <v>831</v>
          </cell>
          <cell r="AO40">
            <v>0</v>
          </cell>
          <cell r="AP40">
            <v>1007</v>
          </cell>
          <cell r="AX40">
            <v>868</v>
          </cell>
          <cell r="BB40">
            <v>831</v>
          </cell>
          <cell r="BD40">
            <v>0</v>
          </cell>
          <cell r="BE40">
            <v>638</v>
          </cell>
          <cell r="BF40">
            <v>193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8">
          <cell r="J8">
            <v>62</v>
          </cell>
        </row>
        <row r="9">
          <cell r="J9">
            <v>61</v>
          </cell>
        </row>
        <row r="10">
          <cell r="J10">
            <v>33</v>
          </cell>
        </row>
        <row r="12">
          <cell r="J12">
            <v>0</v>
          </cell>
        </row>
        <row r="13">
          <cell r="J13">
            <v>0</v>
          </cell>
        </row>
        <row r="14">
          <cell r="J14">
            <v>0</v>
          </cell>
        </row>
        <row r="16">
          <cell r="J16">
            <v>0</v>
          </cell>
        </row>
        <row r="17">
          <cell r="J17">
            <v>0</v>
          </cell>
        </row>
        <row r="18">
          <cell r="J18">
            <v>0</v>
          </cell>
        </row>
      </sheetData>
      <sheetData sheetId="9" refreshError="1"/>
      <sheetData sheetId="10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uil1"/>
      <sheetName val="Feuil9"/>
      <sheetName val="Feuil8"/>
      <sheetName val="Feuil5"/>
      <sheetName val="Feuil6"/>
      <sheetName val="Feuil4"/>
      <sheetName val="Feuil3"/>
      <sheetName val="Feuil10"/>
      <sheetName val="Feuil2"/>
      <sheetName val="Mat aux"/>
      <sheetName val="PMP-PR"/>
      <sheetName val="cons sp"/>
      <sheetName val="Feuil7"/>
    </sheetNames>
    <sheetDataSet>
      <sheetData sheetId="0">
        <row r="40">
          <cell r="K40">
            <v>37338</v>
          </cell>
          <cell r="L40">
            <v>46260.38</v>
          </cell>
          <cell r="M40">
            <v>7266.6</v>
          </cell>
          <cell r="N40">
            <v>1480</v>
          </cell>
          <cell r="O40">
            <v>5938</v>
          </cell>
          <cell r="Q40">
            <v>76757.2</v>
          </cell>
          <cell r="R40">
            <v>21281</v>
          </cell>
          <cell r="S40">
            <v>0</v>
          </cell>
          <cell r="T40">
            <v>244.77999999999997</v>
          </cell>
          <cell r="V40">
            <v>132859</v>
          </cell>
          <cell r="AO40">
            <v>28140</v>
          </cell>
          <cell r="AP40">
            <v>25566</v>
          </cell>
          <cell r="AX40">
            <v>22337</v>
          </cell>
          <cell r="BB40">
            <v>26235</v>
          </cell>
          <cell r="BD40">
            <v>53873</v>
          </cell>
          <cell r="BE40">
            <v>37199</v>
          </cell>
          <cell r="BF40">
            <v>42035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8">
          <cell r="J8">
            <v>55</v>
          </cell>
        </row>
        <row r="9">
          <cell r="J9">
            <v>169</v>
          </cell>
        </row>
        <row r="10">
          <cell r="J10">
            <v>20</v>
          </cell>
        </row>
        <row r="12">
          <cell r="J12">
            <v>2290.9999260446521</v>
          </cell>
        </row>
        <row r="13">
          <cell r="J13">
            <v>2934.4484788568861</v>
          </cell>
        </row>
        <row r="14">
          <cell r="J14">
            <v>1448.9051940720005</v>
          </cell>
        </row>
        <row r="16">
          <cell r="J16">
            <v>1033.0000739553482</v>
          </cell>
        </row>
        <row r="17">
          <cell r="J17">
            <v>1494.3327711431136</v>
          </cell>
        </row>
        <row r="18">
          <cell r="J18">
            <v>676.32918092799957</v>
          </cell>
        </row>
      </sheetData>
      <sheetData sheetId="11"/>
      <sheetData sheetId="12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GE-GARDE"/>
      <sheetName val="BU-1"/>
      <sheetName val="BU-2"/>
      <sheetName val="BU-3"/>
      <sheetName val="BU-4"/>
    </sheetNames>
    <sheetDataSet>
      <sheetData sheetId="0"/>
      <sheetData sheetId="1"/>
      <sheetData sheetId="2">
        <row r="10">
          <cell r="E10">
            <v>18377</v>
          </cell>
        </row>
        <row r="11">
          <cell r="E11">
            <v>101392</v>
          </cell>
        </row>
        <row r="15">
          <cell r="E15">
            <v>195273</v>
          </cell>
        </row>
        <row r="17">
          <cell r="E17">
            <v>66428</v>
          </cell>
        </row>
        <row r="18">
          <cell r="E18">
            <v>63564</v>
          </cell>
        </row>
        <row r="19">
          <cell r="E19">
            <v>7656</v>
          </cell>
        </row>
        <row r="27">
          <cell r="E27">
            <v>0</v>
          </cell>
        </row>
        <row r="28">
          <cell r="E28">
            <v>3237.9463441938001</v>
          </cell>
        </row>
        <row r="29">
          <cell r="E29">
            <v>8439.6786558061995</v>
          </cell>
        </row>
        <row r="30">
          <cell r="E30">
            <v>0</v>
          </cell>
        </row>
        <row r="31">
          <cell r="E31">
            <v>1889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</sheetData>
      <sheetData sheetId="3">
        <row r="11">
          <cell r="F11">
            <v>6699.375</v>
          </cell>
        </row>
        <row r="12">
          <cell r="F12">
            <v>1003</v>
          </cell>
        </row>
        <row r="13">
          <cell r="F13">
            <v>195623</v>
          </cell>
        </row>
        <row r="37">
          <cell r="F37">
            <v>97763</v>
          </cell>
        </row>
        <row r="38">
          <cell r="F38">
            <v>1740</v>
          </cell>
        </row>
        <row r="39">
          <cell r="F39">
            <v>9066</v>
          </cell>
        </row>
        <row r="41">
          <cell r="F41">
            <v>0</v>
          </cell>
        </row>
        <row r="44">
          <cell r="F44">
            <v>11367</v>
          </cell>
        </row>
        <row r="45">
          <cell r="F45">
            <v>1826</v>
          </cell>
        </row>
        <row r="46">
          <cell r="F46">
            <v>28.2</v>
          </cell>
        </row>
        <row r="47">
          <cell r="F47">
            <v>52448.9</v>
          </cell>
        </row>
        <row r="56">
          <cell r="F56">
            <v>150533</v>
          </cell>
        </row>
        <row r="58">
          <cell r="F58">
            <v>19161</v>
          </cell>
        </row>
        <row r="59">
          <cell r="F59">
            <v>3988.4090000000001</v>
          </cell>
        </row>
        <row r="69">
          <cell r="F69">
            <v>128845</v>
          </cell>
        </row>
        <row r="71">
          <cell r="F71">
            <v>3639.3910000000001</v>
          </cell>
        </row>
        <row r="72">
          <cell r="F72">
            <v>60565</v>
          </cell>
        </row>
        <row r="82">
          <cell r="H82">
            <v>61.199869199999988</v>
          </cell>
          <cell r="J82">
            <v>56.20786919999999</v>
          </cell>
        </row>
        <row r="83">
          <cell r="H83">
            <v>0</v>
          </cell>
          <cell r="J83">
            <v>0</v>
          </cell>
        </row>
        <row r="84">
          <cell r="H84">
            <v>136.00003842499999</v>
          </cell>
          <cell r="J84">
            <v>122.56746537499998</v>
          </cell>
        </row>
      </sheetData>
      <sheetData sheetId="4">
        <row r="35">
          <cell r="E35">
            <v>30</v>
          </cell>
          <cell r="F35">
            <v>0</v>
          </cell>
          <cell r="G35">
            <v>0</v>
          </cell>
          <cell r="H35">
            <v>0</v>
          </cell>
        </row>
      </sheetData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uil1"/>
      <sheetName val="Feuil8"/>
      <sheetName val="Feuil5"/>
      <sheetName val="Feuil6"/>
      <sheetName val="Feuil4"/>
      <sheetName val="Feuil3"/>
      <sheetName val="Feuil2"/>
      <sheetName val="Mat aux"/>
      <sheetName val="PMP-PR"/>
      <sheetName val="cons sp"/>
      <sheetName val="Feuil7"/>
    </sheetNames>
    <sheetDataSet>
      <sheetData sheetId="0">
        <row r="40">
          <cell r="K40">
            <v>40337</v>
          </cell>
          <cell r="L40">
            <v>33944.1</v>
          </cell>
          <cell r="M40">
            <v>7977</v>
          </cell>
          <cell r="N40">
            <v>1740</v>
          </cell>
          <cell r="O40">
            <v>4363</v>
          </cell>
          <cell r="Q40">
            <v>78799</v>
          </cell>
          <cell r="R40">
            <v>9066</v>
          </cell>
          <cell r="S40">
            <v>0</v>
          </cell>
          <cell r="T40">
            <v>496.1</v>
          </cell>
          <cell r="V40">
            <v>145830</v>
          </cell>
          <cell r="AO40">
            <v>33384</v>
          </cell>
          <cell r="AP40">
            <v>30180</v>
          </cell>
          <cell r="AX40">
            <v>32976</v>
          </cell>
          <cell r="BB40">
            <v>32816</v>
          </cell>
          <cell r="BD40">
            <v>48725</v>
          </cell>
          <cell r="BE40">
            <v>39679</v>
          </cell>
          <cell r="BF40">
            <v>57426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>
        <row r="8">
          <cell r="J8">
            <v>0</v>
          </cell>
        </row>
        <row r="9">
          <cell r="J9">
            <v>0</v>
          </cell>
        </row>
        <row r="10">
          <cell r="J10">
            <v>0</v>
          </cell>
        </row>
        <row r="12">
          <cell r="J12">
            <v>2743.1856763084625</v>
          </cell>
        </row>
        <row r="13">
          <cell r="J13">
            <v>3920.2217611643555</v>
          </cell>
        </row>
        <row r="14">
          <cell r="J14">
            <v>1776.2712183333817</v>
          </cell>
        </row>
        <row r="16">
          <cell r="J16">
            <v>1090.8143236915371</v>
          </cell>
        </row>
        <row r="17">
          <cell r="J17">
            <v>1522.9344888356441</v>
          </cell>
        </row>
        <row r="18">
          <cell r="J18">
            <v>624.19753166661872</v>
          </cell>
        </row>
      </sheetData>
      <sheetData sheetId="9"/>
      <sheetData sheetId="10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GE-GARDE"/>
      <sheetName val="BU-1"/>
      <sheetName val="BU-2"/>
      <sheetName val="BU-3"/>
      <sheetName val="BU-4"/>
    </sheetNames>
    <sheetDataSet>
      <sheetData sheetId="0"/>
      <sheetData sheetId="1"/>
      <sheetData sheetId="2">
        <row r="10">
          <cell r="E10">
            <v>19019</v>
          </cell>
        </row>
        <row r="11">
          <cell r="E11">
            <v>105093</v>
          </cell>
        </row>
        <row r="15">
          <cell r="E15">
            <v>206866</v>
          </cell>
        </row>
        <row r="17">
          <cell r="E17">
            <v>58026</v>
          </cell>
        </row>
        <row r="18">
          <cell r="E18">
            <v>54980</v>
          </cell>
        </row>
        <row r="19">
          <cell r="E19">
            <v>7411</v>
          </cell>
        </row>
        <row r="27">
          <cell r="E27">
            <v>0</v>
          </cell>
        </row>
        <row r="28">
          <cell r="E28">
            <v>3242.7269999999999</v>
          </cell>
        </row>
        <row r="29">
          <cell r="E29">
            <v>8898.7100000000009</v>
          </cell>
        </row>
        <row r="30">
          <cell r="E30">
            <v>114</v>
          </cell>
        </row>
        <row r="31">
          <cell r="E31">
            <v>981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</sheetData>
      <sheetData sheetId="3">
        <row r="11">
          <cell r="F11">
            <v>6877.5629999999983</v>
          </cell>
        </row>
        <row r="12">
          <cell r="F12">
            <v>1246</v>
          </cell>
        </row>
        <row r="13">
          <cell r="F13">
            <v>206866</v>
          </cell>
        </row>
        <row r="37">
          <cell r="F37">
            <v>102091</v>
          </cell>
        </row>
        <row r="38">
          <cell r="F38">
            <v>1907</v>
          </cell>
        </row>
        <row r="39">
          <cell r="F39">
            <v>10984</v>
          </cell>
        </row>
        <row r="41">
          <cell r="F41">
            <v>0</v>
          </cell>
        </row>
        <row r="44">
          <cell r="F44">
            <v>8598</v>
          </cell>
        </row>
        <row r="45">
          <cell r="F45">
            <v>1780</v>
          </cell>
        </row>
        <row r="46">
          <cell r="F46">
            <v>0</v>
          </cell>
        </row>
        <row r="47">
          <cell r="F47">
            <v>51511</v>
          </cell>
        </row>
        <row r="56">
          <cell r="F56">
            <v>155086</v>
          </cell>
        </row>
        <row r="58">
          <cell r="F58">
            <v>20482</v>
          </cell>
        </row>
        <row r="59">
          <cell r="F59">
            <v>3742</v>
          </cell>
        </row>
        <row r="69">
          <cell r="F69">
            <v>148840</v>
          </cell>
        </row>
        <row r="71">
          <cell r="F71">
            <v>3669</v>
          </cell>
        </row>
        <row r="72">
          <cell r="F72">
            <v>71517</v>
          </cell>
        </row>
        <row r="82">
          <cell r="H82">
            <v>39.041105880000003</v>
          </cell>
          <cell r="J82">
            <v>42.21630588</v>
          </cell>
        </row>
        <row r="83">
          <cell r="H83">
            <v>0</v>
          </cell>
          <cell r="J83">
            <v>0</v>
          </cell>
        </row>
        <row r="84">
          <cell r="H84">
            <v>97.00002476249999</v>
          </cell>
          <cell r="J84">
            <v>95.830024762499988</v>
          </cell>
        </row>
      </sheetData>
      <sheetData sheetId="4">
        <row r="35">
          <cell r="E35">
            <v>31</v>
          </cell>
          <cell r="F35">
            <v>0</v>
          </cell>
          <cell r="G35">
            <v>0</v>
          </cell>
          <cell r="H35">
            <v>0</v>
          </cell>
        </row>
      </sheetData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uil1"/>
      <sheetName val="Feuil8"/>
      <sheetName val="Feuil5"/>
      <sheetName val="Feuil6"/>
      <sheetName val="Feuil4"/>
      <sheetName val="Feuil3"/>
      <sheetName val="Feuil2"/>
      <sheetName val="Mat aux"/>
      <sheetName val="PMP-PR"/>
      <sheetName val="cons sp"/>
      <sheetName val="Feuil7"/>
    </sheetNames>
    <sheetDataSet>
      <sheetData sheetId="0">
        <row r="40">
          <cell r="K40">
            <v>41457</v>
          </cell>
          <cell r="L40">
            <v>39677</v>
          </cell>
          <cell r="M40">
            <v>8432</v>
          </cell>
          <cell r="N40">
            <v>1907</v>
          </cell>
          <cell r="O40">
            <v>4431</v>
          </cell>
          <cell r="Q40">
            <v>84189</v>
          </cell>
          <cell r="R40">
            <v>10984</v>
          </cell>
          <cell r="S40">
            <v>0</v>
          </cell>
          <cell r="T40">
            <v>731</v>
          </cell>
          <cell r="V40">
            <v>148533</v>
          </cell>
          <cell r="AO40">
            <v>31157</v>
          </cell>
          <cell r="AP40">
            <v>23823</v>
          </cell>
          <cell r="AX40">
            <v>25760</v>
          </cell>
          <cell r="BB40">
            <v>25670</v>
          </cell>
          <cell r="BD40">
            <v>48811</v>
          </cell>
          <cell r="BE40">
            <v>39606</v>
          </cell>
          <cell r="BF40">
            <v>60281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>
        <row r="8">
          <cell r="J8">
            <v>0</v>
          </cell>
        </row>
        <row r="9">
          <cell r="J9">
            <v>0</v>
          </cell>
        </row>
        <row r="10">
          <cell r="J10">
            <v>0</v>
          </cell>
        </row>
        <row r="12">
          <cell r="J12">
            <v>3274.453</v>
          </cell>
        </row>
        <row r="13">
          <cell r="J13">
            <v>3718.28</v>
          </cell>
        </row>
        <row r="14">
          <cell r="J14">
            <v>1905.9770000000001</v>
          </cell>
        </row>
        <row r="16">
          <cell r="J16">
            <v>1215.547</v>
          </cell>
        </row>
        <row r="17">
          <cell r="J17">
            <v>1404.1880000000001</v>
          </cell>
        </row>
        <row r="18">
          <cell r="J18">
            <v>622.99199999999996</v>
          </cell>
        </row>
      </sheetData>
      <sheetData sheetId="9"/>
      <sheetData sheetId="10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GE-GARDE"/>
      <sheetName val="BU-1"/>
      <sheetName val="BU-2"/>
      <sheetName val="BU-3"/>
      <sheetName val="BU-4"/>
    </sheetNames>
    <sheetDataSet>
      <sheetData sheetId="0"/>
      <sheetData sheetId="1"/>
      <sheetData sheetId="2">
        <row r="10">
          <cell r="E10">
            <v>16460</v>
          </cell>
        </row>
        <row r="11">
          <cell r="E11">
            <v>92362</v>
          </cell>
        </row>
        <row r="15">
          <cell r="E15">
            <v>196091</v>
          </cell>
        </row>
        <row r="17">
          <cell r="E17">
            <v>50164</v>
          </cell>
        </row>
        <row r="18">
          <cell r="E18">
            <v>47518</v>
          </cell>
        </row>
        <row r="19">
          <cell r="E19">
            <v>7586</v>
          </cell>
        </row>
        <row r="27">
          <cell r="E27">
            <v>5</v>
          </cell>
        </row>
        <row r="28">
          <cell r="E28">
            <v>3970.0348766003381</v>
          </cell>
        </row>
        <row r="29">
          <cell r="E29">
            <v>6032.7151233996628</v>
          </cell>
        </row>
        <row r="30">
          <cell r="E30">
            <v>0</v>
          </cell>
        </row>
        <row r="31">
          <cell r="E31">
            <v>577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</sheetData>
      <sheetData sheetId="3">
        <row r="11">
          <cell r="F11">
            <v>6462.25</v>
          </cell>
        </row>
        <row r="12">
          <cell r="F12">
            <v>1192</v>
          </cell>
        </row>
        <row r="13">
          <cell r="F13">
            <v>196125</v>
          </cell>
        </row>
        <row r="37">
          <cell r="F37">
            <v>89985</v>
          </cell>
        </row>
        <row r="38">
          <cell r="F38">
            <v>1800</v>
          </cell>
        </row>
        <row r="39">
          <cell r="F39">
            <v>11441</v>
          </cell>
        </row>
        <row r="41">
          <cell r="F41">
            <v>0</v>
          </cell>
        </row>
        <row r="44">
          <cell r="F44">
            <v>7126</v>
          </cell>
        </row>
        <row r="45">
          <cell r="F45">
            <v>1444</v>
          </cell>
        </row>
        <row r="46">
          <cell r="F46">
            <v>0</v>
          </cell>
        </row>
        <row r="47">
          <cell r="F47">
            <v>44697</v>
          </cell>
        </row>
        <row r="56">
          <cell r="F56">
            <v>135132</v>
          </cell>
        </row>
        <row r="58">
          <cell r="F58">
            <v>18478</v>
          </cell>
        </row>
        <row r="59">
          <cell r="F59">
            <v>3955.335</v>
          </cell>
        </row>
        <row r="69">
          <cell r="F69">
            <v>145961</v>
          </cell>
        </row>
        <row r="71">
          <cell r="F71">
            <v>3630.665</v>
          </cell>
        </row>
        <row r="72">
          <cell r="F72">
            <v>60929</v>
          </cell>
        </row>
        <row r="82">
          <cell r="H82">
            <v>38.257056599999991</v>
          </cell>
          <cell r="J82">
            <v>34.930656599999992</v>
          </cell>
        </row>
        <row r="83">
          <cell r="H83">
            <v>0</v>
          </cell>
          <cell r="J83">
            <v>0</v>
          </cell>
        </row>
        <row r="84">
          <cell r="H84">
            <v>78.646093750000006</v>
          </cell>
          <cell r="J84">
            <v>82.210093750000013</v>
          </cell>
        </row>
      </sheetData>
      <sheetData sheetId="4">
        <row r="35">
          <cell r="E35">
            <v>29.979166666666668</v>
          </cell>
          <cell r="F35">
            <v>0</v>
          </cell>
          <cell r="G35">
            <v>0</v>
          </cell>
          <cell r="H35">
            <v>2.083333333333337E-2</v>
          </cell>
        </row>
      </sheetData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uil1"/>
      <sheetName val="Feuil8"/>
      <sheetName val="Feuil5"/>
      <sheetName val="Feuil6"/>
      <sheetName val="Feuil4"/>
      <sheetName val="Feuil3"/>
      <sheetName val="Feuil2"/>
      <sheetName val="Mat aux"/>
      <sheetName val="PMP-PR"/>
      <sheetName val="cons sp"/>
      <sheetName val="Feuil7"/>
    </sheetNames>
    <sheetDataSet>
      <sheetData sheetId="0">
        <row r="40">
          <cell r="K40">
            <v>35430</v>
          </cell>
          <cell r="L40">
            <v>38914</v>
          </cell>
          <cell r="M40">
            <v>4568</v>
          </cell>
          <cell r="N40">
            <v>1800</v>
          </cell>
          <cell r="O40">
            <v>4309</v>
          </cell>
          <cell r="Q40">
            <v>73073</v>
          </cell>
          <cell r="R40">
            <v>11441</v>
          </cell>
          <cell r="S40">
            <v>0</v>
          </cell>
          <cell r="T40">
            <v>507</v>
          </cell>
          <cell r="V40">
            <v>128000</v>
          </cell>
          <cell r="AO40">
            <v>23821</v>
          </cell>
          <cell r="AP40">
            <v>23697</v>
          </cell>
          <cell r="AX40">
            <v>22194</v>
          </cell>
          <cell r="BB40">
            <v>22374</v>
          </cell>
          <cell r="BD40">
            <v>39105</v>
          </cell>
          <cell r="BE40">
            <v>47737</v>
          </cell>
          <cell r="BF40">
            <v>41158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>
        <row r="8">
          <cell r="J8">
            <v>0</v>
          </cell>
        </row>
        <row r="9">
          <cell r="J9">
            <v>5</v>
          </cell>
        </row>
        <row r="10">
          <cell r="J10">
            <v>0</v>
          </cell>
        </row>
        <row r="12">
          <cell r="J12">
            <v>2211.6173777552635</v>
          </cell>
        </row>
        <row r="13">
          <cell r="J13">
            <v>2566.7067426437848</v>
          </cell>
        </row>
        <row r="14">
          <cell r="J14">
            <v>1254.3910030006145</v>
          </cell>
        </row>
        <row r="16">
          <cell r="J16">
            <v>1470.382622244736</v>
          </cell>
        </row>
        <row r="17">
          <cell r="J17">
            <v>1719.1370073562161</v>
          </cell>
        </row>
        <row r="18">
          <cell r="J18">
            <v>780.51524699938579</v>
          </cell>
        </row>
      </sheetData>
      <sheetData sheetId="9"/>
      <sheetData sheetId="10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GE-GARDE"/>
      <sheetName val="BU-1"/>
      <sheetName val="BU-2"/>
      <sheetName val="BU-3"/>
      <sheetName val="BU-4"/>
    </sheetNames>
    <sheetDataSet>
      <sheetData sheetId="0"/>
      <sheetData sheetId="1"/>
      <sheetData sheetId="2">
        <row r="10">
          <cell r="E10">
            <v>9319</v>
          </cell>
        </row>
        <row r="11">
          <cell r="E11">
            <v>52581</v>
          </cell>
        </row>
        <row r="15">
          <cell r="E15">
            <v>155428</v>
          </cell>
        </row>
        <row r="17">
          <cell r="E17">
            <v>38193</v>
          </cell>
        </row>
        <row r="18">
          <cell r="E18">
            <v>36039</v>
          </cell>
        </row>
        <row r="19">
          <cell r="E19">
            <v>4400</v>
          </cell>
        </row>
        <row r="27">
          <cell r="E27">
            <v>503</v>
          </cell>
        </row>
        <row r="28">
          <cell r="E28">
            <v>1972.4639292815073</v>
          </cell>
        </row>
        <row r="29">
          <cell r="E29">
            <v>3208.2860707184927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1981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2693</v>
          </cell>
        </row>
      </sheetData>
      <sheetData sheetId="3">
        <row r="11">
          <cell r="F11">
            <v>4641.25</v>
          </cell>
        </row>
        <row r="12">
          <cell r="F12">
            <v>1167</v>
          </cell>
        </row>
        <row r="13">
          <cell r="F13">
            <v>155428</v>
          </cell>
        </row>
        <row r="37">
          <cell r="F37">
            <v>52378</v>
          </cell>
        </row>
        <row r="38">
          <cell r="F38">
            <v>2184</v>
          </cell>
        </row>
        <row r="39">
          <cell r="F39">
            <v>8793</v>
          </cell>
        </row>
        <row r="41">
          <cell r="F41">
            <v>504</v>
          </cell>
        </row>
        <row r="44">
          <cell r="F44">
            <v>5251</v>
          </cell>
        </row>
        <row r="45">
          <cell r="F45">
            <v>1192</v>
          </cell>
        </row>
        <row r="46">
          <cell r="F46">
            <v>0</v>
          </cell>
        </row>
        <row r="47">
          <cell r="F47">
            <v>26034</v>
          </cell>
        </row>
        <row r="56">
          <cell r="F56">
            <v>78779</v>
          </cell>
        </row>
        <row r="58">
          <cell r="F58">
            <v>11047</v>
          </cell>
        </row>
        <row r="59">
          <cell r="F59">
            <v>2339.5010000000002</v>
          </cell>
        </row>
        <row r="69">
          <cell r="F69">
            <v>116731</v>
          </cell>
        </row>
        <row r="71">
          <cell r="F71">
            <v>2060.4989999999998</v>
          </cell>
        </row>
        <row r="72">
          <cell r="F72">
            <v>33336</v>
          </cell>
        </row>
        <row r="82">
          <cell r="H82">
            <v>28.848892559999996</v>
          </cell>
          <cell r="J82">
            <v>25.544092559999996</v>
          </cell>
        </row>
        <row r="83">
          <cell r="H83">
            <v>0</v>
          </cell>
          <cell r="J83">
            <v>0</v>
          </cell>
        </row>
        <row r="84">
          <cell r="H84">
            <v>46.39993697500001</v>
          </cell>
          <cell r="J84">
            <v>44.923936975000011</v>
          </cell>
        </row>
      </sheetData>
      <sheetData sheetId="4">
        <row r="35">
          <cell r="E35">
            <v>22.426388888888887</v>
          </cell>
          <cell r="F35">
            <v>0</v>
          </cell>
          <cell r="G35">
            <v>0</v>
          </cell>
          <cell r="H35">
            <v>8.5736111111111111</v>
          </cell>
        </row>
      </sheetData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uil1"/>
      <sheetName val="Feuil8"/>
      <sheetName val="Feuil5"/>
      <sheetName val="Feuil6"/>
      <sheetName val="Feuil4"/>
      <sheetName val="Feuil3"/>
      <sheetName val="Feuil2"/>
      <sheetName val="Mat aux"/>
      <sheetName val="PMP-PR"/>
      <sheetName val="cons sp"/>
      <sheetName val="Feuil7"/>
    </sheetNames>
    <sheetDataSet>
      <sheetData sheetId="0">
        <row r="40">
          <cell r="K40">
            <v>21295</v>
          </cell>
          <cell r="L40">
            <v>20813</v>
          </cell>
          <cell r="M40">
            <v>7365</v>
          </cell>
          <cell r="N40">
            <v>2184</v>
          </cell>
          <cell r="O40">
            <v>3889</v>
          </cell>
          <cell r="Q40">
            <v>46075</v>
          </cell>
          <cell r="R40">
            <v>8793</v>
          </cell>
          <cell r="S40">
            <v>187</v>
          </cell>
          <cell r="T40">
            <v>491</v>
          </cell>
          <cell r="V40">
            <v>76568</v>
          </cell>
          <cell r="AO40">
            <v>29658</v>
          </cell>
          <cell r="AP40">
            <v>6381</v>
          </cell>
          <cell r="AX40">
            <v>19481</v>
          </cell>
          <cell r="BB40">
            <v>20121</v>
          </cell>
          <cell r="BD40">
            <v>35337</v>
          </cell>
          <cell r="BE40">
            <v>18193</v>
          </cell>
          <cell r="BF40">
            <v>25961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>
        <row r="8">
          <cell r="J8">
            <v>134</v>
          </cell>
        </row>
        <row r="9">
          <cell r="J9">
            <v>279</v>
          </cell>
        </row>
        <row r="10">
          <cell r="J10">
            <v>90</v>
          </cell>
        </row>
        <row r="12">
          <cell r="J12">
            <v>1183.4017740562147</v>
          </cell>
        </row>
        <row r="13">
          <cell r="J13">
            <v>1335.0395988168962</v>
          </cell>
        </row>
        <row r="14">
          <cell r="J14">
            <v>689.84469784538203</v>
          </cell>
        </row>
        <row r="16">
          <cell r="J16">
            <v>792.59822594378522</v>
          </cell>
        </row>
        <row r="17">
          <cell r="J17">
            <v>780.05415118310407</v>
          </cell>
        </row>
        <row r="18">
          <cell r="J18">
            <v>399.81155215461803</v>
          </cell>
        </row>
      </sheetData>
      <sheetData sheetId="9"/>
      <sheetData sheetId="10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GE-GARDE"/>
      <sheetName val="BU-1"/>
      <sheetName val="BU-2"/>
      <sheetName val="BU-3"/>
      <sheetName val="BU-4"/>
    </sheetNames>
    <sheetDataSet>
      <sheetData sheetId="0"/>
      <sheetData sheetId="1"/>
      <sheetData sheetId="2">
        <row r="10">
          <cell r="E10">
            <v>11907</v>
          </cell>
        </row>
        <row r="11">
          <cell r="E11">
            <v>89872</v>
          </cell>
        </row>
        <row r="15">
          <cell r="E15">
            <v>234190</v>
          </cell>
        </row>
        <row r="17">
          <cell r="E17">
            <v>73147</v>
          </cell>
        </row>
        <row r="18">
          <cell r="E18">
            <v>70367</v>
          </cell>
        </row>
        <row r="19">
          <cell r="E19">
            <v>9275.2530000000006</v>
          </cell>
        </row>
        <row r="20">
          <cell r="E20">
            <v>151235</v>
          </cell>
        </row>
        <row r="27">
          <cell r="E27">
            <v>120.56000000000131</v>
          </cell>
        </row>
        <row r="28">
          <cell r="E28">
            <v>1214.7403340887527</v>
          </cell>
        </row>
        <row r="29">
          <cell r="E29">
            <v>3970.5124784112286</v>
          </cell>
        </row>
        <row r="30">
          <cell r="E30">
            <v>7438</v>
          </cell>
        </row>
        <row r="31">
          <cell r="E31">
            <v>1040</v>
          </cell>
        </row>
        <row r="32">
          <cell r="E32">
            <v>152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981</v>
          </cell>
        </row>
      </sheetData>
      <sheetData sheetId="3">
        <row r="11">
          <cell r="F11">
            <v>6842.3070624999773</v>
          </cell>
        </row>
        <row r="12">
          <cell r="F12">
            <v>1057</v>
          </cell>
        </row>
        <row r="13">
          <cell r="F13">
            <v>234196</v>
          </cell>
        </row>
        <row r="37">
          <cell r="F37">
            <v>81356</v>
          </cell>
        </row>
        <row r="38">
          <cell r="F38">
            <v>8516</v>
          </cell>
        </row>
        <row r="39">
          <cell r="F39">
            <v>13535</v>
          </cell>
        </row>
        <row r="40">
          <cell r="F40">
            <v>6694</v>
          </cell>
        </row>
        <row r="41">
          <cell r="F41">
            <v>0</v>
          </cell>
        </row>
        <row r="44">
          <cell r="F44">
            <v>9324</v>
          </cell>
        </row>
        <row r="45">
          <cell r="F45">
            <v>1693</v>
          </cell>
        </row>
        <row r="46">
          <cell r="F46">
            <v>0</v>
          </cell>
        </row>
        <row r="47">
          <cell r="F47">
            <v>27028</v>
          </cell>
        </row>
        <row r="56">
          <cell r="F56">
            <v>143560</v>
          </cell>
        </row>
        <row r="58">
          <cell r="F58">
            <v>21050</v>
          </cell>
        </row>
        <row r="59">
          <cell r="F59">
            <v>4421.1130000000003</v>
          </cell>
        </row>
        <row r="69">
          <cell r="F69">
            <v>161049</v>
          </cell>
        </row>
        <row r="71">
          <cell r="F71">
            <v>4854.1400000000003</v>
          </cell>
        </row>
        <row r="72">
          <cell r="F72">
            <v>70674</v>
          </cell>
        </row>
        <row r="82">
          <cell r="F82">
            <v>16.761838960000119</v>
          </cell>
          <cell r="H82">
            <v>38.4</v>
          </cell>
          <cell r="J82">
            <v>41.392810199999992</v>
          </cell>
        </row>
        <row r="83">
          <cell r="F83">
            <v>53.420200000000023</v>
          </cell>
          <cell r="H83">
            <v>0</v>
          </cell>
          <cell r="J83">
            <v>0</v>
          </cell>
        </row>
        <row r="84">
          <cell r="F84">
            <v>12.721327737499877</v>
          </cell>
          <cell r="H84">
            <v>89.144223749999981</v>
          </cell>
          <cell r="J84">
            <v>86</v>
          </cell>
        </row>
      </sheetData>
      <sheetData sheetId="4">
        <row r="35">
          <cell r="E35">
            <v>30.320833333333333</v>
          </cell>
          <cell r="F35">
            <v>0</v>
          </cell>
          <cell r="G35">
            <v>0.20833333333333334</v>
          </cell>
          <cell r="H35">
            <v>0.47083333333333338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GE-GARDE"/>
      <sheetName val="BU-1"/>
      <sheetName val="BU-2"/>
      <sheetName val="BU-3"/>
      <sheetName val="BU-4"/>
    </sheetNames>
    <sheetDataSet>
      <sheetData sheetId="0"/>
      <sheetData sheetId="1"/>
      <sheetData sheetId="2">
        <row r="10">
          <cell r="E10">
            <v>33</v>
          </cell>
        </row>
        <row r="11">
          <cell r="E11">
            <v>950</v>
          </cell>
        </row>
        <row r="15">
          <cell r="E15">
            <v>35712</v>
          </cell>
        </row>
        <row r="17">
          <cell r="E17">
            <v>20920</v>
          </cell>
        </row>
        <row r="18">
          <cell r="E18">
            <v>13819</v>
          </cell>
        </row>
        <row r="19">
          <cell r="E19">
            <v>246</v>
          </cell>
        </row>
        <row r="30">
          <cell r="E30">
            <v>0</v>
          </cell>
        </row>
        <row r="31">
          <cell r="E31">
            <v>241</v>
          </cell>
        </row>
        <row r="32">
          <cell r="E32">
            <v>3521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4075</v>
          </cell>
        </row>
      </sheetData>
      <sheetData sheetId="3">
        <row r="11">
          <cell r="F11">
            <v>1104</v>
          </cell>
        </row>
        <row r="12">
          <cell r="F12">
            <v>1910</v>
          </cell>
        </row>
        <row r="13">
          <cell r="F13">
            <v>35712</v>
          </cell>
        </row>
        <row r="37">
          <cell r="F37">
            <v>796</v>
          </cell>
        </row>
        <row r="38">
          <cell r="F38">
            <v>3434</v>
          </cell>
        </row>
        <row r="39">
          <cell r="F39">
            <v>2302</v>
          </cell>
        </row>
        <row r="41">
          <cell r="F41">
            <v>5231</v>
          </cell>
        </row>
        <row r="44">
          <cell r="F44">
            <v>0</v>
          </cell>
        </row>
        <row r="45">
          <cell r="F45">
            <v>1693</v>
          </cell>
        </row>
        <row r="46">
          <cell r="F46">
            <v>6</v>
          </cell>
        </row>
        <row r="47">
          <cell r="F47">
            <v>796</v>
          </cell>
        </row>
        <row r="56">
          <cell r="F56">
            <v>5912</v>
          </cell>
        </row>
        <row r="58">
          <cell r="F58">
            <v>232</v>
          </cell>
        </row>
        <row r="59">
          <cell r="F59">
            <v>40</v>
          </cell>
        </row>
        <row r="69">
          <cell r="F69">
            <v>9561</v>
          </cell>
        </row>
        <row r="71">
          <cell r="F71">
            <v>200</v>
          </cell>
        </row>
        <row r="72">
          <cell r="F72">
            <v>1454</v>
          </cell>
        </row>
        <row r="82">
          <cell r="H82">
            <v>16.058584799999998</v>
          </cell>
          <cell r="J82">
            <v>16.598584800000001</v>
          </cell>
        </row>
        <row r="83">
          <cell r="H83">
            <v>153</v>
          </cell>
          <cell r="J83">
            <v>171.14400000000001</v>
          </cell>
        </row>
        <row r="84">
          <cell r="H84">
            <v>27.899139999999999</v>
          </cell>
          <cell r="J84">
            <v>26.441140000000001</v>
          </cell>
        </row>
      </sheetData>
      <sheetData sheetId="4">
        <row r="35">
          <cell r="E35">
            <v>0.54166666666666663</v>
          </cell>
          <cell r="F35">
            <v>0</v>
          </cell>
          <cell r="G35">
            <v>0</v>
          </cell>
          <cell r="H35">
            <v>27.458333333333332</v>
          </cell>
        </row>
      </sheetData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uil1"/>
      <sheetName val="Feuil3"/>
      <sheetName val="Feuil2"/>
      <sheetName val="Mat aux"/>
      <sheetName val="PMP-PR"/>
      <sheetName val="cons sp"/>
    </sheetNames>
    <sheetDataSet>
      <sheetData sheetId="0">
        <row r="40">
          <cell r="K40">
            <v>36863</v>
          </cell>
          <cell r="L40">
            <v>54073</v>
          </cell>
          <cell r="M40">
            <v>255</v>
          </cell>
          <cell r="N40">
            <v>8516</v>
          </cell>
          <cell r="O40">
            <v>6694</v>
          </cell>
          <cell r="Q40">
            <v>79681</v>
          </cell>
          <cell r="R40">
            <v>13535</v>
          </cell>
          <cell r="S40">
            <v>0</v>
          </cell>
          <cell r="T40">
            <v>13572</v>
          </cell>
          <cell r="AO40">
            <v>37236</v>
          </cell>
          <cell r="AP40">
            <v>33131</v>
          </cell>
          <cell r="AX40">
            <v>40063</v>
          </cell>
          <cell r="BB40">
            <v>40043</v>
          </cell>
          <cell r="BD40">
            <v>40954</v>
          </cell>
          <cell r="BE40">
            <v>53178</v>
          </cell>
          <cell r="BF40">
            <v>43613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GE-GARDE"/>
      <sheetName val="BU-1"/>
      <sheetName val="BU-2"/>
      <sheetName val="BU-3"/>
      <sheetName val="BU-4"/>
      <sheetName val="Evénements"/>
    </sheetNames>
    <sheetDataSet>
      <sheetData sheetId="0"/>
      <sheetData sheetId="1"/>
      <sheetData sheetId="2">
        <row r="10">
          <cell r="E10">
            <v>10763</v>
          </cell>
        </row>
        <row r="11">
          <cell r="E11">
            <v>80043</v>
          </cell>
        </row>
        <row r="15">
          <cell r="E15">
            <v>216620</v>
          </cell>
        </row>
        <row r="17">
          <cell r="E17">
            <v>83290</v>
          </cell>
        </row>
        <row r="18">
          <cell r="E18">
            <v>80771</v>
          </cell>
        </row>
        <row r="19">
          <cell r="E19">
            <v>8210.9470000000001</v>
          </cell>
        </row>
        <row r="20">
          <cell r="E20">
            <v>135859</v>
          </cell>
        </row>
        <row r="27">
          <cell r="E27">
            <v>0</v>
          </cell>
        </row>
        <row r="28">
          <cell r="E28">
            <v>1390.8820510971339</v>
          </cell>
        </row>
        <row r="29">
          <cell r="E29">
            <v>3293.8991989028668</v>
          </cell>
        </row>
        <row r="30">
          <cell r="E30">
            <v>8443</v>
          </cell>
        </row>
        <row r="31">
          <cell r="E31">
            <v>353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54</v>
          </cell>
        </row>
        <row r="35">
          <cell r="E35">
            <v>0</v>
          </cell>
        </row>
      </sheetData>
      <sheetData sheetId="3">
        <row r="11">
          <cell r="F11">
            <v>6078.2192500000001</v>
          </cell>
        </row>
        <row r="12">
          <cell r="F12">
            <v>414</v>
          </cell>
        </row>
        <row r="13">
          <cell r="F13">
            <v>216670</v>
          </cell>
        </row>
        <row r="37">
          <cell r="F37">
            <v>73204</v>
          </cell>
        </row>
        <row r="38">
          <cell r="F38">
            <v>6839</v>
          </cell>
        </row>
        <row r="39">
          <cell r="F39">
            <v>11027</v>
          </cell>
        </row>
        <row r="40">
          <cell r="F40">
            <v>5746</v>
          </cell>
        </row>
        <row r="41">
          <cell r="F41">
            <v>0</v>
          </cell>
        </row>
        <row r="44">
          <cell r="F44">
            <v>11324</v>
          </cell>
        </row>
        <row r="45">
          <cell r="F45">
            <v>2065</v>
          </cell>
        </row>
        <row r="46">
          <cell r="F46">
            <v>0</v>
          </cell>
        </row>
        <row r="47">
          <cell r="F47">
            <v>23508</v>
          </cell>
        </row>
        <row r="56">
          <cell r="F56">
            <v>130113</v>
          </cell>
        </row>
        <row r="58">
          <cell r="F58">
            <v>18650</v>
          </cell>
        </row>
        <row r="59">
          <cell r="F59">
            <v>3606.9279999999999</v>
          </cell>
        </row>
        <row r="69">
          <cell r="F69">
            <v>133380</v>
          </cell>
        </row>
        <row r="71">
          <cell r="F71">
            <v>4604.0190000000002</v>
          </cell>
        </row>
        <row r="72">
          <cell r="F72">
            <v>50468</v>
          </cell>
        </row>
        <row r="82">
          <cell r="F82">
            <v>13.769028760000126</v>
          </cell>
          <cell r="H82">
            <v>48.2</v>
          </cell>
          <cell r="J82">
            <v>52.509287040000004</v>
          </cell>
        </row>
        <row r="83">
          <cell r="F83">
            <v>53.420200000000023</v>
          </cell>
          <cell r="H83">
            <v>0</v>
          </cell>
          <cell r="J83">
            <v>0</v>
          </cell>
        </row>
        <row r="84">
          <cell r="F84">
            <v>15.865551487499857</v>
          </cell>
          <cell r="H84">
            <v>109.52929125</v>
          </cell>
          <cell r="J84">
            <v>117.65</v>
          </cell>
        </row>
      </sheetData>
      <sheetData sheetId="4">
        <row r="35">
          <cell r="E35">
            <v>28</v>
          </cell>
          <cell r="F35">
            <v>0</v>
          </cell>
          <cell r="G35">
            <v>0</v>
          </cell>
          <cell r="H35">
            <v>0</v>
          </cell>
        </row>
      </sheetData>
      <sheetData sheetId="5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uil1"/>
      <sheetName val="Feuil3"/>
      <sheetName val="Feuil2"/>
      <sheetName val="Mat aux"/>
      <sheetName val="PMP-PR"/>
      <sheetName val="cons sp"/>
    </sheetNames>
    <sheetDataSet>
      <sheetData sheetId="0">
        <row r="40">
          <cell r="K40">
            <v>34382</v>
          </cell>
          <cell r="L40">
            <v>48851</v>
          </cell>
          <cell r="M40">
            <v>845</v>
          </cell>
          <cell r="N40">
            <v>6839</v>
          </cell>
          <cell r="O40">
            <v>5746</v>
          </cell>
          <cell r="Q40">
            <v>66545</v>
          </cell>
          <cell r="R40">
            <v>11027</v>
          </cell>
          <cell r="S40">
            <v>0</v>
          </cell>
          <cell r="T40">
            <v>19091</v>
          </cell>
          <cell r="AO40">
            <v>42175</v>
          </cell>
          <cell r="AP40">
            <v>38596</v>
          </cell>
          <cell r="AX40">
            <v>50697</v>
          </cell>
          <cell r="BB40">
            <v>50727</v>
          </cell>
          <cell r="BD40">
            <v>46660</v>
          </cell>
          <cell r="BE40">
            <v>42542</v>
          </cell>
          <cell r="BF40">
            <v>35501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GE-GARDE"/>
      <sheetName val="BU-1"/>
      <sheetName val="BU-2"/>
      <sheetName val="BU-3"/>
      <sheetName val="BU-4"/>
      <sheetName val="Evénements"/>
    </sheetNames>
    <sheetDataSet>
      <sheetData sheetId="0"/>
      <sheetData sheetId="1"/>
      <sheetData sheetId="2">
        <row r="10">
          <cell r="E10">
            <v>15125</v>
          </cell>
        </row>
        <row r="11">
          <cell r="E11">
            <v>91529</v>
          </cell>
        </row>
        <row r="15">
          <cell r="E15">
            <v>218146</v>
          </cell>
        </row>
        <row r="17">
          <cell r="E17">
            <v>65272</v>
          </cell>
        </row>
        <row r="18">
          <cell r="E18">
            <v>62397</v>
          </cell>
        </row>
        <row r="19">
          <cell r="E19">
            <v>8630.9210000000003</v>
          </cell>
        </row>
        <row r="20">
          <cell r="E20">
            <v>146207</v>
          </cell>
        </row>
        <row r="27">
          <cell r="E27">
            <v>98.34</v>
          </cell>
        </row>
        <row r="28">
          <cell r="E28">
            <v>3603.8380000000002</v>
          </cell>
        </row>
        <row r="29">
          <cell r="E29">
            <v>5020.0600000000004</v>
          </cell>
        </row>
        <row r="30">
          <cell r="E30">
            <v>1872</v>
          </cell>
        </row>
        <row r="31">
          <cell r="E31">
            <v>2582</v>
          </cell>
        </row>
        <row r="32">
          <cell r="E32">
            <v>319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</sheetData>
      <sheetData sheetId="3">
        <row r="11">
          <cell r="F11">
            <v>6599.4420000000009</v>
          </cell>
        </row>
        <row r="12">
          <cell r="F12">
            <v>1425</v>
          </cell>
        </row>
        <row r="13">
          <cell r="F13">
            <v>218046</v>
          </cell>
        </row>
        <row r="37">
          <cell r="F37">
            <v>87367</v>
          </cell>
        </row>
        <row r="38">
          <cell r="F38">
            <v>4162</v>
          </cell>
        </row>
        <row r="39">
          <cell r="F39">
            <v>11822</v>
          </cell>
        </row>
        <row r="40">
          <cell r="F40">
            <v>5460</v>
          </cell>
        </row>
        <row r="41">
          <cell r="F41">
            <v>0</v>
          </cell>
        </row>
        <row r="44">
          <cell r="F44">
            <v>9137</v>
          </cell>
        </row>
        <row r="45">
          <cell r="F45">
            <v>1490</v>
          </cell>
        </row>
        <row r="46">
          <cell r="F46">
            <v>0</v>
          </cell>
        </row>
        <row r="47">
          <cell r="F47">
            <v>32872</v>
          </cell>
        </row>
        <row r="56">
          <cell r="F56">
            <v>140747</v>
          </cell>
        </row>
        <row r="58">
          <cell r="F58">
            <v>20360</v>
          </cell>
        </row>
        <row r="59">
          <cell r="F59">
            <v>3912.4389999999999</v>
          </cell>
        </row>
        <row r="69">
          <cell r="F69">
            <v>152774</v>
          </cell>
        </row>
        <row r="71">
          <cell r="F71">
            <v>4718.482</v>
          </cell>
        </row>
        <row r="72">
          <cell r="F72">
            <v>68983</v>
          </cell>
        </row>
        <row r="82">
          <cell r="F82">
            <v>9.4597417200001246</v>
          </cell>
          <cell r="H82">
            <v>38.4</v>
          </cell>
          <cell r="J82">
            <v>41.407106999999996</v>
          </cell>
        </row>
        <row r="83">
          <cell r="F83">
            <v>53.420200000000023</v>
          </cell>
          <cell r="H83">
            <v>0</v>
          </cell>
          <cell r="J83">
            <v>0</v>
          </cell>
        </row>
        <row r="84">
          <cell r="F84">
            <v>7.7448427374998516</v>
          </cell>
          <cell r="H84">
            <v>96.253830625000006</v>
          </cell>
          <cell r="J84">
            <v>90.3</v>
          </cell>
        </row>
      </sheetData>
      <sheetData sheetId="4">
        <row r="35">
          <cell r="E35">
            <v>29.885416666666664</v>
          </cell>
          <cell r="F35">
            <v>0</v>
          </cell>
          <cell r="G35">
            <v>1.1145833333333333</v>
          </cell>
          <cell r="H35">
            <v>0</v>
          </cell>
        </row>
      </sheetData>
      <sheetData sheetId="5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uil1"/>
      <sheetName val="Feuil3"/>
      <sheetName val="Feuil2"/>
      <sheetName val="Mat aux"/>
      <sheetName val="PMP-PR"/>
      <sheetName val="cons sp"/>
    </sheetNames>
    <sheetDataSet>
      <sheetData sheetId="0">
        <row r="40">
          <cell r="K40">
            <v>35777</v>
          </cell>
          <cell r="L40">
            <v>54182</v>
          </cell>
          <cell r="M40">
            <v>313</v>
          </cell>
          <cell r="N40">
            <v>4162</v>
          </cell>
          <cell r="O40">
            <v>5460</v>
          </cell>
          <cell r="Q40">
            <v>77661</v>
          </cell>
          <cell r="R40">
            <v>11822</v>
          </cell>
          <cell r="S40">
            <v>0</v>
          </cell>
          <cell r="T40">
            <v>10411</v>
          </cell>
          <cell r="AO40">
            <v>33148</v>
          </cell>
          <cell r="AP40">
            <v>29249</v>
          </cell>
          <cell r="AX40">
            <v>32830</v>
          </cell>
          <cell r="BB40">
            <v>32560</v>
          </cell>
          <cell r="BD40">
            <v>54080</v>
          </cell>
          <cell r="BE40">
            <v>49979</v>
          </cell>
          <cell r="BF40">
            <v>30356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GE-GARDE"/>
      <sheetName val="BU-1"/>
      <sheetName val="BU-2"/>
      <sheetName val="BU-3"/>
      <sheetName val="BU-4"/>
    </sheetNames>
    <sheetDataSet>
      <sheetData sheetId="0"/>
      <sheetData sheetId="1"/>
      <sheetData sheetId="2">
        <row r="10">
          <cell r="E10">
            <v>17833</v>
          </cell>
        </row>
        <row r="11">
          <cell r="E11">
            <v>93382</v>
          </cell>
        </row>
        <row r="15">
          <cell r="E15">
            <v>203959</v>
          </cell>
        </row>
        <row r="17">
          <cell r="E17">
            <v>47724</v>
          </cell>
        </row>
        <row r="18">
          <cell r="E18">
            <v>44777</v>
          </cell>
        </row>
        <row r="19">
          <cell r="E19">
            <v>8322.9330000000009</v>
          </cell>
        </row>
        <row r="20">
          <cell r="E20">
            <v>145687</v>
          </cell>
        </row>
        <row r="27">
          <cell r="E27">
            <v>97</v>
          </cell>
        </row>
        <row r="28">
          <cell r="E28">
            <v>4197.90589710516</v>
          </cell>
        </row>
        <row r="29">
          <cell r="E29">
            <v>7086.39097789484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599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3818</v>
          </cell>
        </row>
      </sheetData>
      <sheetData sheetId="3">
        <row r="11">
          <cell r="F11">
            <v>6645.7030000000013</v>
          </cell>
        </row>
        <row r="12">
          <cell r="F12">
            <v>1700</v>
          </cell>
        </row>
        <row r="13">
          <cell r="F13">
            <v>204309</v>
          </cell>
        </row>
        <row r="37">
          <cell r="F37">
            <v>91023</v>
          </cell>
        </row>
        <row r="38">
          <cell r="F38">
            <v>2359</v>
          </cell>
        </row>
        <row r="39">
          <cell r="F39">
            <v>11123</v>
          </cell>
        </row>
        <row r="40">
          <cell r="F40">
            <v>4848</v>
          </cell>
        </row>
        <row r="41">
          <cell r="F41">
            <v>0</v>
          </cell>
        </row>
        <row r="44">
          <cell r="F44">
            <v>7469</v>
          </cell>
        </row>
        <row r="45">
          <cell r="F45">
            <v>1262</v>
          </cell>
        </row>
        <row r="46">
          <cell r="F46">
            <v>0</v>
          </cell>
        </row>
        <row r="47">
          <cell r="F47">
            <v>44248</v>
          </cell>
        </row>
        <row r="56">
          <cell r="F56">
            <v>137021</v>
          </cell>
        </row>
        <row r="58">
          <cell r="F58">
            <v>19389</v>
          </cell>
        </row>
        <row r="59">
          <cell r="F59">
            <v>3696.7570000000001</v>
          </cell>
        </row>
        <row r="69">
          <cell r="F69">
            <v>156585</v>
          </cell>
        </row>
        <row r="71">
          <cell r="F71">
            <v>4626.1760000000004</v>
          </cell>
        </row>
        <row r="72">
          <cell r="F72">
            <v>72542</v>
          </cell>
        </row>
        <row r="82">
          <cell r="F82">
            <v>6.4526347200001268</v>
          </cell>
          <cell r="H82">
            <v>39.04</v>
          </cell>
          <cell r="J82">
            <v>33.708995040000005</v>
          </cell>
        </row>
        <row r="83">
          <cell r="F83">
            <v>53.420200000000023</v>
          </cell>
          <cell r="H83">
            <v>0</v>
          </cell>
          <cell r="J83">
            <v>0</v>
          </cell>
        </row>
        <row r="84">
          <cell r="F84">
            <v>13.698673362499861</v>
          </cell>
          <cell r="H84">
            <v>76.21929999999999</v>
          </cell>
          <cell r="J84">
            <v>76.400000000000006</v>
          </cell>
        </row>
      </sheetData>
      <sheetData sheetId="4">
        <row r="35">
          <cell r="E35">
            <v>29.24722222222222</v>
          </cell>
          <cell r="F35">
            <v>0</v>
          </cell>
          <cell r="G35">
            <v>0.75277777777777777</v>
          </cell>
          <cell r="H35">
            <v>0</v>
          </cell>
        </row>
      </sheetData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uil1"/>
      <sheetName val="Feuil3"/>
      <sheetName val="Feuil2"/>
      <sheetName val="Mat aux"/>
      <sheetName val="PMP-PR"/>
      <sheetName val="cons sp"/>
    </sheetNames>
    <sheetDataSet>
      <sheetData sheetId="0">
        <row r="40">
          <cell r="K40">
            <v>35164</v>
          </cell>
          <cell r="L40">
            <v>46775</v>
          </cell>
          <cell r="M40">
            <v>0</v>
          </cell>
          <cell r="N40">
            <v>2359</v>
          </cell>
          <cell r="O40">
            <v>4848</v>
          </cell>
          <cell r="Q40">
            <v>77130</v>
          </cell>
          <cell r="R40">
            <v>11123</v>
          </cell>
          <cell r="S40">
            <v>0</v>
          </cell>
          <cell r="T40">
            <v>893</v>
          </cell>
          <cell r="AO40">
            <v>24097</v>
          </cell>
          <cell r="AP40">
            <v>20680</v>
          </cell>
          <cell r="AX40">
            <v>17759</v>
          </cell>
          <cell r="BB40">
            <v>17759</v>
          </cell>
          <cell r="BD40">
            <v>47870</v>
          </cell>
          <cell r="BE40">
            <v>37852</v>
          </cell>
          <cell r="BF40">
            <v>48827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GE-GARDE"/>
      <sheetName val="BU-1"/>
      <sheetName val="BU-2"/>
      <sheetName val="BU-3"/>
      <sheetName val="BU-4"/>
    </sheetNames>
    <sheetDataSet>
      <sheetData sheetId="0"/>
      <sheetData sheetId="1"/>
      <sheetData sheetId="2">
        <row r="10">
          <cell r="E10">
            <v>17590</v>
          </cell>
        </row>
        <row r="11">
          <cell r="E11">
            <v>94892</v>
          </cell>
        </row>
        <row r="15">
          <cell r="E15">
            <v>211413</v>
          </cell>
        </row>
        <row r="17">
          <cell r="E17">
            <v>56346</v>
          </cell>
        </row>
        <row r="18">
          <cell r="E18">
            <v>52767</v>
          </cell>
        </row>
        <row r="19">
          <cell r="E19">
            <v>8512.7199999999993</v>
          </cell>
        </row>
        <row r="20">
          <cell r="E20">
            <v>149557</v>
          </cell>
        </row>
        <row r="27">
          <cell r="E27">
            <v>111</v>
          </cell>
        </row>
        <row r="28">
          <cell r="E28">
            <v>4300.9025539304675</v>
          </cell>
        </row>
        <row r="29">
          <cell r="E29">
            <v>6494.4724460695325</v>
          </cell>
        </row>
        <row r="30">
          <cell r="E30">
            <v>1481</v>
          </cell>
        </row>
        <row r="31">
          <cell r="E31">
            <v>89</v>
          </cell>
        </row>
        <row r="32">
          <cell r="E32">
            <v>256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2095</v>
          </cell>
        </row>
      </sheetData>
      <sheetData sheetId="3">
        <row r="11">
          <cell r="F11">
            <v>6905.6249999999982</v>
          </cell>
        </row>
        <row r="12">
          <cell r="F12">
            <v>2038</v>
          </cell>
        </row>
        <row r="13">
          <cell r="F13">
            <v>211404</v>
          </cell>
        </row>
        <row r="37">
          <cell r="F37">
            <v>92730</v>
          </cell>
        </row>
        <row r="38">
          <cell r="F38">
            <v>2162</v>
          </cell>
        </row>
        <row r="39">
          <cell r="F39">
            <v>11599</v>
          </cell>
        </row>
        <row r="40">
          <cell r="F40">
            <v>4988</v>
          </cell>
        </row>
        <row r="41">
          <cell r="F41">
            <v>0</v>
          </cell>
        </row>
        <row r="44">
          <cell r="F44">
            <v>9063</v>
          </cell>
        </row>
        <row r="45">
          <cell r="F45">
            <v>1486</v>
          </cell>
        </row>
        <row r="46">
          <cell r="F46">
            <v>0</v>
          </cell>
        </row>
        <row r="47">
          <cell r="F47">
            <v>41268</v>
          </cell>
        </row>
        <row r="56">
          <cell r="F56">
            <v>142474</v>
          </cell>
        </row>
        <row r="58">
          <cell r="F58">
            <v>19955</v>
          </cell>
        </row>
        <row r="59">
          <cell r="F59">
            <v>4252.1629999999996</v>
          </cell>
        </row>
        <row r="69">
          <cell r="F69">
            <v>155058</v>
          </cell>
        </row>
        <row r="71">
          <cell r="F71">
            <v>4260.5569999999998</v>
          </cell>
        </row>
        <row r="72">
          <cell r="F72">
            <v>72696</v>
          </cell>
        </row>
        <row r="82">
          <cell r="F82">
            <v>11.783639680000121</v>
          </cell>
          <cell r="H82">
            <v>38.549999999999997</v>
          </cell>
          <cell r="J82">
            <v>42.324246719999998</v>
          </cell>
        </row>
        <row r="83">
          <cell r="F83">
            <v>53.420200000000023</v>
          </cell>
          <cell r="H83">
            <v>0</v>
          </cell>
          <cell r="J83">
            <v>0</v>
          </cell>
        </row>
        <row r="84">
          <cell r="F84">
            <v>13.517973362499845</v>
          </cell>
          <cell r="H84">
            <v>87.472432499999996</v>
          </cell>
          <cell r="J84">
            <v>93</v>
          </cell>
        </row>
      </sheetData>
      <sheetData sheetId="4">
        <row r="35">
          <cell r="E35">
            <v>30.384027777777778</v>
          </cell>
          <cell r="F35">
            <v>0</v>
          </cell>
          <cell r="G35">
            <v>0</v>
          </cell>
          <cell r="H35">
            <v>0.61597222222222237</v>
          </cell>
        </row>
      </sheetData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uil1"/>
      <sheetName val="Feuil3"/>
      <sheetName val="Feuil2"/>
      <sheetName val="Mat aux"/>
      <sheetName val="PMP-PR"/>
      <sheetName val="cons sp"/>
    </sheetNames>
    <sheetDataSet>
      <sheetData sheetId="0">
        <row r="40">
          <cell r="K40">
            <v>36953</v>
          </cell>
          <cell r="L40">
            <v>51462</v>
          </cell>
          <cell r="M40">
            <v>0</v>
          </cell>
          <cell r="N40">
            <v>2162</v>
          </cell>
          <cell r="O40">
            <v>4988</v>
          </cell>
          <cell r="Q40">
            <v>81181</v>
          </cell>
          <cell r="R40">
            <v>11599</v>
          </cell>
          <cell r="S40">
            <v>0</v>
          </cell>
          <cell r="T40">
            <v>2785</v>
          </cell>
          <cell r="AO40">
            <v>29491</v>
          </cell>
          <cell r="AP40">
            <v>23276</v>
          </cell>
          <cell r="AX40">
            <v>24139</v>
          </cell>
          <cell r="BB40">
            <v>24099</v>
          </cell>
          <cell r="BD40">
            <v>41895</v>
          </cell>
          <cell r="BE40">
            <v>48964</v>
          </cell>
          <cell r="BF40">
            <v>47204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GE-GARDE"/>
      <sheetName val="BU-1"/>
      <sheetName val="BU-2"/>
      <sheetName val="BU-3"/>
      <sheetName val="BU-4"/>
    </sheetNames>
    <sheetDataSet>
      <sheetData sheetId="0"/>
      <sheetData sheetId="1"/>
      <sheetData sheetId="2">
        <row r="10">
          <cell r="E10">
            <v>17194</v>
          </cell>
        </row>
        <row r="11">
          <cell r="E11">
            <v>89053</v>
          </cell>
        </row>
        <row r="15">
          <cell r="E15">
            <v>177841</v>
          </cell>
        </row>
        <row r="17">
          <cell r="E17">
            <v>52206</v>
          </cell>
        </row>
        <row r="18">
          <cell r="E18">
            <v>49060</v>
          </cell>
        </row>
        <row r="19">
          <cell r="E19">
            <v>8165.9809999999998</v>
          </cell>
        </row>
        <row r="20">
          <cell r="E20">
            <v>142328</v>
          </cell>
        </row>
        <row r="27">
          <cell r="E27">
            <v>46</v>
          </cell>
        </row>
        <row r="28">
          <cell r="E28">
            <v>1693.432755401343</v>
          </cell>
        </row>
        <row r="29">
          <cell r="E29">
            <v>8941.4891195986565</v>
          </cell>
        </row>
        <row r="30">
          <cell r="E30">
            <v>298</v>
          </cell>
        </row>
        <row r="31">
          <cell r="E31">
            <v>3284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</sheetData>
      <sheetData sheetId="3">
        <row r="11">
          <cell r="F11">
            <v>6605.0780000000013</v>
          </cell>
        </row>
        <row r="12">
          <cell r="F12">
            <v>1835</v>
          </cell>
        </row>
        <row r="13">
          <cell r="F13">
            <v>177791</v>
          </cell>
        </row>
        <row r="37">
          <cell r="F37">
            <v>87192</v>
          </cell>
        </row>
        <row r="38">
          <cell r="F38">
            <v>1861</v>
          </cell>
        </row>
        <row r="39">
          <cell r="F39">
            <v>10262</v>
          </cell>
        </row>
        <row r="40">
          <cell r="F40">
            <v>4805</v>
          </cell>
        </row>
        <row r="41">
          <cell r="F41">
            <v>0</v>
          </cell>
        </row>
        <row r="44">
          <cell r="F44">
            <v>8016</v>
          </cell>
        </row>
        <row r="45">
          <cell r="F45">
            <v>1371</v>
          </cell>
        </row>
        <row r="46">
          <cell r="F46">
            <v>0</v>
          </cell>
        </row>
        <row r="47">
          <cell r="F47">
            <v>44013</v>
          </cell>
        </row>
        <row r="56">
          <cell r="F56">
            <v>137523</v>
          </cell>
        </row>
        <row r="58">
          <cell r="F58">
            <v>19027</v>
          </cell>
        </row>
        <row r="59">
          <cell r="F59">
            <v>3698.616</v>
          </cell>
        </row>
        <row r="69">
          <cell r="F69">
            <v>125585</v>
          </cell>
        </row>
        <row r="71">
          <cell r="F71">
            <v>4467.3649999999998</v>
          </cell>
        </row>
        <row r="72">
          <cell r="F72">
            <v>65686</v>
          </cell>
        </row>
        <row r="82">
          <cell r="F82">
            <v>8.0093929600001204</v>
          </cell>
          <cell r="H82">
            <v>38.799999999999997</v>
          </cell>
          <cell r="J82">
            <v>35.995768200000001</v>
          </cell>
        </row>
        <row r="83">
          <cell r="F83">
            <v>53.420200000000023</v>
          </cell>
          <cell r="H83">
            <v>0</v>
          </cell>
          <cell r="J83">
            <v>0</v>
          </cell>
        </row>
        <row r="84">
          <cell r="F84">
            <v>7.9904058624998413</v>
          </cell>
          <cell r="H84">
            <v>83.319918749999985</v>
          </cell>
          <cell r="J84">
            <v>80.849999999999994</v>
          </cell>
        </row>
      </sheetData>
      <sheetData sheetId="4">
        <row r="35">
          <cell r="E35">
            <v>29.795138888888889</v>
          </cell>
          <cell r="F35">
            <v>0</v>
          </cell>
          <cell r="G35">
            <v>0</v>
          </cell>
          <cell r="H35">
            <v>0.2048611111111111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uil1"/>
      <sheetName val="Feuil8"/>
      <sheetName val="Feuil5"/>
      <sheetName val="Feuil6"/>
      <sheetName val="Feuil4"/>
      <sheetName val="Feuil3"/>
      <sheetName val="Feuil2"/>
      <sheetName val="Mat aux"/>
      <sheetName val="PMP-PR"/>
      <sheetName val="cons sp"/>
      <sheetName val="Feuil7"/>
    </sheetNames>
    <sheetDataSet>
      <sheetData sheetId="0">
        <row r="40">
          <cell r="K40">
            <v>1213</v>
          </cell>
          <cell r="L40">
            <v>0</v>
          </cell>
          <cell r="M40">
            <v>0</v>
          </cell>
          <cell r="N40">
            <v>3434</v>
          </cell>
          <cell r="O40">
            <v>480</v>
          </cell>
          <cell r="Q40">
            <v>1930</v>
          </cell>
          <cell r="R40">
            <v>2302</v>
          </cell>
          <cell r="S40">
            <v>0</v>
          </cell>
          <cell r="T40">
            <v>579</v>
          </cell>
          <cell r="V40">
            <v>8165</v>
          </cell>
          <cell r="AO40">
            <v>3825</v>
          </cell>
          <cell r="AP40">
            <v>9994</v>
          </cell>
          <cell r="AX40">
            <v>10913</v>
          </cell>
          <cell r="BB40">
            <v>11703</v>
          </cell>
          <cell r="BD40">
            <v>3103</v>
          </cell>
          <cell r="BE40">
            <v>3118</v>
          </cell>
          <cell r="BF40">
            <v>7732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>
        <row r="8">
          <cell r="J8">
            <v>408</v>
          </cell>
        </row>
        <row r="9">
          <cell r="J9">
            <v>439</v>
          </cell>
        </row>
        <row r="10">
          <cell r="J10">
            <v>232</v>
          </cell>
        </row>
        <row r="12">
          <cell r="J12">
            <v>4.9622614411485682</v>
          </cell>
        </row>
        <row r="13">
          <cell r="J13">
            <v>0</v>
          </cell>
        </row>
        <row r="14">
          <cell r="J14">
            <v>0</v>
          </cell>
        </row>
        <row r="16">
          <cell r="J16">
            <v>3.0377385588514318</v>
          </cell>
        </row>
        <row r="17">
          <cell r="J17">
            <v>0</v>
          </cell>
        </row>
        <row r="18">
          <cell r="J18">
            <v>0</v>
          </cell>
        </row>
      </sheetData>
      <sheetData sheetId="9"/>
      <sheetData sheetId="10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uil1"/>
      <sheetName val="Feuil3"/>
      <sheetName val="Feuil2"/>
      <sheetName val="Mat aux"/>
      <sheetName val="PMP-PR"/>
      <sheetName val="cons sp"/>
    </sheetNames>
    <sheetDataSet>
      <sheetData sheetId="0">
        <row r="40">
          <cell r="K40">
            <v>36593</v>
          </cell>
          <cell r="L40">
            <v>43179</v>
          </cell>
          <cell r="M40">
            <v>0</v>
          </cell>
          <cell r="N40">
            <v>1861</v>
          </cell>
          <cell r="O40">
            <v>4805</v>
          </cell>
          <cell r="Q40">
            <v>74049</v>
          </cell>
          <cell r="R40">
            <v>10262</v>
          </cell>
          <cell r="S40">
            <v>0</v>
          </cell>
          <cell r="T40">
            <v>2127</v>
          </cell>
          <cell r="AO40">
            <v>26441</v>
          </cell>
          <cell r="AP40">
            <v>22619</v>
          </cell>
          <cell r="AX40">
            <v>21967</v>
          </cell>
          <cell r="BB40">
            <v>22247</v>
          </cell>
          <cell r="BD40">
            <v>43074</v>
          </cell>
          <cell r="BE40">
            <v>44775</v>
          </cell>
          <cell r="BF40">
            <v>44097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GE-GARDE"/>
      <sheetName val="BU-1"/>
      <sheetName val="BU-2"/>
      <sheetName val="BU-3"/>
      <sheetName val="BU-4"/>
    </sheetNames>
    <sheetDataSet>
      <sheetData sheetId="0"/>
      <sheetData sheetId="1"/>
      <sheetData sheetId="2">
        <row r="10">
          <cell r="E10">
            <v>17413</v>
          </cell>
        </row>
        <row r="11">
          <cell r="E11">
            <v>91398</v>
          </cell>
        </row>
        <row r="15">
          <cell r="E15">
            <v>209348</v>
          </cell>
        </row>
        <row r="17">
          <cell r="E17">
            <v>59374</v>
          </cell>
        </row>
        <row r="18">
          <cell r="E18">
            <v>55901</v>
          </cell>
        </row>
        <row r="19">
          <cell r="E19">
            <v>8383.7360000000008</v>
          </cell>
        </row>
        <row r="20">
          <cell r="E20">
            <v>147664</v>
          </cell>
        </row>
        <row r="27">
          <cell r="E27">
            <v>120</v>
          </cell>
        </row>
        <row r="28">
          <cell r="E28">
            <v>3192.1400000000003</v>
          </cell>
        </row>
        <row r="29">
          <cell r="E29">
            <v>7597.7659999999996</v>
          </cell>
        </row>
        <row r="30">
          <cell r="E30">
            <v>145</v>
          </cell>
        </row>
        <row r="31">
          <cell r="E31">
            <v>1563</v>
          </cell>
        </row>
        <row r="32">
          <cell r="E32">
            <v>115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</sheetData>
      <sheetData sheetId="3">
        <row r="11">
          <cell r="F11">
            <v>6743.094000000001</v>
          </cell>
        </row>
        <row r="12">
          <cell r="F12">
            <v>1902</v>
          </cell>
        </row>
        <row r="13">
          <cell r="F13">
            <v>209148</v>
          </cell>
        </row>
        <row r="37">
          <cell r="F37">
            <v>88938</v>
          </cell>
        </row>
        <row r="38">
          <cell r="F38">
            <v>2460</v>
          </cell>
        </row>
        <row r="39">
          <cell r="F39">
            <v>9679</v>
          </cell>
        </row>
        <row r="40">
          <cell r="F40">
            <v>4840</v>
          </cell>
        </row>
        <row r="41">
          <cell r="F41">
            <v>0</v>
          </cell>
        </row>
        <row r="44">
          <cell r="F44">
            <v>9509</v>
          </cell>
        </row>
        <row r="45">
          <cell r="F45">
            <v>1616</v>
          </cell>
        </row>
        <row r="46">
          <cell r="F46">
            <v>0</v>
          </cell>
        </row>
        <row r="47">
          <cell r="F47">
            <v>43209</v>
          </cell>
        </row>
        <row r="56">
          <cell r="F56">
            <v>142824</v>
          </cell>
        </row>
        <row r="58">
          <cell r="F58">
            <v>18633</v>
          </cell>
        </row>
        <row r="59">
          <cell r="F59">
            <v>4158.652</v>
          </cell>
        </row>
        <row r="69">
          <cell r="F69">
            <v>149774</v>
          </cell>
        </row>
        <row r="71">
          <cell r="F71">
            <v>4225.0839999999998</v>
          </cell>
        </row>
        <row r="72">
          <cell r="F72">
            <v>67132</v>
          </cell>
        </row>
        <row r="82">
          <cell r="F82">
            <v>10.813624760000117</v>
          </cell>
          <cell r="H82">
            <v>38.549999999999997</v>
          </cell>
          <cell r="J82">
            <v>43.5015882</v>
          </cell>
        </row>
        <row r="83">
          <cell r="F83">
            <v>53.420200000000023</v>
          </cell>
          <cell r="H83">
            <v>0</v>
          </cell>
          <cell r="J83">
            <v>0</v>
          </cell>
        </row>
        <row r="84">
          <cell r="F84">
            <v>10.460324612499832</v>
          </cell>
          <cell r="H84">
            <v>95.166267499999989</v>
          </cell>
          <cell r="J84">
            <v>97.25</v>
          </cell>
        </row>
      </sheetData>
      <sheetData sheetId="4">
        <row r="35">
          <cell r="E35">
            <v>29.961805555555557</v>
          </cell>
          <cell r="F35">
            <v>0</v>
          </cell>
          <cell r="G35">
            <v>0</v>
          </cell>
          <cell r="H35">
            <v>1.0381944444444444</v>
          </cell>
        </row>
      </sheetData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uil1"/>
      <sheetName val="Feuil3"/>
      <sheetName val="Feuil2"/>
      <sheetName val="Mat aux"/>
      <sheetName val="PMP-PR"/>
      <sheetName val="cons sp"/>
    </sheetNames>
    <sheetDataSet>
      <sheetData sheetId="0">
        <row r="40">
          <cell r="K40">
            <v>33565</v>
          </cell>
          <cell r="L40">
            <v>45729</v>
          </cell>
          <cell r="M40">
            <v>0</v>
          </cell>
          <cell r="N40">
            <v>2460</v>
          </cell>
          <cell r="O40">
            <v>4840</v>
          </cell>
          <cell r="Q40">
            <v>74778</v>
          </cell>
          <cell r="R40">
            <v>9679</v>
          </cell>
          <cell r="S40">
            <v>0</v>
          </cell>
          <cell r="T40">
            <v>2137</v>
          </cell>
          <cell r="AO40">
            <v>29951</v>
          </cell>
          <cell r="AP40">
            <v>25950</v>
          </cell>
          <cell r="AX40">
            <v>27809</v>
          </cell>
          <cell r="BB40">
            <v>27629</v>
          </cell>
          <cell r="BD40">
            <v>46238</v>
          </cell>
          <cell r="BE40">
            <v>51933</v>
          </cell>
          <cell r="BF40">
            <v>39799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GE-GARDE"/>
      <sheetName val="BU-1"/>
      <sheetName val="BU-2"/>
      <sheetName val="BU-3"/>
      <sheetName val="BU-4"/>
    </sheetNames>
    <sheetDataSet>
      <sheetData sheetId="0"/>
      <sheetData sheetId="1"/>
      <sheetData sheetId="2">
        <row r="10">
          <cell r="E10">
            <v>17208</v>
          </cell>
        </row>
        <row r="11">
          <cell r="E11">
            <v>93280</v>
          </cell>
        </row>
        <row r="15">
          <cell r="E15">
            <v>265902</v>
          </cell>
        </row>
        <row r="17">
          <cell r="E17">
            <v>54827</v>
          </cell>
        </row>
        <row r="18">
          <cell r="E18">
            <v>51712</v>
          </cell>
        </row>
        <row r="19">
          <cell r="E19">
            <v>8566.4410000000007</v>
          </cell>
        </row>
        <row r="20">
          <cell r="E20">
            <v>144157</v>
          </cell>
        </row>
        <row r="27">
          <cell r="E27">
            <v>51</v>
          </cell>
        </row>
        <row r="28">
          <cell r="E28">
            <v>3074.8181149706488</v>
          </cell>
        </row>
        <row r="29">
          <cell r="E29">
            <v>7301.4162600293503</v>
          </cell>
        </row>
        <row r="30">
          <cell r="E30">
            <v>138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</sheetData>
      <sheetData sheetId="3">
        <row r="11">
          <cell r="F11">
            <v>6882.7660000000014</v>
          </cell>
        </row>
        <row r="12">
          <cell r="F12">
            <v>1840</v>
          </cell>
        </row>
        <row r="13">
          <cell r="F13">
            <v>266002</v>
          </cell>
        </row>
        <row r="37">
          <cell r="F37">
            <v>91187</v>
          </cell>
        </row>
        <row r="38">
          <cell r="F38">
            <v>2093</v>
          </cell>
        </row>
        <row r="39">
          <cell r="F39">
            <v>10320</v>
          </cell>
        </row>
        <row r="40">
          <cell r="F40">
            <v>5106</v>
          </cell>
        </row>
        <row r="41">
          <cell r="F41">
            <v>0</v>
          </cell>
        </row>
        <row r="44">
          <cell r="F44">
            <v>8524</v>
          </cell>
        </row>
        <row r="45">
          <cell r="F45">
            <v>1220</v>
          </cell>
        </row>
        <row r="46">
          <cell r="F46">
            <v>0</v>
          </cell>
        </row>
        <row r="47">
          <cell r="F47">
            <v>42496</v>
          </cell>
        </row>
        <row r="56">
          <cell r="F56">
            <v>139051</v>
          </cell>
        </row>
        <row r="58">
          <cell r="F58">
            <v>18691</v>
          </cell>
        </row>
        <row r="59">
          <cell r="F59">
            <v>4262.6639999999998</v>
          </cell>
        </row>
        <row r="69">
          <cell r="F69">
            <v>211175</v>
          </cell>
        </row>
        <row r="71">
          <cell r="F71">
            <v>4303.777</v>
          </cell>
        </row>
        <row r="72">
          <cell r="F72">
            <v>66869</v>
          </cell>
        </row>
        <row r="82">
          <cell r="F82">
            <v>5.8620365600001136</v>
          </cell>
          <cell r="H82">
            <v>48.5</v>
          </cell>
          <cell r="J82">
            <v>38.517723719999992</v>
          </cell>
        </row>
        <row r="83">
          <cell r="F83">
            <v>53.420200000000023</v>
          </cell>
          <cell r="H83">
            <v>0</v>
          </cell>
          <cell r="J83">
            <v>0</v>
          </cell>
        </row>
        <row r="84">
          <cell r="F84">
            <v>8.3765921124998215</v>
          </cell>
          <cell r="H84">
            <v>92.343996249999989</v>
          </cell>
          <cell r="J84">
            <v>87.9</v>
          </cell>
        </row>
      </sheetData>
      <sheetData sheetId="4">
        <row r="35">
          <cell r="E35">
            <v>30.759027777777778</v>
          </cell>
          <cell r="F35">
            <v>0</v>
          </cell>
          <cell r="G35">
            <v>0</v>
          </cell>
          <cell r="H35">
            <v>0.24097222222222223</v>
          </cell>
        </row>
      </sheetData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uil1"/>
      <sheetName val="Feuil3"/>
      <sheetName val="Feuil2"/>
      <sheetName val="Mat aux"/>
      <sheetName val="PMP-PR"/>
      <sheetName val="cons sp"/>
    </sheetNames>
    <sheetDataSet>
      <sheetData sheetId="0">
        <row r="40">
          <cell r="K40">
            <v>36886</v>
          </cell>
          <cell r="L40">
            <v>48691</v>
          </cell>
          <cell r="M40">
            <v>0</v>
          </cell>
          <cell r="N40">
            <v>2093</v>
          </cell>
          <cell r="O40">
            <v>5106</v>
          </cell>
          <cell r="Q40">
            <v>81661</v>
          </cell>
          <cell r="R40">
            <v>10320</v>
          </cell>
          <cell r="S40">
            <v>0</v>
          </cell>
          <cell r="T40">
            <v>795</v>
          </cell>
          <cell r="AO40">
            <v>31174</v>
          </cell>
          <cell r="AP40">
            <v>20538</v>
          </cell>
          <cell r="AX40">
            <v>24327</v>
          </cell>
          <cell r="BB40">
            <v>24577</v>
          </cell>
          <cell r="BD40">
            <v>52515</v>
          </cell>
          <cell r="BE40">
            <v>45655</v>
          </cell>
          <cell r="BF40">
            <v>35772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GE-GARDE"/>
      <sheetName val="BU-1"/>
      <sheetName val="BU-2"/>
      <sheetName val="BU-3"/>
      <sheetName val="BU-4"/>
    </sheetNames>
    <sheetDataSet>
      <sheetData sheetId="0"/>
      <sheetData sheetId="1"/>
      <sheetData sheetId="2">
        <row r="10">
          <cell r="E10">
            <v>14533</v>
          </cell>
        </row>
        <row r="11">
          <cell r="E11">
            <v>88546</v>
          </cell>
        </row>
        <row r="15">
          <cell r="E15">
            <v>212848</v>
          </cell>
        </row>
        <row r="17">
          <cell r="E17">
            <v>57221</v>
          </cell>
        </row>
        <row r="18">
          <cell r="E18">
            <v>54094</v>
          </cell>
        </row>
        <row r="19">
          <cell r="E19">
            <v>8331.73</v>
          </cell>
        </row>
        <row r="20">
          <cell r="E20">
            <v>138550</v>
          </cell>
        </row>
        <row r="27">
          <cell r="E27">
            <v>574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1339</v>
          </cell>
        </row>
        <row r="31">
          <cell r="E31">
            <v>703</v>
          </cell>
        </row>
        <row r="32">
          <cell r="E32">
            <v>240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</sheetData>
      <sheetData sheetId="3">
        <row r="11">
          <cell r="F11">
            <v>6447.3319999999985</v>
          </cell>
        </row>
        <row r="12">
          <cell r="F12">
            <v>1356</v>
          </cell>
        </row>
        <row r="13">
          <cell r="F13">
            <v>212140</v>
          </cell>
        </row>
        <row r="37">
          <cell r="F37">
            <v>81354</v>
          </cell>
        </row>
        <row r="38">
          <cell r="F38">
            <v>7192</v>
          </cell>
        </row>
        <row r="39">
          <cell r="F39">
            <v>10808</v>
          </cell>
        </row>
        <row r="40">
          <cell r="F40">
            <v>5759</v>
          </cell>
        </row>
        <row r="41">
          <cell r="F41">
            <v>0</v>
          </cell>
        </row>
        <row r="44">
          <cell r="F44">
            <v>8778</v>
          </cell>
        </row>
        <row r="45">
          <cell r="F45">
            <v>1611</v>
          </cell>
        </row>
        <row r="46">
          <cell r="F46">
            <v>0</v>
          </cell>
        </row>
        <row r="47">
          <cell r="F47">
            <v>36888</v>
          </cell>
        </row>
        <row r="56">
          <cell r="F56">
            <v>132791</v>
          </cell>
        </row>
        <row r="58">
          <cell r="F58">
            <v>17614</v>
          </cell>
        </row>
        <row r="59">
          <cell r="F59">
            <v>4061.616</v>
          </cell>
        </row>
        <row r="69">
          <cell r="F69">
            <v>154919</v>
          </cell>
        </row>
        <row r="71">
          <cell r="F71">
            <v>4270.1139999999996</v>
          </cell>
        </row>
        <row r="72">
          <cell r="F72">
            <v>64332</v>
          </cell>
        </row>
        <row r="82">
          <cell r="F82">
            <v>15.844312840000121</v>
          </cell>
          <cell r="H82">
            <v>38.799999999999997</v>
          </cell>
          <cell r="J82">
            <v>40.417053600000003</v>
          </cell>
        </row>
        <row r="83">
          <cell r="F83">
            <v>53.420200000000023</v>
          </cell>
          <cell r="H83">
            <v>0</v>
          </cell>
          <cell r="J83">
            <v>0</v>
          </cell>
        </row>
        <row r="84">
          <cell r="F84">
            <v>12.820588362499805</v>
          </cell>
          <cell r="H84">
            <v>99.121042499999987</v>
          </cell>
          <cell r="J84">
            <v>99.2</v>
          </cell>
        </row>
      </sheetData>
      <sheetData sheetId="4">
        <row r="35">
          <cell r="E35">
            <v>27.235416666666666</v>
          </cell>
          <cell r="F35">
            <v>2.7777777777777776E-2</v>
          </cell>
          <cell r="G35">
            <v>2.1118055555555553</v>
          </cell>
          <cell r="H35">
            <v>0.625</v>
          </cell>
        </row>
      </sheetData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uil1"/>
      <sheetName val="Feuil3"/>
      <sheetName val="Feuil2"/>
      <sheetName val="Mat aux"/>
      <sheetName val="PMP-PR"/>
      <sheetName val="cons sp"/>
    </sheetNames>
    <sheetDataSet>
      <sheetData sheetId="0">
        <row r="40">
          <cell r="K40">
            <v>35635</v>
          </cell>
          <cell r="L40">
            <v>43649</v>
          </cell>
          <cell r="M40">
            <v>902</v>
          </cell>
          <cell r="N40">
            <v>7192</v>
          </cell>
          <cell r="O40">
            <v>5759</v>
          </cell>
          <cell r="Q40">
            <v>77489</v>
          </cell>
          <cell r="R40">
            <v>10808</v>
          </cell>
          <cell r="S40">
            <v>0</v>
          </cell>
          <cell r="T40">
            <v>4754</v>
          </cell>
          <cell r="AO40">
            <v>25718</v>
          </cell>
          <cell r="AP40">
            <v>28376</v>
          </cell>
          <cell r="AX40">
            <v>27312</v>
          </cell>
          <cell r="BB40">
            <v>27242</v>
          </cell>
          <cell r="BD40">
            <v>40742</v>
          </cell>
          <cell r="BE40">
            <v>41056</v>
          </cell>
          <cell r="BF40">
            <v>45888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GE-GARDE"/>
      <sheetName val="BU-1"/>
      <sheetName val="BU-2"/>
      <sheetName val="BU-3"/>
      <sheetName val="BU-4"/>
    </sheetNames>
    <sheetDataSet>
      <sheetData sheetId="0"/>
      <sheetData sheetId="1"/>
      <sheetData sheetId="2">
        <row r="10">
          <cell r="E10">
            <v>16359</v>
          </cell>
        </row>
        <row r="11">
          <cell r="E11">
            <v>91811</v>
          </cell>
        </row>
        <row r="15">
          <cell r="E15">
            <v>202582</v>
          </cell>
        </row>
        <row r="17">
          <cell r="E17">
            <v>52095</v>
          </cell>
        </row>
        <row r="18">
          <cell r="E18">
            <v>49393</v>
          </cell>
        </row>
        <row r="19">
          <cell r="E19">
            <v>8530.1810000000005</v>
          </cell>
        </row>
        <row r="20">
          <cell r="E20">
            <v>140228</v>
          </cell>
        </row>
        <row r="27">
          <cell r="E27">
            <v>112</v>
          </cell>
        </row>
        <row r="28">
          <cell r="E28">
            <v>2190.2109245681386</v>
          </cell>
        </row>
        <row r="29">
          <cell r="E29">
            <v>7558.403450431867</v>
          </cell>
        </row>
        <row r="30">
          <cell r="E30">
            <v>546</v>
          </cell>
        </row>
        <row r="31">
          <cell r="E31">
            <v>663</v>
          </cell>
        </row>
        <row r="32">
          <cell r="E32">
            <v>395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320</v>
          </cell>
        </row>
      </sheetData>
      <sheetData sheetId="3">
        <row r="11">
          <cell r="F11">
            <v>6722.3858749999981</v>
          </cell>
        </row>
        <row r="12">
          <cell r="F12">
            <v>1183</v>
          </cell>
        </row>
        <row r="13">
          <cell r="F13">
            <v>202754</v>
          </cell>
        </row>
        <row r="37">
          <cell r="F37">
            <v>89086</v>
          </cell>
        </row>
        <row r="38">
          <cell r="F38">
            <v>2725</v>
          </cell>
        </row>
        <row r="39">
          <cell r="F39">
            <v>11726</v>
          </cell>
        </row>
        <row r="40">
          <cell r="F40">
            <v>5233</v>
          </cell>
        </row>
        <row r="41">
          <cell r="F41">
            <v>0</v>
          </cell>
        </row>
        <row r="44">
          <cell r="F44">
            <v>9498</v>
          </cell>
        </row>
        <row r="45">
          <cell r="F45">
            <v>1514</v>
          </cell>
        </row>
        <row r="46">
          <cell r="F46">
            <v>26.5</v>
          </cell>
        </row>
        <row r="47">
          <cell r="F47">
            <v>42906</v>
          </cell>
        </row>
        <row r="56">
          <cell r="F56">
            <v>134675</v>
          </cell>
        </row>
        <row r="58">
          <cell r="F58">
            <v>18290</v>
          </cell>
        </row>
        <row r="59">
          <cell r="F59">
            <v>4316.92</v>
          </cell>
        </row>
        <row r="69">
          <cell r="F69">
            <v>150659</v>
          </cell>
        </row>
        <row r="71">
          <cell r="F71">
            <v>4186.7610000000004</v>
          </cell>
        </row>
        <row r="72">
          <cell r="F72">
            <v>64886</v>
          </cell>
        </row>
        <row r="82">
          <cell r="F82">
            <v>14.227259240000116</v>
          </cell>
          <cell r="H82">
            <v>40</v>
          </cell>
          <cell r="J82">
            <v>39.432718919999999</v>
          </cell>
        </row>
        <row r="83">
          <cell r="F83">
            <v>53.420200000000023</v>
          </cell>
          <cell r="H83">
            <v>0</v>
          </cell>
          <cell r="J83">
            <v>0</v>
          </cell>
        </row>
        <row r="84">
          <cell r="F84">
            <v>12.74163086249979</v>
          </cell>
          <cell r="H84">
            <v>84.344564999999989</v>
          </cell>
          <cell r="J84">
            <v>86.6</v>
          </cell>
        </row>
      </sheetData>
      <sheetData sheetId="4">
        <row r="35">
          <cell r="E35">
            <v>29.992361111111109</v>
          </cell>
          <cell r="F35">
            <v>3.5416666666666666E-2</v>
          </cell>
          <cell r="G35">
            <v>0</v>
          </cell>
          <cell r="H35">
            <v>0.97222222222222221</v>
          </cell>
        </row>
      </sheetData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uil1"/>
      <sheetName val="Feuil3"/>
      <sheetName val="Feuil2"/>
      <sheetName val="Mat aux"/>
      <sheetName val="PMP-PR"/>
      <sheetName val="cons sp"/>
    </sheetNames>
    <sheetDataSet>
      <sheetData sheetId="0">
        <row r="40">
          <cell r="K40">
            <v>35989</v>
          </cell>
          <cell r="L40">
            <v>45225</v>
          </cell>
          <cell r="M40">
            <v>212</v>
          </cell>
          <cell r="N40">
            <v>2725</v>
          </cell>
          <cell r="O40">
            <v>5233</v>
          </cell>
          <cell r="Q40">
            <v>76529</v>
          </cell>
          <cell r="R40">
            <v>11726</v>
          </cell>
          <cell r="S40">
            <v>0</v>
          </cell>
          <cell r="T40">
            <v>1129</v>
          </cell>
          <cell r="AO40">
            <v>22645</v>
          </cell>
          <cell r="AP40">
            <v>26748</v>
          </cell>
          <cell r="AX40">
            <v>21705</v>
          </cell>
          <cell r="BB40">
            <v>21595</v>
          </cell>
          <cell r="BD40">
            <v>45765</v>
          </cell>
          <cell r="BE40">
            <v>45479</v>
          </cell>
          <cell r="BF40">
            <v>37160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GE-GARDE"/>
      <sheetName val="BU-1"/>
      <sheetName val="BU-2"/>
      <sheetName val="BU-3"/>
      <sheetName val="BU-4"/>
    </sheetNames>
    <sheetDataSet>
      <sheetData sheetId="0"/>
      <sheetData sheetId="1"/>
      <sheetData sheetId="2">
        <row r="10">
          <cell r="E10">
            <v>16192</v>
          </cell>
        </row>
        <row r="11">
          <cell r="E11">
            <v>88554</v>
          </cell>
        </row>
        <row r="15">
          <cell r="E15">
            <v>179583</v>
          </cell>
        </row>
        <row r="17">
          <cell r="E17">
            <v>45618</v>
          </cell>
        </row>
        <row r="18">
          <cell r="E18">
            <v>43392</v>
          </cell>
        </row>
        <row r="19">
          <cell r="E19">
            <v>8351.875</v>
          </cell>
        </row>
        <row r="20">
          <cell r="E20">
            <v>138023</v>
          </cell>
        </row>
        <row r="27">
          <cell r="E27">
            <v>0</v>
          </cell>
        </row>
        <row r="28">
          <cell r="E28">
            <v>2959.8679410422901</v>
          </cell>
        </row>
        <row r="29">
          <cell r="E29">
            <v>6559.5640000000003</v>
          </cell>
        </row>
        <row r="30">
          <cell r="E30">
            <v>377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129</v>
          </cell>
        </row>
      </sheetData>
      <sheetData sheetId="3">
        <row r="11">
          <cell r="F11">
            <v>6672.5676250000015</v>
          </cell>
        </row>
        <row r="12">
          <cell r="F12">
            <v>1085</v>
          </cell>
        </row>
        <row r="13">
          <cell r="F13">
            <v>178983</v>
          </cell>
        </row>
        <row r="37">
          <cell r="F37">
            <v>86767</v>
          </cell>
        </row>
        <row r="38">
          <cell r="F38">
            <v>1787</v>
          </cell>
        </row>
        <row r="39">
          <cell r="F39">
            <v>10060</v>
          </cell>
        </row>
        <row r="40">
          <cell r="F40">
            <v>5100</v>
          </cell>
        </row>
        <row r="41">
          <cell r="F41">
            <v>0</v>
          </cell>
        </row>
        <row r="44">
          <cell r="F44">
            <v>8700</v>
          </cell>
        </row>
        <row r="45">
          <cell r="F45">
            <v>1136</v>
          </cell>
        </row>
        <row r="46">
          <cell r="F46">
            <v>0</v>
          </cell>
        </row>
        <row r="47">
          <cell r="F47">
            <v>39510</v>
          </cell>
        </row>
        <row r="56">
          <cell r="F56">
            <v>132794</v>
          </cell>
        </row>
        <row r="58">
          <cell r="F58">
            <v>19069</v>
          </cell>
        </row>
        <row r="59">
          <cell r="F59">
            <v>4156.9530000000004</v>
          </cell>
        </row>
        <row r="69">
          <cell r="F69">
            <v>133365</v>
          </cell>
        </row>
        <row r="71">
          <cell r="F71">
            <v>4194.9219999999996</v>
          </cell>
        </row>
        <row r="72">
          <cell r="F72">
            <v>73075</v>
          </cell>
        </row>
        <row r="82">
          <cell r="F82">
            <v>14.794540320000117</v>
          </cell>
          <cell r="H82">
            <v>36.76</v>
          </cell>
          <cell r="J82">
            <v>40.038188399999996</v>
          </cell>
        </row>
        <row r="83">
          <cell r="F83">
            <v>53.420200000000023</v>
          </cell>
          <cell r="H83">
            <v>0</v>
          </cell>
          <cell r="J83">
            <v>0</v>
          </cell>
        </row>
        <row r="84">
          <cell r="F84">
            <v>10.486195862499784</v>
          </cell>
          <cell r="H84">
            <v>90.348632499999994</v>
          </cell>
          <cell r="J84">
            <v>88</v>
          </cell>
        </row>
      </sheetData>
      <sheetData sheetId="4">
        <row r="35">
          <cell r="E35">
            <v>30</v>
          </cell>
          <cell r="F35">
            <v>0</v>
          </cell>
          <cell r="G35">
            <v>0</v>
          </cell>
          <cell r="H35">
            <v>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GE-GARDE"/>
      <sheetName val="BU-1"/>
      <sheetName val="BU-2"/>
      <sheetName val="BU-3"/>
      <sheetName val="BU-4"/>
    </sheetNames>
    <sheetDataSet>
      <sheetData sheetId="0"/>
      <sheetData sheetId="1"/>
      <sheetData sheetId="2">
        <row r="10">
          <cell r="E10">
            <v>9124</v>
          </cell>
        </row>
        <row r="11">
          <cell r="E11">
            <v>49642.1</v>
          </cell>
        </row>
        <row r="15">
          <cell r="E15">
            <v>137759</v>
          </cell>
        </row>
        <row r="17">
          <cell r="E17">
            <v>33871.65</v>
          </cell>
        </row>
        <row r="18">
          <cell r="E18">
            <v>30946</v>
          </cell>
        </row>
        <row r="19">
          <cell r="E19">
            <v>4764</v>
          </cell>
        </row>
        <row r="27">
          <cell r="E27">
            <v>419</v>
          </cell>
        </row>
        <row r="28">
          <cell r="E28">
            <v>850.3877472178475</v>
          </cell>
        </row>
        <row r="29">
          <cell r="E29">
            <v>4871.0497527821517</v>
          </cell>
        </row>
        <row r="30">
          <cell r="E30">
            <v>0</v>
          </cell>
        </row>
        <row r="31">
          <cell r="E31">
            <v>172</v>
          </cell>
        </row>
        <row r="32">
          <cell r="E32">
            <v>2784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1154</v>
          </cell>
        </row>
      </sheetData>
      <sheetData sheetId="3">
        <row r="11">
          <cell r="F11">
            <v>3821.5619999999999</v>
          </cell>
        </row>
        <row r="12">
          <cell r="F12">
            <v>1986</v>
          </cell>
        </row>
        <row r="13">
          <cell r="F13">
            <v>138359.15</v>
          </cell>
        </row>
        <row r="37">
          <cell r="F37">
            <v>50980.1</v>
          </cell>
        </row>
        <row r="38">
          <cell r="F38">
            <v>1274</v>
          </cell>
        </row>
        <row r="39">
          <cell r="F39">
            <v>8552</v>
          </cell>
        </row>
        <row r="41">
          <cell r="F41">
            <v>0</v>
          </cell>
        </row>
        <row r="44">
          <cell r="F44">
            <v>5650</v>
          </cell>
        </row>
        <row r="45">
          <cell r="F45">
            <v>1250</v>
          </cell>
        </row>
        <row r="46">
          <cell r="F46">
            <v>0</v>
          </cell>
        </row>
        <row r="47">
          <cell r="F47">
            <v>22879</v>
          </cell>
        </row>
        <row r="56">
          <cell r="F56">
            <v>78367.7</v>
          </cell>
        </row>
        <row r="58">
          <cell r="F58">
            <v>10587</v>
          </cell>
        </row>
        <row r="59">
          <cell r="F59">
            <v>2440.6570000000002</v>
          </cell>
        </row>
        <row r="69">
          <cell r="F69">
            <v>104487.5</v>
          </cell>
        </row>
        <row r="71">
          <cell r="F71">
            <v>2323.3429999999998</v>
          </cell>
        </row>
        <row r="72">
          <cell r="F72">
            <v>37186</v>
          </cell>
        </row>
        <row r="82">
          <cell r="F82">
            <v>10.121699080000113</v>
          </cell>
          <cell r="H82">
            <v>19.465</v>
          </cell>
          <cell r="J82">
            <v>26.590618320000001</v>
          </cell>
        </row>
        <row r="83">
          <cell r="F83">
            <v>53.420200000000023</v>
          </cell>
          <cell r="H83">
            <v>0</v>
          </cell>
          <cell r="J83">
            <v>0</v>
          </cell>
        </row>
        <row r="84">
          <cell r="F84">
            <v>13.57</v>
          </cell>
          <cell r="H84">
            <v>50.000040562499997</v>
          </cell>
          <cell r="J84">
            <v>56.510139499999994</v>
          </cell>
        </row>
      </sheetData>
      <sheetData sheetId="4">
        <row r="35">
          <cell r="E35">
            <v>15.770833333333334</v>
          </cell>
          <cell r="F35">
            <v>0</v>
          </cell>
          <cell r="G35">
            <v>0</v>
          </cell>
          <cell r="H35">
            <v>15</v>
          </cell>
        </row>
      </sheetData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uil1"/>
      <sheetName val="Feuil3"/>
      <sheetName val="Feuil2"/>
      <sheetName val="Mat aux"/>
      <sheetName val="PMP-PR"/>
      <sheetName val="cons sp"/>
    </sheetNames>
    <sheetDataSet>
      <sheetData sheetId="0">
        <row r="40">
          <cell r="K40">
            <v>35565</v>
          </cell>
          <cell r="L40">
            <v>47257</v>
          </cell>
          <cell r="M40">
            <v>0</v>
          </cell>
          <cell r="N40">
            <v>1787</v>
          </cell>
          <cell r="O40">
            <v>5100</v>
          </cell>
          <cell r="Q40">
            <v>79489</v>
          </cell>
          <cell r="R40">
            <v>10060</v>
          </cell>
          <cell r="S40">
            <v>0</v>
          </cell>
          <cell r="T40">
            <v>160</v>
          </cell>
          <cell r="AO40">
            <v>23104</v>
          </cell>
          <cell r="AP40">
            <v>20288</v>
          </cell>
          <cell r="AX40">
            <v>15493</v>
          </cell>
          <cell r="BB40">
            <v>15423</v>
          </cell>
          <cell r="BD40">
            <v>29392</v>
          </cell>
          <cell r="BE40">
            <v>41456</v>
          </cell>
          <cell r="BF40">
            <v>57160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GE-GARDE"/>
      <sheetName val="BU-1"/>
      <sheetName val="BU-2"/>
      <sheetName val="BU-3"/>
      <sheetName val="BU-4"/>
    </sheetNames>
    <sheetDataSet>
      <sheetData sheetId="0"/>
      <sheetData sheetId="1"/>
      <sheetData sheetId="2">
        <row r="10">
          <cell r="E10">
            <v>16375</v>
          </cell>
        </row>
        <row r="11">
          <cell r="E11">
            <v>91573</v>
          </cell>
        </row>
        <row r="15">
          <cell r="E15">
            <v>186204</v>
          </cell>
        </row>
        <row r="17">
          <cell r="E17">
            <v>51651</v>
          </cell>
        </row>
        <row r="18">
          <cell r="E18">
            <v>48859</v>
          </cell>
        </row>
        <row r="19">
          <cell r="E19">
            <v>8535.99</v>
          </cell>
        </row>
        <row r="20">
          <cell r="E20">
            <v>141042</v>
          </cell>
        </row>
        <row r="27">
          <cell r="E27">
            <v>83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253</v>
          </cell>
        </row>
        <row r="31">
          <cell r="E31">
            <v>0</v>
          </cell>
        </row>
        <row r="32">
          <cell r="E32">
            <v>262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900</v>
          </cell>
        </row>
      </sheetData>
      <sheetData sheetId="3">
        <row r="11">
          <cell r="F11">
            <v>6742.6100000000024</v>
          </cell>
        </row>
        <row r="12">
          <cell r="F12">
            <v>1164</v>
          </cell>
        </row>
        <row r="13">
          <cell r="F13">
            <v>186131</v>
          </cell>
        </row>
        <row r="37">
          <cell r="F37">
            <v>88266</v>
          </cell>
        </row>
        <row r="38">
          <cell r="F38">
            <v>3307</v>
          </cell>
        </row>
        <row r="39">
          <cell r="F39">
            <v>10054</v>
          </cell>
        </row>
        <row r="40">
          <cell r="F40">
            <v>5030</v>
          </cell>
        </row>
        <row r="41">
          <cell r="F41">
            <v>0</v>
          </cell>
        </row>
        <row r="44">
          <cell r="F44">
            <v>8942</v>
          </cell>
        </row>
        <row r="45">
          <cell r="F45">
            <v>1563</v>
          </cell>
        </row>
        <row r="46">
          <cell r="F46">
            <v>0</v>
          </cell>
        </row>
        <row r="47">
          <cell r="F47">
            <v>42012</v>
          </cell>
        </row>
        <row r="56">
          <cell r="F56">
            <v>135112</v>
          </cell>
        </row>
        <row r="58">
          <cell r="F58">
            <v>19374</v>
          </cell>
        </row>
        <row r="59">
          <cell r="F59">
            <v>3663.3029999999999</v>
          </cell>
        </row>
        <row r="69">
          <cell r="F69">
            <v>134480</v>
          </cell>
        </row>
        <row r="71">
          <cell r="F71">
            <v>4872.6869999999999</v>
          </cell>
        </row>
        <row r="72">
          <cell r="F72">
            <v>68605</v>
          </cell>
        </row>
        <row r="82">
          <cell r="F82">
            <v>14.794540320000117</v>
          </cell>
          <cell r="H82">
            <v>36.76</v>
          </cell>
          <cell r="J82">
            <v>41.432841240000002</v>
          </cell>
        </row>
        <row r="83">
          <cell r="F83">
            <v>53.420200000000023</v>
          </cell>
          <cell r="H83">
            <v>0</v>
          </cell>
          <cell r="J83">
            <v>0</v>
          </cell>
        </row>
        <row r="84">
          <cell r="F84">
            <v>10.486195862499784</v>
          </cell>
          <cell r="H84">
            <v>82.744678750000006</v>
          </cell>
          <cell r="J84">
            <v>88</v>
          </cell>
        </row>
      </sheetData>
      <sheetData sheetId="4">
        <row r="35">
          <cell r="E35">
            <v>30.159722222222225</v>
          </cell>
          <cell r="F35">
            <v>0</v>
          </cell>
          <cell r="G35">
            <v>0.21805555555555556</v>
          </cell>
          <cell r="H35">
            <v>0.75</v>
          </cell>
        </row>
      </sheetData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uil1"/>
      <sheetName val="Feuil4"/>
      <sheetName val="Feuil3"/>
      <sheetName val="Feuil2"/>
      <sheetName val="Mat aux"/>
      <sheetName val="PMP-PR"/>
      <sheetName val="cons sp"/>
    </sheetNames>
    <sheetDataSet>
      <sheetData sheetId="0">
        <row r="40">
          <cell r="K40">
            <v>36055</v>
          </cell>
          <cell r="L40">
            <v>46180</v>
          </cell>
          <cell r="M40">
            <v>0</v>
          </cell>
          <cell r="N40">
            <v>3307</v>
          </cell>
          <cell r="O40">
            <v>5030</v>
          </cell>
          <cell r="Q40">
            <v>80320</v>
          </cell>
          <cell r="R40">
            <v>10054</v>
          </cell>
          <cell r="S40">
            <v>0</v>
          </cell>
          <cell r="T40">
            <v>366</v>
          </cell>
          <cell r="AO40">
            <v>26027</v>
          </cell>
          <cell r="AP40">
            <v>22832</v>
          </cell>
          <cell r="AX40">
            <v>20526</v>
          </cell>
          <cell r="BB40">
            <v>20416</v>
          </cell>
          <cell r="BD40">
            <v>57122</v>
          </cell>
          <cell r="BE40">
            <v>41835</v>
          </cell>
          <cell r="BF40">
            <v>32076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GE-GARDE"/>
      <sheetName val="BU-1"/>
      <sheetName val="BU-2"/>
      <sheetName val="BU-3"/>
      <sheetName val="BU-4"/>
      <sheetName val="Evénements"/>
    </sheetNames>
    <sheetDataSet>
      <sheetData sheetId="0"/>
      <sheetData sheetId="1"/>
      <sheetData sheetId="2">
        <row r="10">
          <cell r="E10">
            <v>13375</v>
          </cell>
        </row>
        <row r="11">
          <cell r="E11">
            <v>75109</v>
          </cell>
        </row>
        <row r="15">
          <cell r="E15">
            <v>138652</v>
          </cell>
        </row>
        <row r="17">
          <cell r="E17">
            <v>44664</v>
          </cell>
        </row>
        <row r="18">
          <cell r="E18">
            <v>41965</v>
          </cell>
        </row>
        <row r="19">
          <cell r="E19">
            <v>7062.3779999999997</v>
          </cell>
        </row>
        <row r="20">
          <cell r="E20">
            <v>120533</v>
          </cell>
        </row>
        <row r="27">
          <cell r="E27">
            <v>27.62</v>
          </cell>
        </row>
        <row r="28">
          <cell r="E28">
            <v>2183.2617593754121</v>
          </cell>
        </row>
        <row r="29">
          <cell r="E29">
            <v>4933.2582406245774</v>
          </cell>
        </row>
        <row r="30">
          <cell r="E30">
            <v>362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4822</v>
          </cell>
        </row>
      </sheetData>
      <sheetData sheetId="3">
        <row r="11">
          <cell r="F11">
            <v>6286.1</v>
          </cell>
        </row>
        <row r="12">
          <cell r="F12">
            <v>1288</v>
          </cell>
        </row>
        <row r="13">
          <cell r="F13">
            <v>138652</v>
          </cell>
        </row>
        <row r="37">
          <cell r="F37">
            <v>73189</v>
          </cell>
        </row>
        <row r="38">
          <cell r="F38">
            <v>1900</v>
          </cell>
        </row>
        <row r="39">
          <cell r="F39">
            <v>9226</v>
          </cell>
        </row>
        <row r="40">
          <cell r="F40">
            <v>4690</v>
          </cell>
        </row>
        <row r="41">
          <cell r="F41">
            <v>0</v>
          </cell>
        </row>
        <row r="44">
          <cell r="F44">
            <v>20167</v>
          </cell>
        </row>
        <row r="45">
          <cell r="F45">
            <v>1376</v>
          </cell>
        </row>
        <row r="46">
          <cell r="F46">
            <v>0</v>
          </cell>
        </row>
        <row r="47">
          <cell r="F47">
            <v>34949</v>
          </cell>
        </row>
        <row r="56">
          <cell r="F56">
            <v>111021</v>
          </cell>
        </row>
        <row r="58">
          <cell r="F58">
            <v>15642</v>
          </cell>
        </row>
        <row r="59">
          <cell r="F59">
            <v>4014.5929999999998</v>
          </cell>
        </row>
        <row r="69">
          <cell r="F69">
            <v>93988</v>
          </cell>
        </row>
        <row r="71">
          <cell r="F71">
            <v>3047.7849999999999</v>
          </cell>
        </row>
        <row r="72">
          <cell r="F72">
            <v>54891</v>
          </cell>
        </row>
        <row r="82">
          <cell r="F82">
            <v>13.248595080000083</v>
          </cell>
          <cell r="H82">
            <v>21</v>
          </cell>
          <cell r="J82">
            <v>19.385031120000001</v>
          </cell>
        </row>
        <row r="83">
          <cell r="F83">
            <v>56.490200000000002</v>
          </cell>
          <cell r="H83">
            <v>0</v>
          </cell>
          <cell r="J83">
            <v>0</v>
          </cell>
        </row>
        <row r="84">
          <cell r="F84">
            <v>13.4774902374999</v>
          </cell>
          <cell r="H84">
            <v>45.6237225</v>
          </cell>
          <cell r="J84">
            <v>47.3</v>
          </cell>
        </row>
      </sheetData>
      <sheetData sheetId="4">
        <row r="35">
          <cell r="E35">
            <v>30.860416666666666</v>
          </cell>
          <cell r="F35">
            <v>0</v>
          </cell>
          <cell r="G35">
            <v>0</v>
          </cell>
          <cell r="H35">
            <v>0.13958333333333334</v>
          </cell>
        </row>
      </sheetData>
      <sheetData sheetId="5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uil1"/>
      <sheetName val="Feuil3"/>
      <sheetName val="Feuil2"/>
      <sheetName val="Mat aux"/>
      <sheetName val="PMP-PR"/>
      <sheetName val="cons sp"/>
    </sheetNames>
    <sheetDataSet>
      <sheetData sheetId="0">
        <row r="40">
          <cell r="K40">
            <v>30208</v>
          </cell>
          <cell r="L40">
            <v>38012</v>
          </cell>
          <cell r="M40">
            <v>228</v>
          </cell>
          <cell r="N40">
            <v>1900</v>
          </cell>
          <cell r="O40">
            <v>4690</v>
          </cell>
          <cell r="Q40">
            <v>65424</v>
          </cell>
          <cell r="R40">
            <v>9226</v>
          </cell>
          <cell r="S40">
            <v>0</v>
          </cell>
          <cell r="T40">
            <v>388</v>
          </cell>
          <cell r="AO40">
            <v>22929</v>
          </cell>
          <cell r="AP40">
            <v>19036</v>
          </cell>
          <cell r="AX40">
            <v>21682</v>
          </cell>
          <cell r="BB40">
            <v>21572</v>
          </cell>
          <cell r="BD40">
            <v>35762</v>
          </cell>
          <cell r="BE40">
            <v>37434</v>
          </cell>
          <cell r="BF40">
            <v>38216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GE-GARDE"/>
      <sheetName val="BU-1"/>
      <sheetName val="BU-2"/>
      <sheetName val="BU-3"/>
      <sheetName val="BU-4"/>
      <sheetName val="Evénements"/>
    </sheetNames>
    <sheetDataSet>
      <sheetData sheetId="0"/>
      <sheetData sheetId="1"/>
      <sheetData sheetId="2">
        <row r="10">
          <cell r="E10">
            <v>630</v>
          </cell>
        </row>
        <row r="11">
          <cell r="E11">
            <v>5240</v>
          </cell>
        </row>
        <row r="15">
          <cell r="E15">
            <v>56485</v>
          </cell>
        </row>
        <row r="17">
          <cell r="E17">
            <v>15136</v>
          </cell>
        </row>
        <row r="18">
          <cell r="E18">
            <v>13000</v>
          </cell>
        </row>
        <row r="19">
          <cell r="E19">
            <v>1021.588</v>
          </cell>
        </row>
        <row r="20">
          <cell r="E20">
            <v>18579</v>
          </cell>
        </row>
        <row r="27">
          <cell r="E27">
            <v>853.31000000000017</v>
          </cell>
        </row>
        <row r="28">
          <cell r="E28">
            <v>53.086903648090612</v>
          </cell>
        </row>
        <row r="29">
          <cell r="E29">
            <v>154.53309635190473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5101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6821</v>
          </cell>
        </row>
      </sheetData>
      <sheetData sheetId="3">
        <row r="11">
          <cell r="F11">
            <v>1275.6900000000003</v>
          </cell>
        </row>
        <row r="12">
          <cell r="F12">
            <v>1440</v>
          </cell>
        </row>
        <row r="13">
          <cell r="F13">
            <v>57720</v>
          </cell>
        </row>
        <row r="37">
          <cell r="F37">
            <v>3630</v>
          </cell>
        </row>
        <row r="38">
          <cell r="F38">
            <v>5606</v>
          </cell>
        </row>
        <row r="39">
          <cell r="F39">
            <v>1956</v>
          </cell>
        </row>
        <row r="40">
          <cell r="F40">
            <v>1903</v>
          </cell>
        </row>
        <row r="41">
          <cell r="F41">
            <v>971</v>
          </cell>
        </row>
        <row r="44">
          <cell r="F44">
            <v>2888</v>
          </cell>
        </row>
        <row r="45">
          <cell r="F45">
            <v>1106</v>
          </cell>
        </row>
        <row r="46">
          <cell r="F46">
            <v>0</v>
          </cell>
        </row>
        <row r="47">
          <cell r="F47">
            <v>2403</v>
          </cell>
        </row>
        <row r="56">
          <cell r="F56">
            <v>9389</v>
          </cell>
        </row>
        <row r="58">
          <cell r="F58">
            <v>1222</v>
          </cell>
        </row>
        <row r="59">
          <cell r="F59">
            <v>542.77800000000002</v>
          </cell>
        </row>
        <row r="69">
          <cell r="F69">
            <v>41613</v>
          </cell>
        </row>
        <row r="71">
          <cell r="F71">
            <v>478.81</v>
          </cell>
        </row>
        <row r="72">
          <cell r="F72">
            <v>3857</v>
          </cell>
        </row>
        <row r="82">
          <cell r="H82">
            <v>0</v>
          </cell>
          <cell r="J82">
            <v>6.6794649599999989</v>
          </cell>
        </row>
        <row r="83">
          <cell r="H83">
            <v>0</v>
          </cell>
          <cell r="J83">
            <v>0</v>
          </cell>
        </row>
        <row r="84">
          <cell r="H84">
            <v>17.374045624999997</v>
          </cell>
          <cell r="J84">
            <v>17</v>
          </cell>
        </row>
      </sheetData>
      <sheetData sheetId="4">
        <row r="35">
          <cell r="E35">
            <v>2.1777777777777776</v>
          </cell>
          <cell r="F35">
            <v>0</v>
          </cell>
          <cell r="G35">
            <v>0</v>
          </cell>
          <cell r="H35">
            <v>26.822222222222223</v>
          </cell>
        </row>
      </sheetData>
      <sheetData sheetId="5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uil1"/>
      <sheetName val="Feuil3"/>
      <sheetName val="Feuil2"/>
      <sheetName val="Mat aux"/>
      <sheetName val="PMP-PR"/>
      <sheetName val="cons sp"/>
    </sheetNames>
    <sheetDataSet>
      <sheetData sheetId="0">
        <row r="40">
          <cell r="K40">
            <v>3174</v>
          </cell>
          <cell r="L40">
            <v>1937</v>
          </cell>
          <cell r="M40">
            <v>0</v>
          </cell>
          <cell r="N40">
            <v>5606</v>
          </cell>
          <cell r="O40">
            <v>1903</v>
          </cell>
          <cell r="Q40">
            <v>9772</v>
          </cell>
          <cell r="R40">
            <v>1956</v>
          </cell>
          <cell r="S40">
            <v>710</v>
          </cell>
          <cell r="T40">
            <v>182</v>
          </cell>
          <cell r="AO40">
            <v>7265</v>
          </cell>
          <cell r="AP40">
            <v>5735</v>
          </cell>
          <cell r="AX40">
            <v>10527</v>
          </cell>
          <cell r="BB40">
            <v>10287</v>
          </cell>
          <cell r="BD40">
            <v>5649</v>
          </cell>
          <cell r="BE40">
            <v>1538</v>
          </cell>
          <cell r="BF40">
            <v>9271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GE-GARDE"/>
      <sheetName val="BU-1"/>
      <sheetName val="BU-2"/>
      <sheetName val="BU-3"/>
      <sheetName val="BU-4"/>
      <sheetName val="Evénements"/>
    </sheetNames>
    <sheetDataSet>
      <sheetData sheetId="0"/>
      <sheetData sheetId="1"/>
      <sheetData sheetId="2">
        <row r="10">
          <cell r="E10">
            <v>8623</v>
          </cell>
        </row>
        <row r="11">
          <cell r="E11">
            <v>42865</v>
          </cell>
        </row>
        <row r="15">
          <cell r="E15">
            <v>96029</v>
          </cell>
        </row>
        <row r="17">
          <cell r="E17">
            <v>36399</v>
          </cell>
        </row>
        <row r="18">
          <cell r="E18">
            <v>33271</v>
          </cell>
        </row>
        <row r="19">
          <cell r="E19">
            <v>3633.241</v>
          </cell>
        </row>
        <row r="20">
          <cell r="E20">
            <v>73282</v>
          </cell>
        </row>
        <row r="27">
          <cell r="E27">
            <v>822.66</v>
          </cell>
        </row>
        <row r="28">
          <cell r="E28">
            <v>2360.8755377781108</v>
          </cell>
        </row>
        <row r="29">
          <cell r="E29">
            <v>3501.5344622218636</v>
          </cell>
        </row>
        <row r="30">
          <cell r="E30">
            <v>2478</v>
          </cell>
        </row>
        <row r="31">
          <cell r="E31">
            <v>288</v>
          </cell>
        </row>
        <row r="32">
          <cell r="E32">
            <v>3692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1157</v>
          </cell>
        </row>
      </sheetData>
      <sheetData sheetId="3">
        <row r="11">
          <cell r="F11">
            <v>3583.2500000000064</v>
          </cell>
        </row>
        <row r="12">
          <cell r="F12">
            <v>1546</v>
          </cell>
        </row>
        <row r="13">
          <cell r="F13">
            <v>95514</v>
          </cell>
        </row>
        <row r="37">
          <cell r="F37">
            <v>41271</v>
          </cell>
        </row>
        <row r="38">
          <cell r="F38">
            <v>1224</v>
          </cell>
        </row>
        <row r="39">
          <cell r="F39">
            <v>5757</v>
          </cell>
        </row>
        <row r="40">
          <cell r="F40">
            <v>2504</v>
          </cell>
        </row>
        <row r="41">
          <cell r="F41">
            <v>373</v>
          </cell>
        </row>
        <row r="44">
          <cell r="F44">
            <v>12617</v>
          </cell>
        </row>
        <row r="45">
          <cell r="F45">
            <v>1119</v>
          </cell>
        </row>
        <row r="46">
          <cell r="F46">
            <v>0</v>
          </cell>
        </row>
        <row r="47">
          <cell r="F47">
            <v>23224</v>
          </cell>
        </row>
        <row r="56">
          <cell r="F56">
            <v>69621</v>
          </cell>
        </row>
        <row r="58">
          <cell r="F58">
            <v>9050</v>
          </cell>
        </row>
        <row r="59">
          <cell r="F59">
            <v>2035.172</v>
          </cell>
        </row>
        <row r="69">
          <cell r="F69">
            <v>58742</v>
          </cell>
        </row>
        <row r="71">
          <cell r="F71">
            <v>1598.069</v>
          </cell>
        </row>
        <row r="72">
          <cell r="F72">
            <v>24414</v>
          </cell>
        </row>
        <row r="82">
          <cell r="H82">
            <v>17</v>
          </cell>
          <cell r="J82">
            <v>14.553427559999999</v>
          </cell>
        </row>
        <row r="83">
          <cell r="H83">
            <v>153</v>
          </cell>
          <cell r="J83">
            <v>155.32</v>
          </cell>
        </row>
        <row r="84">
          <cell r="H84">
            <v>17.374045624999997</v>
          </cell>
          <cell r="J84">
            <v>19.600000000000001</v>
          </cell>
        </row>
      </sheetData>
      <sheetData sheetId="4">
        <row r="35">
          <cell r="E35">
            <v>14.402083333333334</v>
          </cell>
          <cell r="F35">
            <v>0</v>
          </cell>
          <cell r="G35">
            <v>0.18124999999999999</v>
          </cell>
          <cell r="H35">
            <v>16.416666666666668</v>
          </cell>
        </row>
      </sheetData>
      <sheetData sheetId="5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uil1"/>
      <sheetName val="Feuil3"/>
      <sheetName val="Feuil2"/>
      <sheetName val="Mat aux"/>
      <sheetName val="PMP-PR"/>
      <sheetName val="cons sp"/>
    </sheetNames>
    <sheetDataSet>
      <sheetData sheetId="0">
        <row r="40">
          <cell r="K40">
            <v>16621</v>
          </cell>
          <cell r="L40">
            <v>14819</v>
          </cell>
          <cell r="M40">
            <v>3228</v>
          </cell>
          <cell r="N40">
            <v>1224</v>
          </cell>
          <cell r="O40">
            <v>2504</v>
          </cell>
          <cell r="Q40">
            <v>28679</v>
          </cell>
          <cell r="R40">
            <v>5757</v>
          </cell>
          <cell r="S40">
            <v>0</v>
          </cell>
          <cell r="T40">
            <v>3960</v>
          </cell>
          <cell r="AX40">
            <v>20009</v>
          </cell>
          <cell r="BB40">
            <v>20387</v>
          </cell>
          <cell r="BD40">
            <v>35948</v>
          </cell>
          <cell r="BE40">
            <v>30882</v>
          </cell>
          <cell r="BF40">
            <v>1130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GE-GARDE"/>
      <sheetName val="BU-1"/>
      <sheetName val="BU-2"/>
      <sheetName val="BU-3"/>
      <sheetName val="BU-4"/>
      <sheetName val="Evénements"/>
    </sheetNames>
    <sheetDataSet>
      <sheetData sheetId="0"/>
      <sheetData sheetId="1"/>
      <sheetData sheetId="2">
        <row r="10">
          <cell r="E10">
            <v>13827</v>
          </cell>
        </row>
        <row r="11">
          <cell r="E11">
            <v>81627</v>
          </cell>
        </row>
        <row r="15">
          <cell r="E15">
            <v>160896</v>
          </cell>
        </row>
        <row r="17">
          <cell r="E17">
            <v>44519</v>
          </cell>
        </row>
        <row r="18">
          <cell r="E18">
            <v>42484</v>
          </cell>
        </row>
        <row r="19">
          <cell r="E19">
            <v>7475.46</v>
          </cell>
        </row>
        <row r="20">
          <cell r="E20">
            <v>132098</v>
          </cell>
        </row>
        <row r="27">
          <cell r="E27">
            <v>315.7600000000009</v>
          </cell>
        </row>
        <row r="28">
          <cell r="E28">
            <v>2636.3216552898139</v>
          </cell>
        </row>
        <row r="29">
          <cell r="E29">
            <v>5053.9683447101943</v>
          </cell>
        </row>
        <row r="30">
          <cell r="E30">
            <v>1291</v>
          </cell>
        </row>
        <row r="31">
          <cell r="E31">
            <v>830</v>
          </cell>
        </row>
        <row r="32">
          <cell r="E32">
            <v>617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506</v>
          </cell>
        </row>
      </sheetData>
      <sheetData sheetId="3">
        <row r="11">
          <cell r="F11">
            <v>6452.4699999999975</v>
          </cell>
        </row>
        <row r="12">
          <cell r="F12">
            <v>818</v>
          </cell>
        </row>
        <row r="13">
          <cell r="F13">
            <v>160651</v>
          </cell>
        </row>
        <row r="37">
          <cell r="F37">
            <v>80020</v>
          </cell>
        </row>
        <row r="38">
          <cell r="F38">
            <v>4674</v>
          </cell>
        </row>
        <row r="39">
          <cell r="F39">
            <v>12720</v>
          </cell>
        </row>
        <row r="40">
          <cell r="F40">
            <v>5675</v>
          </cell>
        </row>
        <row r="41">
          <cell r="F41">
            <v>0</v>
          </cell>
        </row>
        <row r="44">
          <cell r="F44">
            <v>21697</v>
          </cell>
        </row>
        <row r="45">
          <cell r="F45">
            <v>1245</v>
          </cell>
        </row>
        <row r="46">
          <cell r="F46">
            <v>0</v>
          </cell>
        </row>
        <row r="47">
          <cell r="F47">
            <v>31145</v>
          </cell>
        </row>
        <row r="56">
          <cell r="F56">
            <v>125917</v>
          </cell>
        </row>
        <row r="58">
          <cell r="F58">
            <v>16633</v>
          </cell>
        </row>
        <row r="59">
          <cell r="F59">
            <v>3955.038</v>
          </cell>
        </row>
        <row r="69">
          <cell r="F69">
            <v>116132</v>
          </cell>
        </row>
        <row r="71">
          <cell r="F71">
            <v>3520.422</v>
          </cell>
        </row>
        <row r="72">
          <cell r="F72">
            <v>68099</v>
          </cell>
        </row>
        <row r="82">
          <cell r="H82">
            <v>29.1</v>
          </cell>
          <cell r="J82">
            <v>22.430964359999997</v>
          </cell>
        </row>
        <row r="83">
          <cell r="H83">
            <v>0</v>
          </cell>
          <cell r="J83">
            <v>0</v>
          </cell>
        </row>
        <row r="84">
          <cell r="H84">
            <v>45.803484999999995</v>
          </cell>
          <cell r="J84">
            <v>42.15</v>
          </cell>
        </row>
      </sheetData>
      <sheetData sheetId="4">
        <row r="35">
          <cell r="E35">
            <v>27.878472222222221</v>
          </cell>
          <cell r="F35">
            <v>0</v>
          </cell>
          <cell r="G35">
            <v>0.15625</v>
          </cell>
          <cell r="H35">
            <v>1.9652777777777779</v>
          </cell>
        </row>
      </sheetData>
      <sheetData sheetId="5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uil1"/>
      <sheetName val="Feuil3"/>
      <sheetName val="Feuil2"/>
      <sheetName val="Mat aux"/>
      <sheetName val="PMP-PR"/>
      <sheetName val="cons sp"/>
      <sheetName val="Feuil5"/>
    </sheetNames>
    <sheetDataSet>
      <sheetData sheetId="0">
        <row r="40">
          <cell r="K40">
            <v>21294</v>
          </cell>
          <cell r="L40">
            <v>25475</v>
          </cell>
          <cell r="M40">
            <v>0</v>
          </cell>
          <cell r="N40">
            <v>1274</v>
          </cell>
          <cell r="O40">
            <v>3017.3</v>
          </cell>
          <cell r="Q40">
            <v>42306</v>
          </cell>
          <cell r="R40">
            <v>8552</v>
          </cell>
          <cell r="S40">
            <v>0</v>
          </cell>
          <cell r="T40">
            <v>202</v>
          </cell>
          <cell r="V40">
            <v>73987</v>
          </cell>
          <cell r="AO40">
            <v>17106</v>
          </cell>
          <cell r="AP40">
            <v>13840</v>
          </cell>
          <cell r="AX40">
            <v>14948.800000000001</v>
          </cell>
          <cell r="BB40">
            <v>15135.2</v>
          </cell>
          <cell r="BD40">
            <v>14210</v>
          </cell>
          <cell r="BE40">
            <v>29721</v>
          </cell>
          <cell r="BF40">
            <v>31269</v>
          </cell>
        </row>
      </sheetData>
      <sheetData sheetId="1"/>
      <sheetData sheetId="2"/>
      <sheetData sheetId="3"/>
      <sheetData sheetId="4">
        <row r="8">
          <cell r="J8">
            <v>170</v>
          </cell>
        </row>
        <row r="9">
          <cell r="J9">
            <v>170</v>
          </cell>
        </row>
        <row r="10">
          <cell r="J10">
            <v>79</v>
          </cell>
        </row>
        <row r="12">
          <cell r="J12">
            <v>1753.1336234986748</v>
          </cell>
        </row>
        <row r="13">
          <cell r="J13">
            <v>2133.7025420815776</v>
          </cell>
        </row>
        <row r="14">
          <cell r="J14">
            <v>984.21358720189994</v>
          </cell>
        </row>
        <row r="16">
          <cell r="J16">
            <v>310.86637650132525</v>
          </cell>
        </row>
        <row r="17">
          <cell r="J17">
            <v>349.26620791842208</v>
          </cell>
        </row>
        <row r="18">
          <cell r="J18">
            <v>190.25516279810014</v>
          </cell>
        </row>
      </sheetData>
      <sheetData sheetId="5"/>
      <sheetData sheetId="6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uil1"/>
      <sheetName val="Feuil3"/>
      <sheetName val="Feuil2"/>
      <sheetName val="Mat aux"/>
      <sheetName val="PMP-PR"/>
      <sheetName val="cons sp"/>
    </sheetNames>
    <sheetDataSet>
      <sheetData sheetId="0">
        <row r="40">
          <cell r="K40">
            <v>30628</v>
          </cell>
          <cell r="L40">
            <v>45477</v>
          </cell>
          <cell r="M40">
            <v>2876</v>
          </cell>
          <cell r="N40">
            <v>4674</v>
          </cell>
          <cell r="O40">
            <v>5675</v>
          </cell>
          <cell r="Q40">
            <v>74008</v>
          </cell>
          <cell r="R40">
            <v>12720</v>
          </cell>
          <cell r="S40">
            <v>45</v>
          </cell>
          <cell r="T40">
            <v>2557</v>
          </cell>
          <cell r="AX40">
            <v>20227</v>
          </cell>
          <cell r="BB40">
            <v>20324</v>
          </cell>
          <cell r="BD40">
            <v>41331</v>
          </cell>
          <cell r="BE40">
            <v>25861</v>
          </cell>
          <cell r="BF40">
            <v>52231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GE-GARDE"/>
      <sheetName val="BU-1"/>
      <sheetName val="BU-2"/>
      <sheetName val="BU-3"/>
      <sheetName val="BU-4"/>
      <sheetName val="Evénements"/>
    </sheetNames>
    <sheetDataSet>
      <sheetData sheetId="0"/>
      <sheetData sheetId="1"/>
      <sheetData sheetId="2">
        <row r="10">
          <cell r="E10">
            <v>15800</v>
          </cell>
        </row>
        <row r="11">
          <cell r="E11">
            <v>94693</v>
          </cell>
        </row>
        <row r="15">
          <cell r="E15">
            <v>188863</v>
          </cell>
        </row>
        <row r="17">
          <cell r="E17">
            <v>50492</v>
          </cell>
        </row>
        <row r="18">
          <cell r="E18">
            <v>48183</v>
          </cell>
        </row>
        <row r="19">
          <cell r="E19">
            <v>8017.6149999999998</v>
          </cell>
        </row>
        <row r="20">
          <cell r="E20">
            <v>151978</v>
          </cell>
        </row>
        <row r="27">
          <cell r="E27">
            <v>0</v>
          </cell>
        </row>
        <row r="28">
          <cell r="E28">
            <v>3038.8281861948585</v>
          </cell>
        </row>
        <row r="29">
          <cell r="E29">
            <v>5884.7171263051459</v>
          </cell>
        </row>
        <row r="30">
          <cell r="E30">
            <v>101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8680</v>
          </cell>
        </row>
      </sheetData>
      <sheetData sheetId="3">
        <row r="11">
          <cell r="F11">
            <v>6876.4547250000032</v>
          </cell>
        </row>
        <row r="12">
          <cell r="F12">
            <v>814</v>
          </cell>
        </row>
        <row r="13">
          <cell r="F13">
            <v>188984</v>
          </cell>
        </row>
        <row r="37">
          <cell r="F37">
            <v>92114</v>
          </cell>
        </row>
        <row r="38">
          <cell r="F38">
            <v>2579</v>
          </cell>
        </row>
        <row r="39">
          <cell r="F39">
            <v>13665</v>
          </cell>
        </row>
        <row r="40">
          <cell r="F40">
            <v>5783</v>
          </cell>
        </row>
        <row r="41">
          <cell r="F41">
            <v>0</v>
          </cell>
        </row>
        <row r="44">
          <cell r="F44">
            <v>23681</v>
          </cell>
        </row>
        <row r="45">
          <cell r="F45">
            <v>1461</v>
          </cell>
        </row>
        <row r="46">
          <cell r="F46">
            <v>0</v>
          </cell>
        </row>
        <row r="47">
          <cell r="F47">
            <v>34049</v>
          </cell>
        </row>
        <row r="56">
          <cell r="F56">
            <v>137515</v>
          </cell>
        </row>
        <row r="58">
          <cell r="F58">
            <v>17676</v>
          </cell>
        </row>
        <row r="59">
          <cell r="F59">
            <v>3965.95</v>
          </cell>
        </row>
        <row r="69">
          <cell r="F69">
            <v>138492</v>
          </cell>
        </row>
        <row r="71">
          <cell r="F71">
            <v>4051.665</v>
          </cell>
        </row>
        <row r="72">
          <cell r="F72">
            <v>79618</v>
          </cell>
        </row>
        <row r="82">
          <cell r="H82">
            <v>19.399999999999999</v>
          </cell>
          <cell r="J82">
            <v>26.639942279999996</v>
          </cell>
        </row>
        <row r="83">
          <cell r="H83">
            <v>0</v>
          </cell>
          <cell r="J83">
            <v>0.62999999999999989</v>
          </cell>
        </row>
        <row r="84">
          <cell r="H84">
            <v>57.317273125</v>
          </cell>
          <cell r="J84">
            <v>61.05</v>
          </cell>
        </row>
      </sheetData>
      <sheetData sheetId="4">
        <row r="35">
          <cell r="E35">
            <v>31</v>
          </cell>
          <cell r="F35">
            <v>0</v>
          </cell>
          <cell r="G35">
            <v>0</v>
          </cell>
          <cell r="H35">
            <v>0</v>
          </cell>
        </row>
      </sheetData>
      <sheetData sheetId="5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uil1"/>
      <sheetName val="Feuil3"/>
      <sheetName val="Feuil2"/>
      <sheetName val="Mat aux"/>
      <sheetName val="PMP-PR"/>
      <sheetName val="cons sp"/>
    </sheetNames>
    <sheetDataSet>
      <sheetData sheetId="0">
        <row r="40">
          <cell r="K40">
            <v>33392</v>
          </cell>
          <cell r="L40">
            <v>55433</v>
          </cell>
          <cell r="M40">
            <v>2632</v>
          </cell>
          <cell r="N40">
            <v>2579</v>
          </cell>
          <cell r="O40">
            <v>5783</v>
          </cell>
          <cell r="Q40">
            <v>85960</v>
          </cell>
          <cell r="R40">
            <v>13665</v>
          </cell>
          <cell r="S40">
            <v>0</v>
          </cell>
          <cell r="T40">
            <v>194</v>
          </cell>
          <cell r="AX40">
            <v>24546</v>
          </cell>
          <cell r="BB40">
            <v>24664</v>
          </cell>
          <cell r="BD40">
            <v>41250</v>
          </cell>
          <cell r="BE40">
            <v>58676</v>
          </cell>
          <cell r="BF40">
            <v>38405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GE-GARDE"/>
      <sheetName val="BU-1"/>
      <sheetName val="BU-2"/>
      <sheetName val="BU-3"/>
      <sheetName val="BU-4"/>
      <sheetName val="Evénements"/>
    </sheetNames>
    <sheetDataSet>
      <sheetData sheetId="0"/>
      <sheetData sheetId="1"/>
      <sheetData sheetId="2">
        <row r="10">
          <cell r="E10">
            <v>14743</v>
          </cell>
        </row>
        <row r="11">
          <cell r="E11">
            <v>85408</v>
          </cell>
        </row>
        <row r="15">
          <cell r="E15">
            <v>184656</v>
          </cell>
        </row>
        <row r="17">
          <cell r="E17">
            <v>41255</v>
          </cell>
        </row>
        <row r="18">
          <cell r="E18">
            <v>39101</v>
          </cell>
        </row>
        <row r="19">
          <cell r="E19">
            <v>7500.5959999999995</v>
          </cell>
        </row>
        <row r="20">
          <cell r="E20">
            <v>133332</v>
          </cell>
        </row>
        <row r="27">
          <cell r="E27">
            <v>307</v>
          </cell>
        </row>
        <row r="28">
          <cell r="E28">
            <v>2918.5937995682611</v>
          </cell>
        </row>
        <row r="29">
          <cell r="E29">
            <v>5675.9140129317393</v>
          </cell>
        </row>
        <row r="30">
          <cell r="E30">
            <v>0</v>
          </cell>
        </row>
        <row r="31">
          <cell r="E31">
            <v>34</v>
          </cell>
        </row>
        <row r="32">
          <cell r="E32">
            <v>665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482</v>
          </cell>
        </row>
      </sheetData>
      <sheetData sheetId="3">
        <row r="11">
          <cell r="F11">
            <v>6455.4920249999977</v>
          </cell>
        </row>
        <row r="12">
          <cell r="F12">
            <v>939</v>
          </cell>
        </row>
        <row r="13">
          <cell r="F13">
            <v>184482</v>
          </cell>
        </row>
        <row r="37">
          <cell r="F37">
            <v>81122</v>
          </cell>
        </row>
        <row r="38">
          <cell r="F38">
            <v>4286</v>
          </cell>
        </row>
        <row r="39">
          <cell r="F39">
            <v>10682</v>
          </cell>
        </row>
        <row r="40">
          <cell r="F40">
            <v>5897</v>
          </cell>
        </row>
        <row r="41">
          <cell r="F41">
            <v>0</v>
          </cell>
        </row>
        <row r="44">
          <cell r="F44">
            <v>22425</v>
          </cell>
        </row>
        <row r="45">
          <cell r="F45">
            <v>1215</v>
          </cell>
        </row>
        <row r="46">
          <cell r="F46">
            <v>0</v>
          </cell>
        </row>
        <row r="47">
          <cell r="F47">
            <v>35830</v>
          </cell>
        </row>
        <row r="56">
          <cell r="F56">
            <v>126953</v>
          </cell>
        </row>
        <row r="58">
          <cell r="F58">
            <v>17424</v>
          </cell>
        </row>
        <row r="59">
          <cell r="F59">
            <v>3740.7959999999998</v>
          </cell>
        </row>
        <row r="69">
          <cell r="F69">
            <v>143227</v>
          </cell>
        </row>
        <row r="71">
          <cell r="F71">
            <v>3759.8</v>
          </cell>
        </row>
        <row r="72">
          <cell r="F72">
            <v>69975</v>
          </cell>
        </row>
        <row r="82">
          <cell r="H82">
            <v>29.1</v>
          </cell>
          <cell r="J82">
            <v>22.562494919999999</v>
          </cell>
        </row>
        <row r="83">
          <cell r="H83">
            <v>0</v>
          </cell>
          <cell r="J83">
            <v>0</v>
          </cell>
        </row>
        <row r="84">
          <cell r="H84">
            <v>61.946157499999998</v>
          </cell>
          <cell r="J84">
            <v>58.8</v>
          </cell>
        </row>
      </sheetData>
      <sheetData sheetId="4">
        <row r="35">
          <cell r="E35">
            <v>28.198611111111109</v>
          </cell>
          <cell r="F35">
            <v>0</v>
          </cell>
          <cell r="G35">
            <v>0.27986111111111112</v>
          </cell>
          <cell r="H35">
            <v>1.5215277777777778</v>
          </cell>
        </row>
      </sheetData>
      <sheetData sheetId="5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uil1"/>
      <sheetName val="Feuil3"/>
      <sheetName val="Feuil2"/>
      <sheetName val="Mat aux"/>
      <sheetName val="PMP-PR"/>
      <sheetName val="cons sp"/>
    </sheetNames>
    <sheetDataSet>
      <sheetData sheetId="0">
        <row r="40">
          <cell r="K40">
            <v>32065</v>
          </cell>
          <cell r="L40">
            <v>41641</v>
          </cell>
          <cell r="M40">
            <v>3497</v>
          </cell>
          <cell r="N40">
            <v>4286</v>
          </cell>
          <cell r="O40">
            <v>5897</v>
          </cell>
          <cell r="Q40">
            <v>74711</v>
          </cell>
          <cell r="R40">
            <v>10682</v>
          </cell>
          <cell r="S40">
            <v>0</v>
          </cell>
          <cell r="T40">
            <v>1993</v>
          </cell>
          <cell r="AX40">
            <v>16856</v>
          </cell>
          <cell r="BB40">
            <v>16721</v>
          </cell>
          <cell r="BD40">
            <v>36579</v>
          </cell>
          <cell r="BE40">
            <v>33826</v>
          </cell>
          <cell r="BF40">
            <v>52121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GE-GARDE"/>
      <sheetName val="BU-1"/>
      <sheetName val="BU-2"/>
      <sheetName val="BU-3"/>
      <sheetName val="BU-4"/>
      <sheetName val="Evénements"/>
    </sheetNames>
    <sheetDataSet>
      <sheetData sheetId="0"/>
      <sheetData sheetId="1"/>
      <sheetData sheetId="2">
        <row r="10">
          <cell r="E10">
            <v>16731</v>
          </cell>
        </row>
        <row r="11">
          <cell r="E11">
            <v>94614</v>
          </cell>
        </row>
        <row r="15">
          <cell r="E15">
            <v>223174</v>
          </cell>
        </row>
        <row r="17">
          <cell r="E17">
            <v>61271.5</v>
          </cell>
        </row>
        <row r="18">
          <cell r="E18">
            <v>58567</v>
          </cell>
        </row>
        <row r="19">
          <cell r="E19">
            <v>7700.3530000000001</v>
          </cell>
        </row>
        <row r="20">
          <cell r="E20">
            <v>148761</v>
          </cell>
        </row>
        <row r="27">
          <cell r="E27">
            <v>151.20999999999913</v>
          </cell>
        </row>
        <row r="28">
          <cell r="E28">
            <v>2992.9549999999999</v>
          </cell>
        </row>
        <row r="29">
          <cell r="E29">
            <v>7008.0739999999996</v>
          </cell>
        </row>
        <row r="30">
          <cell r="E30">
            <v>46</v>
          </cell>
        </row>
        <row r="31">
          <cell r="E31">
            <v>0</v>
          </cell>
        </row>
        <row r="32">
          <cell r="E32">
            <v>327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648</v>
          </cell>
        </row>
      </sheetData>
      <sheetData sheetId="3">
        <row r="11">
          <cell r="F11">
            <v>6881.1810124999993</v>
          </cell>
        </row>
        <row r="12">
          <cell r="F12">
            <v>1107</v>
          </cell>
        </row>
        <row r="13">
          <cell r="F13">
            <v>223174</v>
          </cell>
        </row>
        <row r="37">
          <cell r="F37">
            <v>91824</v>
          </cell>
        </row>
        <row r="38">
          <cell r="F38">
            <v>2790</v>
          </cell>
        </row>
        <row r="39">
          <cell r="F39">
            <v>10828</v>
          </cell>
        </row>
        <row r="40">
          <cell r="F40">
            <v>6089</v>
          </cell>
        </row>
        <row r="41">
          <cell r="F41">
            <v>0</v>
          </cell>
        </row>
        <row r="44">
          <cell r="F44">
            <v>25656</v>
          </cell>
        </row>
        <row r="45">
          <cell r="F45">
            <v>1583</v>
          </cell>
        </row>
        <row r="46">
          <cell r="F46">
            <v>0</v>
          </cell>
        </row>
        <row r="47">
          <cell r="F47">
            <v>41280</v>
          </cell>
        </row>
        <row r="56">
          <cell r="F56">
            <v>142024</v>
          </cell>
        </row>
        <row r="58">
          <cell r="F58">
            <v>18511</v>
          </cell>
        </row>
        <row r="59">
          <cell r="F59">
            <v>3896.9</v>
          </cell>
        </row>
        <row r="69">
          <cell r="F69">
            <v>161902.5</v>
          </cell>
        </row>
        <row r="71">
          <cell r="F71">
            <v>3803.453</v>
          </cell>
        </row>
        <row r="72">
          <cell r="F72">
            <v>64171</v>
          </cell>
        </row>
        <row r="82">
          <cell r="H82">
            <v>27</v>
          </cell>
          <cell r="J82">
            <v>32.272166640000002</v>
          </cell>
        </row>
        <row r="83">
          <cell r="H83">
            <v>0</v>
          </cell>
          <cell r="J83">
            <v>0</v>
          </cell>
        </row>
        <row r="84">
          <cell r="H84">
            <v>70.46690000000001</v>
          </cell>
          <cell r="J84">
            <v>71.95</v>
          </cell>
        </row>
      </sheetData>
      <sheetData sheetId="4">
        <row r="35">
          <cell r="E35">
            <v>30.069444444444446</v>
          </cell>
          <cell r="F35">
            <v>0.15972222222222224</v>
          </cell>
          <cell r="G35">
            <v>0</v>
          </cell>
          <cell r="H35">
            <v>0.77083333333333326</v>
          </cell>
        </row>
      </sheetData>
      <sheetData sheetId="5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uil1"/>
      <sheetName val="Feuil3"/>
      <sheetName val="Feuil2"/>
      <sheetName val="Mat aux"/>
      <sheetName val="PMP-PR"/>
      <sheetName val="cons sp"/>
    </sheetNames>
    <sheetDataSet>
      <sheetData sheetId="0">
        <row r="40">
          <cell r="K40">
            <v>36220</v>
          </cell>
          <cell r="L40">
            <v>47282</v>
          </cell>
          <cell r="M40">
            <v>1483</v>
          </cell>
          <cell r="N40">
            <v>2790</v>
          </cell>
          <cell r="O40">
            <v>6089</v>
          </cell>
          <cell r="Q40">
            <v>82166</v>
          </cell>
          <cell r="R40">
            <v>10828</v>
          </cell>
          <cell r="S40">
            <v>0</v>
          </cell>
          <cell r="T40">
            <v>870</v>
          </cell>
          <cell r="AX40">
            <v>32232</v>
          </cell>
          <cell r="BB40">
            <v>32274</v>
          </cell>
          <cell r="BD40">
            <v>56278</v>
          </cell>
          <cell r="BE40">
            <v>43751</v>
          </cell>
          <cell r="BF40">
            <v>37829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GE-GARDE"/>
      <sheetName val="BU-1"/>
      <sheetName val="BU-2"/>
      <sheetName val="BU-3"/>
      <sheetName val="BU-4"/>
      <sheetName val="Evénements"/>
    </sheetNames>
    <sheetDataSet>
      <sheetData sheetId="0"/>
      <sheetData sheetId="1"/>
      <sheetData sheetId="2">
        <row r="10">
          <cell r="E10">
            <v>16472</v>
          </cell>
        </row>
        <row r="11">
          <cell r="E11">
            <v>93295</v>
          </cell>
        </row>
        <row r="15">
          <cell r="E15">
            <v>216035</v>
          </cell>
        </row>
        <row r="17">
          <cell r="E17">
            <v>53291</v>
          </cell>
        </row>
        <row r="18">
          <cell r="E18">
            <v>50727</v>
          </cell>
        </row>
        <row r="19">
          <cell r="E19">
            <v>7551.7870000000003</v>
          </cell>
        </row>
        <row r="20">
          <cell r="E20">
            <v>146401</v>
          </cell>
        </row>
        <row r="27">
          <cell r="E27">
            <v>136</v>
          </cell>
        </row>
        <row r="28">
          <cell r="E28">
            <v>2980.784869660024</v>
          </cell>
        </row>
        <row r="29">
          <cell r="E29">
            <v>6826.3870053399769</v>
          </cell>
        </row>
        <row r="30">
          <cell r="E30">
            <v>118</v>
          </cell>
        </row>
        <row r="31">
          <cell r="E31">
            <v>282</v>
          </cell>
        </row>
        <row r="32">
          <cell r="E32">
            <v>565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992</v>
          </cell>
        </row>
      </sheetData>
      <sheetData sheetId="3">
        <row r="11">
          <cell r="F11">
            <v>6800.8279375000002</v>
          </cell>
        </row>
        <row r="12">
          <cell r="F12">
            <v>1348</v>
          </cell>
        </row>
        <row r="13">
          <cell r="F13">
            <v>215975</v>
          </cell>
        </row>
        <row r="37">
          <cell r="F37">
            <v>89577</v>
          </cell>
        </row>
        <row r="38">
          <cell r="F38">
            <v>3718</v>
          </cell>
        </row>
        <row r="39">
          <cell r="F39">
            <v>10909</v>
          </cell>
        </row>
        <row r="40">
          <cell r="F40">
            <v>6380</v>
          </cell>
        </row>
        <row r="41">
          <cell r="F41">
            <v>0</v>
          </cell>
        </row>
        <row r="44">
          <cell r="F44">
            <v>25299</v>
          </cell>
        </row>
        <row r="45">
          <cell r="F45">
            <v>1281</v>
          </cell>
        </row>
        <row r="46">
          <cell r="F46">
            <v>0</v>
          </cell>
        </row>
        <row r="47">
          <cell r="F47">
            <v>42367.4</v>
          </cell>
        </row>
        <row r="56">
          <cell r="F56">
            <v>139029</v>
          </cell>
        </row>
        <row r="58">
          <cell r="F58">
            <v>18537</v>
          </cell>
        </row>
        <row r="59">
          <cell r="F59">
            <v>3647.152</v>
          </cell>
        </row>
        <row r="69">
          <cell r="F69">
            <v>162684</v>
          </cell>
        </row>
        <row r="71">
          <cell r="F71">
            <v>3904.6350000000002</v>
          </cell>
        </row>
        <row r="72">
          <cell r="F72">
            <v>67098</v>
          </cell>
        </row>
        <row r="82">
          <cell r="H82">
            <v>29.1</v>
          </cell>
          <cell r="J82">
            <v>30.158384760000001</v>
          </cell>
        </row>
        <row r="83">
          <cell r="H83">
            <v>0</v>
          </cell>
          <cell r="J83">
            <v>0.12</v>
          </cell>
        </row>
        <row r="84">
          <cell r="H84">
            <v>63.096637500000007</v>
          </cell>
          <cell r="J84">
            <v>67.400000000000006</v>
          </cell>
        </row>
      </sheetData>
      <sheetData sheetId="4">
        <row r="35">
          <cell r="E35">
            <v>29.770833333333332</v>
          </cell>
          <cell r="F35">
            <v>0</v>
          </cell>
          <cell r="G35">
            <v>0</v>
          </cell>
          <cell r="H35">
            <v>1.2291666666666667</v>
          </cell>
        </row>
      </sheetData>
      <sheetData sheetId="5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uil1"/>
      <sheetName val="Feuil3"/>
      <sheetName val="Feuil2"/>
      <sheetName val="Mat aux"/>
      <sheetName val="PMP-PR"/>
      <sheetName val="cons sp"/>
    </sheetNames>
    <sheetDataSet>
      <sheetData sheetId="0">
        <row r="40">
          <cell r="K40">
            <v>36307</v>
          </cell>
          <cell r="L40">
            <v>45624</v>
          </cell>
          <cell r="M40">
            <v>953.59999999999991</v>
          </cell>
          <cell r="N40">
            <v>3718</v>
          </cell>
          <cell r="O40">
            <v>6380</v>
          </cell>
          <cell r="Q40">
            <v>80512</v>
          </cell>
          <cell r="R40">
            <v>10909</v>
          </cell>
          <cell r="S40">
            <v>0</v>
          </cell>
          <cell r="T40">
            <v>1561</v>
          </cell>
          <cell r="AX40">
            <v>25282</v>
          </cell>
          <cell r="BB40">
            <v>25179</v>
          </cell>
          <cell r="BD40">
            <v>43587</v>
          </cell>
          <cell r="BE40">
            <v>40572</v>
          </cell>
          <cell r="BF40">
            <v>50268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GE-GARDE"/>
      <sheetName val="BU-1"/>
      <sheetName val="BU-2"/>
      <sheetName val="BU-3"/>
      <sheetName val="BU-4"/>
      <sheetName val="Evénements"/>
    </sheetNames>
    <sheetDataSet>
      <sheetData sheetId="0"/>
      <sheetData sheetId="1"/>
      <sheetData sheetId="2">
        <row r="10">
          <cell r="E10">
            <v>15412</v>
          </cell>
        </row>
        <row r="11">
          <cell r="E11">
            <v>90710</v>
          </cell>
        </row>
        <row r="15">
          <cell r="E15">
            <v>211061</v>
          </cell>
        </row>
        <row r="17">
          <cell r="E17">
            <v>57771</v>
          </cell>
        </row>
        <row r="18">
          <cell r="E18">
            <v>53143</v>
          </cell>
        </row>
        <row r="19">
          <cell r="E19">
            <v>7559.7879999999996</v>
          </cell>
        </row>
        <row r="20">
          <cell r="E20">
            <v>142321</v>
          </cell>
        </row>
        <row r="27">
          <cell r="E27">
            <v>97</v>
          </cell>
        </row>
        <row r="28">
          <cell r="E28">
            <v>3258.3589703830144</v>
          </cell>
        </row>
        <row r="29">
          <cell r="E29">
            <v>5633.2894671169861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132</v>
          </cell>
        </row>
      </sheetData>
      <sheetData sheetId="3">
        <row r="11">
          <cell r="F11">
            <v>6617.3518750000003</v>
          </cell>
        </row>
        <row r="12">
          <cell r="F12">
            <v>2120</v>
          </cell>
        </row>
        <row r="13">
          <cell r="F13">
            <v>211061</v>
          </cell>
        </row>
        <row r="37">
          <cell r="F37">
            <v>85865</v>
          </cell>
        </row>
        <row r="38">
          <cell r="F38">
            <v>4801</v>
          </cell>
        </row>
        <row r="39">
          <cell r="F39">
            <v>8862</v>
          </cell>
        </row>
        <row r="40">
          <cell r="F40">
            <v>6427</v>
          </cell>
        </row>
        <row r="41">
          <cell r="F41">
            <v>0</v>
          </cell>
        </row>
        <row r="44">
          <cell r="F44">
            <v>26274</v>
          </cell>
        </row>
        <row r="45">
          <cell r="F45">
            <v>2433</v>
          </cell>
        </row>
        <row r="46">
          <cell r="F46">
            <v>0</v>
          </cell>
        </row>
        <row r="47">
          <cell r="F47">
            <v>37162</v>
          </cell>
        </row>
        <row r="56">
          <cell r="F56">
            <v>135762</v>
          </cell>
        </row>
        <row r="58">
          <cell r="F58">
            <v>18162</v>
          </cell>
        </row>
        <row r="59">
          <cell r="F59">
            <v>3672.0169999999998</v>
          </cell>
        </row>
        <row r="69">
          <cell r="F69">
            <v>152893</v>
          </cell>
        </row>
        <row r="71">
          <cell r="F71">
            <v>3887.7710000000002</v>
          </cell>
        </row>
        <row r="72">
          <cell r="F72">
            <v>69594</v>
          </cell>
        </row>
        <row r="82">
          <cell r="H82">
            <v>38.799999999999997</v>
          </cell>
          <cell r="J82">
            <v>35.531122199999999</v>
          </cell>
        </row>
        <row r="83">
          <cell r="H83">
            <v>0</v>
          </cell>
          <cell r="J83">
            <v>0</v>
          </cell>
        </row>
        <row r="84">
          <cell r="H84">
            <v>84.263671874999986</v>
          </cell>
          <cell r="J84">
            <v>83.7</v>
          </cell>
        </row>
      </sheetData>
      <sheetData sheetId="4">
        <row r="35">
          <cell r="E35">
            <v>29.604166666666664</v>
          </cell>
          <cell r="F35">
            <v>0</v>
          </cell>
          <cell r="G35">
            <v>0.39583333333333337</v>
          </cell>
          <cell r="H35">
            <v>0</v>
          </cell>
        </row>
      </sheetData>
      <sheetData sheetId="5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GE-GARDE"/>
      <sheetName val="BU-1"/>
      <sheetName val="BU-2"/>
      <sheetName val="BU-3"/>
      <sheetName val="BU-4"/>
    </sheetNames>
    <sheetDataSet>
      <sheetData sheetId="0"/>
      <sheetData sheetId="1"/>
      <sheetData sheetId="2">
        <row r="10">
          <cell r="E10">
            <v>8911</v>
          </cell>
        </row>
        <row r="11">
          <cell r="E11">
            <v>51265</v>
          </cell>
        </row>
        <row r="15">
          <cell r="E15">
            <v>158486</v>
          </cell>
        </row>
        <row r="17">
          <cell r="E17">
            <v>52600</v>
          </cell>
        </row>
        <row r="18">
          <cell r="E18">
            <v>48442</v>
          </cell>
        </row>
        <row r="19">
          <cell r="E19">
            <v>4776.9319999999998</v>
          </cell>
        </row>
        <row r="27">
          <cell r="E27">
            <v>711.22</v>
          </cell>
        </row>
        <row r="28">
          <cell r="E28">
            <v>745.67141043109984</v>
          </cell>
        </row>
        <row r="29">
          <cell r="E29">
            <v>4603.4223395689005</v>
          </cell>
        </row>
        <row r="30">
          <cell r="E30">
            <v>1169</v>
          </cell>
        </row>
        <row r="31">
          <cell r="E31">
            <v>2229</v>
          </cell>
        </row>
        <row r="32">
          <cell r="E32">
            <v>3643.8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738</v>
          </cell>
        </row>
      </sheetData>
      <sheetData sheetId="3">
        <row r="11">
          <cell r="F11">
            <v>4273.1259999999984</v>
          </cell>
        </row>
        <row r="12">
          <cell r="F12">
            <v>1961</v>
          </cell>
        </row>
        <row r="13">
          <cell r="F13">
            <v>157986</v>
          </cell>
        </row>
        <row r="37">
          <cell r="F37">
            <v>47936.800000000003</v>
          </cell>
        </row>
        <row r="38">
          <cell r="F38">
            <v>3574</v>
          </cell>
        </row>
        <row r="39">
          <cell r="F39">
            <v>33189</v>
          </cell>
        </row>
        <row r="41">
          <cell r="F41">
            <v>0</v>
          </cell>
        </row>
        <row r="44">
          <cell r="F44">
            <v>9222</v>
          </cell>
        </row>
        <row r="45">
          <cell r="F45">
            <v>1992</v>
          </cell>
        </row>
        <row r="46">
          <cell r="F46">
            <v>0</v>
          </cell>
        </row>
        <row r="47">
          <cell r="F47">
            <v>13189</v>
          </cell>
        </row>
        <row r="56">
          <cell r="F56">
            <v>90414</v>
          </cell>
        </row>
        <row r="58">
          <cell r="F58">
            <v>11659</v>
          </cell>
        </row>
        <row r="59">
          <cell r="F59">
            <v>2666.9839999999999</v>
          </cell>
        </row>
        <row r="69">
          <cell r="F69">
            <v>105386</v>
          </cell>
        </row>
        <row r="71">
          <cell r="F71">
            <v>2109.9479999999999</v>
          </cell>
        </row>
        <row r="72">
          <cell r="F72">
            <v>25053</v>
          </cell>
        </row>
        <row r="82">
          <cell r="H82">
            <v>49.917000000000002</v>
          </cell>
          <cell r="J82">
            <v>43.06696548</v>
          </cell>
        </row>
        <row r="83">
          <cell r="H83">
            <v>150</v>
          </cell>
          <cell r="J83">
            <v>151.13399999999999</v>
          </cell>
        </row>
        <row r="84">
          <cell r="H84">
            <v>50.000040562499997</v>
          </cell>
          <cell r="J84">
            <v>45.744999999999997</v>
          </cell>
        </row>
      </sheetData>
      <sheetData sheetId="4">
        <row r="35">
          <cell r="E35">
            <v>16.142361111111111</v>
          </cell>
          <cell r="F35">
            <v>0</v>
          </cell>
          <cell r="G35">
            <v>1.8576388888888891</v>
          </cell>
          <cell r="H35">
            <v>10</v>
          </cell>
        </row>
      </sheetData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uil1"/>
      <sheetName val="Feuil3"/>
      <sheetName val="Feuil2"/>
      <sheetName val="Mat aux"/>
      <sheetName val="PMP-PR"/>
      <sheetName val="cons sp"/>
    </sheetNames>
    <sheetDataSet>
      <sheetData sheetId="0">
        <row r="40">
          <cell r="K40">
            <v>35648</v>
          </cell>
          <cell r="L40">
            <v>42456</v>
          </cell>
          <cell r="M40">
            <v>1257</v>
          </cell>
          <cell r="N40">
            <v>4801</v>
          </cell>
          <cell r="O40">
            <v>6427</v>
          </cell>
          <cell r="Q40">
            <v>80160</v>
          </cell>
          <cell r="R40">
            <v>8862</v>
          </cell>
          <cell r="S40">
            <v>0</v>
          </cell>
          <cell r="T40">
            <v>1567</v>
          </cell>
          <cell r="AX40">
            <v>26863</v>
          </cell>
          <cell r="BB40">
            <v>26172</v>
          </cell>
          <cell r="BD40">
            <v>39688</v>
          </cell>
          <cell r="BE40">
            <v>37492</v>
          </cell>
          <cell r="BF40">
            <v>55748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GE-GARDE"/>
      <sheetName val="BU-1"/>
      <sheetName val="BU-2"/>
      <sheetName val="BU-3"/>
      <sheetName val="BU-4"/>
      <sheetName val="Evénements"/>
    </sheetNames>
    <sheetDataSet>
      <sheetData sheetId="0"/>
      <sheetData sheetId="1"/>
      <sheetData sheetId="2">
        <row r="10">
          <cell r="E10">
            <v>16117</v>
          </cell>
        </row>
        <row r="11">
          <cell r="E11">
            <v>97122</v>
          </cell>
        </row>
        <row r="15">
          <cell r="E15">
            <v>196321</v>
          </cell>
        </row>
        <row r="17">
          <cell r="E17">
            <v>47941</v>
          </cell>
        </row>
        <row r="18">
          <cell r="E18">
            <v>45715</v>
          </cell>
        </row>
        <row r="19">
          <cell r="E19">
            <v>8545.1229999999996</v>
          </cell>
        </row>
        <row r="20">
          <cell r="E20">
            <v>153102</v>
          </cell>
        </row>
        <row r="27">
          <cell r="E27">
            <v>0.44</v>
          </cell>
        </row>
        <row r="28">
          <cell r="E28">
            <v>2650.2941118457466</v>
          </cell>
        </row>
        <row r="29">
          <cell r="E29">
            <v>6604.3621381542525</v>
          </cell>
        </row>
        <row r="30">
          <cell r="E30">
            <v>2184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105</v>
          </cell>
        </row>
      </sheetData>
      <sheetData sheetId="3">
        <row r="11">
          <cell r="F11">
            <v>6862.7839375000003</v>
          </cell>
        </row>
        <row r="12">
          <cell r="F12">
            <v>845</v>
          </cell>
        </row>
        <row r="13">
          <cell r="F13">
            <v>196221</v>
          </cell>
        </row>
        <row r="37">
          <cell r="F37">
            <v>91898</v>
          </cell>
        </row>
        <row r="38">
          <cell r="F38">
            <v>5224</v>
          </cell>
        </row>
        <row r="39">
          <cell r="F39">
            <v>11393</v>
          </cell>
        </row>
        <row r="40">
          <cell r="F40">
            <v>6481</v>
          </cell>
        </row>
        <row r="41">
          <cell r="F41">
            <v>0</v>
          </cell>
        </row>
        <row r="44">
          <cell r="F44">
            <v>26669</v>
          </cell>
        </row>
        <row r="45">
          <cell r="F45">
            <v>1401</v>
          </cell>
        </row>
        <row r="46">
          <cell r="F46">
            <v>0</v>
          </cell>
        </row>
        <row r="47">
          <cell r="F47">
            <v>40401</v>
          </cell>
        </row>
        <row r="56">
          <cell r="F56">
            <v>146422</v>
          </cell>
        </row>
        <row r="58">
          <cell r="F58">
            <v>20396</v>
          </cell>
        </row>
        <row r="59">
          <cell r="F59">
            <v>3865.848</v>
          </cell>
        </row>
        <row r="69">
          <cell r="F69">
            <v>148280</v>
          </cell>
        </row>
        <row r="71">
          <cell r="F71">
            <v>4679.2749999999996</v>
          </cell>
        </row>
        <row r="72">
          <cell r="F72">
            <v>82982</v>
          </cell>
        </row>
        <row r="82">
          <cell r="H82">
            <v>21.21</v>
          </cell>
          <cell r="J82">
            <v>28.341976319999997</v>
          </cell>
        </row>
        <row r="83">
          <cell r="H83">
            <v>0</v>
          </cell>
          <cell r="J83">
            <v>0</v>
          </cell>
        </row>
        <row r="84">
          <cell r="H84">
            <v>68.417607500000003</v>
          </cell>
          <cell r="J84">
            <v>63.6</v>
          </cell>
        </row>
      </sheetData>
      <sheetData sheetId="4">
        <row r="35">
          <cell r="E35">
            <v>31</v>
          </cell>
          <cell r="F35">
            <v>0</v>
          </cell>
          <cell r="G35">
            <v>0</v>
          </cell>
          <cell r="H35">
            <v>0</v>
          </cell>
        </row>
      </sheetData>
      <sheetData sheetId="5"/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uil1"/>
      <sheetName val="Feuil3"/>
      <sheetName val="Feuil2"/>
      <sheetName val="Mat aux"/>
      <sheetName val="PMP-PR"/>
      <sheetName val="cons sp"/>
    </sheetNames>
    <sheetDataSet>
      <sheetData sheetId="0">
        <row r="40">
          <cell r="K40">
            <v>37260</v>
          </cell>
          <cell r="L40">
            <v>50802</v>
          </cell>
          <cell r="M40">
            <v>556</v>
          </cell>
          <cell r="N40">
            <v>5224</v>
          </cell>
          <cell r="O40">
            <v>6481</v>
          </cell>
          <cell r="Q40">
            <v>87598</v>
          </cell>
          <cell r="R40">
            <v>11393</v>
          </cell>
          <cell r="S40">
            <v>0</v>
          </cell>
          <cell r="T40">
            <v>1332</v>
          </cell>
          <cell r="AX40">
            <v>18734</v>
          </cell>
          <cell r="BB40">
            <v>18624</v>
          </cell>
          <cell r="BD40">
            <v>51846</v>
          </cell>
          <cell r="BE40">
            <v>47258</v>
          </cell>
          <cell r="BF40">
            <v>42665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GE-GARDE"/>
      <sheetName val="BU-1"/>
      <sheetName val="BU-2"/>
      <sheetName val="BU-3"/>
      <sheetName val="BU-4"/>
      <sheetName val="Evénements"/>
    </sheetNames>
    <sheetDataSet>
      <sheetData sheetId="0"/>
      <sheetData sheetId="1"/>
      <sheetData sheetId="2">
        <row r="10">
          <cell r="E10">
            <v>15225</v>
          </cell>
        </row>
        <row r="11">
          <cell r="E11">
            <v>92715</v>
          </cell>
        </row>
        <row r="15">
          <cell r="E15">
            <v>203562</v>
          </cell>
        </row>
        <row r="17">
          <cell r="E17">
            <v>50992</v>
          </cell>
        </row>
        <row r="18">
          <cell r="E18">
            <v>48755</v>
          </cell>
        </row>
        <row r="19">
          <cell r="E19">
            <v>8568.6489999999994</v>
          </cell>
        </row>
        <row r="20">
          <cell r="E20">
            <v>147955</v>
          </cell>
        </row>
        <row r="27">
          <cell r="E27">
            <v>0</v>
          </cell>
        </row>
        <row r="28">
          <cell r="E28">
            <v>2337.3225517972132</v>
          </cell>
        </row>
        <row r="29">
          <cell r="E29">
            <v>6223.6618232027868</v>
          </cell>
        </row>
        <row r="30">
          <cell r="E30">
            <v>1297</v>
          </cell>
        </row>
        <row r="31">
          <cell r="E31">
            <v>922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1547</v>
          </cell>
        </row>
      </sheetData>
      <sheetData sheetId="3">
        <row r="11">
          <cell r="F11">
            <v>6664.0159374999985</v>
          </cell>
        </row>
        <row r="12">
          <cell r="F12">
            <v>852</v>
          </cell>
        </row>
        <row r="13">
          <cell r="F13">
            <v>203013</v>
          </cell>
        </row>
        <row r="37">
          <cell r="F37">
            <v>86827</v>
          </cell>
        </row>
        <row r="38">
          <cell r="F38">
            <v>5400</v>
          </cell>
        </row>
        <row r="39">
          <cell r="F39">
            <v>11629</v>
          </cell>
        </row>
        <row r="40">
          <cell r="F40">
            <v>6489</v>
          </cell>
        </row>
        <row r="41">
          <cell r="F41">
            <v>0</v>
          </cell>
        </row>
        <row r="44">
          <cell r="F44">
            <v>26236</v>
          </cell>
        </row>
        <row r="45">
          <cell r="F45">
            <v>1215</v>
          </cell>
        </row>
        <row r="46">
          <cell r="F46">
            <v>0</v>
          </cell>
        </row>
        <row r="47">
          <cell r="F47">
            <v>39052</v>
          </cell>
        </row>
        <row r="56">
          <cell r="F56">
            <v>139919</v>
          </cell>
        </row>
        <row r="58">
          <cell r="F58">
            <v>19751</v>
          </cell>
        </row>
        <row r="59">
          <cell r="F59">
            <v>3840.248</v>
          </cell>
        </row>
        <row r="69">
          <cell r="F69">
            <v>152021</v>
          </cell>
        </row>
        <row r="71">
          <cell r="F71">
            <v>4728.4009999999998</v>
          </cell>
        </row>
        <row r="72">
          <cell r="F72">
            <v>74851</v>
          </cell>
        </row>
        <row r="82">
          <cell r="H82">
            <v>29</v>
          </cell>
          <cell r="J82">
            <v>29.515743599999997</v>
          </cell>
        </row>
        <row r="83">
          <cell r="H83">
            <v>0</v>
          </cell>
          <cell r="J83">
            <v>0</v>
          </cell>
        </row>
        <row r="84">
          <cell r="H84">
            <v>55.63649375</v>
          </cell>
          <cell r="J84">
            <v>51.8</v>
          </cell>
        </row>
      </sheetData>
      <sheetData sheetId="4">
        <row r="35">
          <cell r="E35">
            <v>30</v>
          </cell>
          <cell r="F35">
            <v>0</v>
          </cell>
          <cell r="G35">
            <v>0</v>
          </cell>
          <cell r="H35">
            <v>0</v>
          </cell>
        </row>
      </sheetData>
      <sheetData sheetId="5"/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uil1"/>
      <sheetName val="Feuil3"/>
      <sheetName val="Feuil2"/>
      <sheetName val="Mat aux"/>
      <sheetName val="PMP-PR"/>
      <sheetName val="cons sp"/>
    </sheetNames>
    <sheetDataSet>
      <sheetData sheetId="0">
        <row r="40">
          <cell r="K40">
            <v>36026</v>
          </cell>
          <cell r="L40">
            <v>46786</v>
          </cell>
          <cell r="M40">
            <v>426</v>
          </cell>
          <cell r="N40">
            <v>5400</v>
          </cell>
          <cell r="O40">
            <v>6489</v>
          </cell>
          <cell r="Q40">
            <v>80461</v>
          </cell>
          <cell r="R40">
            <v>11629</v>
          </cell>
          <cell r="S40">
            <v>0</v>
          </cell>
          <cell r="T40">
            <v>3037</v>
          </cell>
          <cell r="AX40">
            <v>22373</v>
          </cell>
          <cell r="BB40">
            <v>22903</v>
          </cell>
          <cell r="BD40">
            <v>49258</v>
          </cell>
          <cell r="BE40">
            <v>39183</v>
          </cell>
          <cell r="BF40">
            <v>48365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GE-GARDE"/>
      <sheetName val="BU-1"/>
      <sheetName val="BU-2"/>
      <sheetName val="BU-3"/>
      <sheetName val="BU-4"/>
      <sheetName val="Evénements"/>
    </sheetNames>
    <sheetDataSet>
      <sheetData sheetId="0"/>
      <sheetData sheetId="1"/>
      <sheetData sheetId="2">
        <row r="10">
          <cell r="E10">
            <v>11888</v>
          </cell>
        </row>
        <row r="11">
          <cell r="E11">
            <v>87560</v>
          </cell>
        </row>
        <row r="15">
          <cell r="E15">
            <v>229113</v>
          </cell>
        </row>
        <row r="17">
          <cell r="E17">
            <v>69034</v>
          </cell>
        </row>
        <row r="18">
          <cell r="E18">
            <v>66057</v>
          </cell>
        </row>
        <row r="19">
          <cell r="E19">
            <v>9292.3760000000002</v>
          </cell>
        </row>
        <row r="20">
          <cell r="E20">
            <v>149815.5</v>
          </cell>
        </row>
        <row r="27">
          <cell r="E27">
            <v>9</v>
          </cell>
        </row>
        <row r="28">
          <cell r="E28">
            <v>1843.5329999999999</v>
          </cell>
        </row>
        <row r="29">
          <cell r="E29">
            <v>3150.652</v>
          </cell>
        </row>
        <row r="30">
          <cell r="E30">
            <v>9048</v>
          </cell>
        </row>
        <row r="31">
          <cell r="E31">
            <v>1396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233</v>
          </cell>
        </row>
      </sheetData>
      <sheetData sheetId="3">
        <row r="11">
          <cell r="F11">
            <v>6902.815374999981</v>
          </cell>
        </row>
        <row r="12">
          <cell r="F12">
            <v>1419</v>
          </cell>
        </row>
        <row r="13">
          <cell r="F13">
            <v>229113</v>
          </cell>
        </row>
        <row r="37">
          <cell r="F37">
            <v>80752</v>
          </cell>
        </row>
        <row r="38">
          <cell r="F38">
            <v>6808</v>
          </cell>
        </row>
        <row r="39">
          <cell r="F39">
            <v>12263</v>
          </cell>
        </row>
        <row r="40">
          <cell r="F40">
            <v>6506</v>
          </cell>
        </row>
        <row r="41">
          <cell r="F41">
            <v>0</v>
          </cell>
        </row>
        <row r="44">
          <cell r="F44">
            <v>28242</v>
          </cell>
        </row>
        <row r="45">
          <cell r="F45">
            <v>1737</v>
          </cell>
        </row>
        <row r="46">
          <cell r="F46">
            <v>0</v>
          </cell>
        </row>
        <row r="47">
          <cell r="F47">
            <v>28459</v>
          </cell>
        </row>
        <row r="56">
          <cell r="F56">
            <v>143084</v>
          </cell>
        </row>
        <row r="58">
          <cell r="F58">
            <v>20470</v>
          </cell>
        </row>
        <row r="59">
          <cell r="F59">
            <v>4065.7130000000002</v>
          </cell>
        </row>
        <row r="69">
          <cell r="F69">
            <v>160079</v>
          </cell>
        </row>
        <row r="71">
          <cell r="F71">
            <v>5226.6629999999996</v>
          </cell>
        </row>
        <row r="72">
          <cell r="F72">
            <v>71285</v>
          </cell>
        </row>
        <row r="82">
          <cell r="H82">
            <v>57</v>
          </cell>
          <cell r="J82">
            <v>54</v>
          </cell>
        </row>
        <row r="83">
          <cell r="H83">
            <v>0</v>
          </cell>
          <cell r="J83">
            <v>0</v>
          </cell>
        </row>
        <row r="84">
          <cell r="H84">
            <v>68.273797499999986</v>
          </cell>
          <cell r="J84">
            <v>72</v>
          </cell>
        </row>
      </sheetData>
      <sheetData sheetId="4">
        <row r="35">
          <cell r="E35">
            <v>30.975000000000001</v>
          </cell>
          <cell r="F35">
            <v>0</v>
          </cell>
          <cell r="G35">
            <v>0</v>
          </cell>
          <cell r="H35">
            <v>2.4999999999999998E-2</v>
          </cell>
        </row>
      </sheetData>
      <sheetData sheetId="5"/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uil1"/>
      <sheetName val="Feuil3"/>
      <sheetName val="Feuil2"/>
      <sheetName val="Mat aux"/>
      <sheetName val="PMP-PR"/>
      <sheetName val="cons sp"/>
    </sheetNames>
    <sheetDataSet>
      <sheetData sheetId="0">
        <row r="40">
          <cell r="K40">
            <v>37753</v>
          </cell>
          <cell r="L40">
            <v>51246</v>
          </cell>
          <cell r="M40">
            <v>0</v>
          </cell>
          <cell r="N40">
            <v>6808</v>
          </cell>
          <cell r="O40">
            <v>6506</v>
          </cell>
          <cell r="Q40">
            <v>81027</v>
          </cell>
          <cell r="R40">
            <v>12263</v>
          </cell>
          <cell r="S40">
            <v>0</v>
          </cell>
          <cell r="T40">
            <v>9023</v>
          </cell>
          <cell r="AX40">
            <v>37107</v>
          </cell>
          <cell r="BB40">
            <v>37319</v>
          </cell>
          <cell r="BD40">
            <v>33568</v>
          </cell>
          <cell r="BE40">
            <v>37191</v>
          </cell>
          <cell r="BF40">
            <v>40049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GE-GARDE"/>
      <sheetName val="BU-1"/>
      <sheetName val="BU-2"/>
      <sheetName val="BU-3"/>
      <sheetName val="BU-4"/>
      <sheetName val="Evénements"/>
    </sheetNames>
    <sheetDataSet>
      <sheetData sheetId="0"/>
      <sheetData sheetId="1"/>
      <sheetData sheetId="2">
        <row r="10">
          <cell r="E10">
            <v>16325</v>
          </cell>
        </row>
        <row r="11">
          <cell r="E11">
            <v>91122</v>
          </cell>
        </row>
        <row r="15">
          <cell r="E15">
            <v>176520</v>
          </cell>
        </row>
        <row r="17">
          <cell r="E17">
            <v>43077</v>
          </cell>
        </row>
        <row r="18">
          <cell r="E18">
            <v>40517</v>
          </cell>
        </row>
        <row r="19">
          <cell r="E19">
            <v>8091.4809999999998</v>
          </cell>
        </row>
        <row r="20">
          <cell r="E20">
            <v>140946</v>
          </cell>
        </row>
        <row r="27">
          <cell r="E27">
            <v>480.39000000000004</v>
          </cell>
        </row>
        <row r="28">
          <cell r="E28">
            <v>1906.2000690832469</v>
          </cell>
        </row>
        <row r="29">
          <cell r="E29">
            <v>8131.6599309167805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1102</v>
          </cell>
        </row>
        <row r="33">
          <cell r="E33">
            <v>0</v>
          </cell>
        </row>
        <row r="35">
          <cell r="E35">
            <v>1247</v>
          </cell>
        </row>
      </sheetData>
      <sheetData sheetId="3">
        <row r="11">
          <cell r="F11">
            <v>6767.5300000000007</v>
          </cell>
        </row>
        <row r="12">
          <cell r="F12">
            <v>1226</v>
          </cell>
        </row>
        <row r="13">
          <cell r="F13">
            <v>176570</v>
          </cell>
        </row>
        <row r="37">
          <cell r="F37">
            <v>86280</v>
          </cell>
        </row>
        <row r="38">
          <cell r="F38">
            <v>5055</v>
          </cell>
        </row>
        <row r="41">
          <cell r="F41">
            <v>90</v>
          </cell>
        </row>
        <row r="44">
          <cell r="F44">
            <v>3961</v>
          </cell>
        </row>
        <row r="45">
          <cell r="F45">
            <v>1249</v>
          </cell>
        </row>
        <row r="46">
          <cell r="F46">
            <v>0</v>
          </cell>
        </row>
        <row r="58">
          <cell r="F58">
            <v>18708</v>
          </cell>
        </row>
        <row r="59">
          <cell r="F59">
            <v>4030.194</v>
          </cell>
        </row>
        <row r="69">
          <cell r="F69">
            <v>133403</v>
          </cell>
        </row>
        <row r="71">
          <cell r="F71">
            <v>4061.2869999999998</v>
          </cell>
        </row>
        <row r="82">
          <cell r="F82">
            <v>21.661638520000082</v>
          </cell>
          <cell r="H82">
            <v>9.6999999999999993</v>
          </cell>
          <cell r="J82">
            <v>15.211080359999999</v>
          </cell>
        </row>
      </sheetData>
      <sheetData sheetId="4">
        <row r="35">
          <cell r="E35">
            <v>28.125694444444445</v>
          </cell>
          <cell r="F35">
            <v>0</v>
          </cell>
          <cell r="G35">
            <v>2.2527777777777778</v>
          </cell>
          <cell r="H35">
            <v>0.62152777777777779</v>
          </cell>
        </row>
      </sheetData>
      <sheetData sheetId="5"/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uil1"/>
      <sheetName val="Feuil3"/>
      <sheetName val="Feuil2"/>
      <sheetName val="PMP-PR"/>
      <sheetName val="cons sp"/>
    </sheetNames>
    <sheetDataSet>
      <sheetData sheetId="0">
        <row r="40">
          <cell r="K40">
            <v>34689</v>
          </cell>
          <cell r="L40">
            <v>47258</v>
          </cell>
          <cell r="M40">
            <v>3776</v>
          </cell>
          <cell r="N40">
            <v>5055</v>
          </cell>
          <cell r="O40">
            <v>6701</v>
          </cell>
          <cell r="Q40">
            <v>78419</v>
          </cell>
          <cell r="R40">
            <v>15600</v>
          </cell>
          <cell r="S40">
            <v>508</v>
          </cell>
          <cell r="T40">
            <v>2952</v>
          </cell>
          <cell r="AO40">
            <v>21325</v>
          </cell>
          <cell r="AP40">
            <v>19192</v>
          </cell>
          <cell r="AX40">
            <v>17808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GE-GARDE"/>
      <sheetName val="BU-1"/>
      <sheetName val="BU-2"/>
      <sheetName val="BU-3"/>
      <sheetName val="BU-4"/>
      <sheetName val="Evénements"/>
    </sheetNames>
    <sheetDataSet>
      <sheetData sheetId="0"/>
      <sheetData sheetId="1"/>
      <sheetData sheetId="2">
        <row r="10">
          <cell r="E10">
            <v>18020</v>
          </cell>
        </row>
        <row r="11">
          <cell r="E11">
            <v>89010</v>
          </cell>
        </row>
        <row r="15">
          <cell r="E15">
            <v>167834</v>
          </cell>
        </row>
        <row r="17">
          <cell r="E17">
            <v>45080</v>
          </cell>
        </row>
        <row r="18">
          <cell r="E18">
            <v>42695</v>
          </cell>
        </row>
        <row r="19">
          <cell r="E19">
            <v>7327.8779999999997</v>
          </cell>
        </row>
        <row r="20">
          <cell r="E20">
            <v>136103</v>
          </cell>
        </row>
        <row r="27">
          <cell r="E27">
            <v>56.51</v>
          </cell>
        </row>
        <row r="28">
          <cell r="E28">
            <v>3298.0429978408438</v>
          </cell>
        </row>
        <row r="29">
          <cell r="E29">
            <v>8682.6370021591356</v>
          </cell>
        </row>
        <row r="30">
          <cell r="E30">
            <v>304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5">
          <cell r="E35">
            <v>2991</v>
          </cell>
        </row>
      </sheetData>
      <sheetData sheetId="3">
        <row r="11">
          <cell r="F11">
            <v>6095.8310000000274</v>
          </cell>
        </row>
        <row r="12">
          <cell r="F12">
            <v>1040</v>
          </cell>
        </row>
        <row r="13">
          <cell r="F13">
            <v>167934</v>
          </cell>
        </row>
        <row r="37">
          <cell r="F37">
            <v>86560</v>
          </cell>
        </row>
        <row r="38">
          <cell r="F38">
            <v>2450</v>
          </cell>
        </row>
        <row r="41">
          <cell r="F41">
            <v>0</v>
          </cell>
        </row>
        <row r="44">
          <cell r="F44">
            <v>4784</v>
          </cell>
        </row>
        <row r="45">
          <cell r="F45">
            <v>1430</v>
          </cell>
        </row>
        <row r="46">
          <cell r="F46">
            <v>0</v>
          </cell>
        </row>
        <row r="58">
          <cell r="F58">
            <v>17944</v>
          </cell>
        </row>
        <row r="59">
          <cell r="F59">
            <v>3842.5479999999998</v>
          </cell>
        </row>
        <row r="69">
          <cell r="F69">
            <v>122854</v>
          </cell>
        </row>
        <row r="71">
          <cell r="F71">
            <v>3485.33</v>
          </cell>
        </row>
        <row r="82">
          <cell r="H82">
            <v>9.6999999999999993</v>
          </cell>
          <cell r="J82">
            <v>18.75525708</v>
          </cell>
        </row>
      </sheetData>
      <sheetData sheetId="4">
        <row r="35">
          <cell r="E35">
            <v>27.743055555555557</v>
          </cell>
          <cell r="F35">
            <v>0</v>
          </cell>
          <cell r="G35">
            <v>0.25694444444444448</v>
          </cell>
          <cell r="H35">
            <v>0</v>
          </cell>
        </row>
      </sheetData>
      <sheetData sheetId="5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uil1"/>
      <sheetName val="Feuil3"/>
      <sheetName val="Feuil2"/>
      <sheetName val="Mat aux"/>
      <sheetName val="PMP-PR"/>
      <sheetName val="cons sp"/>
      <sheetName val="Feuil5"/>
      <sheetName val="Feuil4"/>
    </sheetNames>
    <sheetDataSet>
      <sheetData sheetId="0">
        <row r="40">
          <cell r="K40">
            <v>22085</v>
          </cell>
          <cell r="L40">
            <v>33961</v>
          </cell>
          <cell r="M40">
            <v>5012</v>
          </cell>
          <cell r="N40">
            <v>3574</v>
          </cell>
          <cell r="O40">
            <v>3193</v>
          </cell>
          <cell r="Q40">
            <v>33964</v>
          </cell>
          <cell r="R40">
            <v>33189</v>
          </cell>
          <cell r="S40">
            <v>0</v>
          </cell>
          <cell r="T40">
            <v>672</v>
          </cell>
          <cell r="V40">
            <v>61156</v>
          </cell>
          <cell r="AO40">
            <v>25548</v>
          </cell>
          <cell r="AP40">
            <v>22894</v>
          </cell>
          <cell r="AX40">
            <v>27380.6</v>
          </cell>
          <cell r="BB40">
            <v>26451.1</v>
          </cell>
          <cell r="BD40">
            <v>18800</v>
          </cell>
          <cell r="BE40">
            <v>21172</v>
          </cell>
          <cell r="BF40">
            <v>20281</v>
          </cell>
        </row>
      </sheetData>
      <sheetData sheetId="1"/>
      <sheetData sheetId="2"/>
      <sheetData sheetId="3"/>
      <sheetData sheetId="4">
        <row r="8">
          <cell r="J8">
            <v>281</v>
          </cell>
        </row>
        <row r="9">
          <cell r="J9">
            <v>302.22000000000116</v>
          </cell>
        </row>
        <row r="10">
          <cell r="J10">
            <v>128</v>
          </cell>
        </row>
        <row r="12">
          <cell r="J12">
            <v>1720.6481257111516</v>
          </cell>
        </row>
        <row r="13">
          <cell r="J13">
            <v>1921.2559432122871</v>
          </cell>
        </row>
        <row r="14">
          <cell r="J14">
            <v>961.5182706454616</v>
          </cell>
        </row>
        <row r="16">
          <cell r="J16">
            <v>285.35187428884842</v>
          </cell>
        </row>
        <row r="17">
          <cell r="J17">
            <v>307.74405678771285</v>
          </cell>
        </row>
        <row r="18">
          <cell r="J18">
            <v>152.57547935453854</v>
          </cell>
        </row>
      </sheetData>
      <sheetData sheetId="5"/>
      <sheetData sheetId="6"/>
      <sheetData sheetId="7"/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uil1"/>
      <sheetName val="Feuil3"/>
      <sheetName val="Feuil2"/>
      <sheetName val="Mat aux"/>
      <sheetName val="PMP-PR"/>
      <sheetName val="cons sp"/>
    </sheetNames>
    <sheetDataSet>
      <sheetData sheetId="0">
        <row r="40">
          <cell r="K40">
            <v>32429</v>
          </cell>
          <cell r="L40">
            <v>41152</v>
          </cell>
          <cell r="M40">
            <v>5059</v>
          </cell>
          <cell r="N40">
            <v>2450</v>
          </cell>
          <cell r="O40">
            <v>5345</v>
          </cell>
          <cell r="Q40">
            <v>68388</v>
          </cell>
          <cell r="R40">
            <v>15745</v>
          </cell>
          <cell r="S40">
            <v>138</v>
          </cell>
          <cell r="T40">
            <v>2164</v>
          </cell>
          <cell r="AO40">
            <v>22224</v>
          </cell>
          <cell r="AP40">
            <v>20471</v>
          </cell>
          <cell r="AX40">
            <v>20017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GE-GARDE"/>
      <sheetName val="BU-1"/>
      <sheetName val="BU-2"/>
      <sheetName val="BU-3"/>
      <sheetName val="BU-4"/>
      <sheetName val="Evénements"/>
    </sheetNames>
    <sheetDataSet>
      <sheetData sheetId="0"/>
      <sheetData sheetId="1"/>
      <sheetData sheetId="2">
        <row r="10">
          <cell r="E10">
            <v>17040</v>
          </cell>
        </row>
        <row r="11">
          <cell r="E11">
            <v>95187</v>
          </cell>
        </row>
        <row r="15">
          <cell r="E15">
            <v>174358</v>
          </cell>
        </row>
        <row r="17">
          <cell r="E17">
            <v>49396</v>
          </cell>
        </row>
        <row r="18">
          <cell r="E18">
            <v>48153</v>
          </cell>
        </row>
        <row r="19">
          <cell r="E19">
            <v>8345.6389999999992</v>
          </cell>
        </row>
        <row r="20">
          <cell r="E20">
            <v>144399</v>
          </cell>
        </row>
        <row r="27">
          <cell r="E27">
            <v>111.74</v>
          </cell>
        </row>
        <row r="28">
          <cell r="E28">
            <v>1439.6095081079375</v>
          </cell>
        </row>
        <row r="29">
          <cell r="E29">
            <v>8780.9404918920663</v>
          </cell>
        </row>
        <row r="30">
          <cell r="E30">
            <v>1436</v>
          </cell>
        </row>
        <row r="31">
          <cell r="E31">
            <v>200</v>
          </cell>
        </row>
        <row r="32">
          <cell r="E32">
            <v>301</v>
          </cell>
        </row>
        <row r="33">
          <cell r="E33">
            <v>0</v>
          </cell>
        </row>
        <row r="35">
          <cell r="E35">
            <v>232</v>
          </cell>
        </row>
      </sheetData>
      <sheetData sheetId="3">
        <row r="11">
          <cell r="F11">
            <v>6931.1900000000151</v>
          </cell>
        </row>
        <row r="12">
          <cell r="F12">
            <v>1050</v>
          </cell>
        </row>
        <row r="13">
          <cell r="F13">
            <v>174208</v>
          </cell>
        </row>
        <row r="37">
          <cell r="F37">
            <v>93037</v>
          </cell>
        </row>
        <row r="38">
          <cell r="F38">
            <v>2150</v>
          </cell>
        </row>
        <row r="41">
          <cell r="F41">
            <v>0</v>
          </cell>
        </row>
        <row r="44">
          <cell r="F44">
            <v>5077</v>
          </cell>
        </row>
        <row r="45">
          <cell r="F45">
            <v>1471</v>
          </cell>
        </row>
        <row r="46">
          <cell r="F46">
            <v>0</v>
          </cell>
        </row>
        <row r="58">
          <cell r="F58">
            <v>19173</v>
          </cell>
        </row>
        <row r="59">
          <cell r="F59">
            <v>4215.7650000000003</v>
          </cell>
        </row>
        <row r="69">
          <cell r="F69">
            <v>124812</v>
          </cell>
        </row>
        <row r="71">
          <cell r="F71">
            <v>4129.8739999999998</v>
          </cell>
        </row>
        <row r="82">
          <cell r="H82">
            <v>19.420000000000002</v>
          </cell>
          <cell r="J82">
            <v>19.357152360000001</v>
          </cell>
        </row>
      </sheetData>
      <sheetData sheetId="4">
        <row r="35">
          <cell r="E35">
            <v>30.363194444444446</v>
          </cell>
          <cell r="F35">
            <v>0</v>
          </cell>
          <cell r="G35">
            <v>0</v>
          </cell>
          <cell r="H35">
            <v>0.63680555555555551</v>
          </cell>
        </row>
      </sheetData>
      <sheetData sheetId="5"/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uil1"/>
      <sheetName val="Feuil3"/>
      <sheetName val="Feuil2"/>
      <sheetName val="Mat aux"/>
      <sheetName val="PMP-PR"/>
      <sheetName val="cons sp"/>
    </sheetNames>
    <sheetDataSet>
      <sheetData sheetId="0">
        <row r="40">
          <cell r="K40">
            <v>35335</v>
          </cell>
          <cell r="L40">
            <v>58431</v>
          </cell>
          <cell r="M40">
            <v>3731</v>
          </cell>
          <cell r="N40">
            <v>2150</v>
          </cell>
          <cell r="O40">
            <v>5710</v>
          </cell>
          <cell r="Q40">
            <v>84588</v>
          </cell>
          <cell r="R40">
            <v>18515</v>
          </cell>
          <cell r="S40">
            <v>0</v>
          </cell>
          <cell r="T40">
            <v>2254</v>
          </cell>
          <cell r="AO40">
            <v>26480</v>
          </cell>
          <cell r="AP40">
            <v>21673</v>
          </cell>
          <cell r="AX40">
            <v>24073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GE-GARDE"/>
      <sheetName val="BU-1"/>
      <sheetName val="BU-2"/>
      <sheetName val="BU-3"/>
      <sheetName val="BU-4"/>
      <sheetName val="Evénements"/>
    </sheetNames>
    <sheetDataSet>
      <sheetData sheetId="0"/>
      <sheetData sheetId="1"/>
      <sheetData sheetId="2">
        <row r="10">
          <cell r="E10">
            <v>15052</v>
          </cell>
        </row>
        <row r="11">
          <cell r="E11">
            <v>88252</v>
          </cell>
        </row>
        <row r="15">
          <cell r="E15">
            <v>186927</v>
          </cell>
        </row>
        <row r="17">
          <cell r="E17">
            <v>47829</v>
          </cell>
        </row>
        <row r="18">
          <cell r="E18">
            <v>45481</v>
          </cell>
        </row>
        <row r="19">
          <cell r="E19">
            <v>8051.4049999999997</v>
          </cell>
        </row>
        <row r="20">
          <cell r="E20">
            <v>142705</v>
          </cell>
        </row>
        <row r="27">
          <cell r="E27">
            <v>120.93</v>
          </cell>
        </row>
        <row r="28">
          <cell r="E28">
            <v>714.83405865259579</v>
          </cell>
        </row>
        <row r="29">
          <cell r="E29">
            <v>7826.1759413474265</v>
          </cell>
        </row>
        <row r="30">
          <cell r="E30">
            <v>2168</v>
          </cell>
        </row>
        <row r="31">
          <cell r="E31">
            <v>0</v>
          </cell>
        </row>
        <row r="32">
          <cell r="E32">
            <v>598</v>
          </cell>
        </row>
        <row r="33">
          <cell r="E33">
            <v>0</v>
          </cell>
        </row>
        <row r="35">
          <cell r="E35">
            <v>6695</v>
          </cell>
        </row>
      </sheetData>
      <sheetData sheetId="3">
        <row r="11">
          <cell r="F11">
            <v>6631.92</v>
          </cell>
        </row>
        <row r="12">
          <cell r="F12">
            <v>974</v>
          </cell>
        </row>
        <row r="13">
          <cell r="F13">
            <v>186977</v>
          </cell>
        </row>
        <row r="37">
          <cell r="F37">
            <v>85835</v>
          </cell>
        </row>
        <row r="38">
          <cell r="F38">
            <v>2380</v>
          </cell>
        </row>
        <row r="41">
          <cell r="F41">
            <v>0</v>
          </cell>
        </row>
        <row r="44">
          <cell r="F44">
            <v>4653</v>
          </cell>
        </row>
        <row r="45">
          <cell r="F45">
            <v>1354</v>
          </cell>
        </row>
        <row r="46">
          <cell r="F46">
            <v>0</v>
          </cell>
        </row>
        <row r="58">
          <cell r="F58">
            <v>17837</v>
          </cell>
        </row>
        <row r="59">
          <cell r="F59">
            <v>3951.4160000000002</v>
          </cell>
        </row>
        <row r="69">
          <cell r="F69">
            <v>139148</v>
          </cell>
        </row>
        <row r="71">
          <cell r="F71">
            <v>4099.9889999999996</v>
          </cell>
        </row>
        <row r="82">
          <cell r="H82">
            <v>13.34</v>
          </cell>
          <cell r="J82">
            <v>17.800945680000002</v>
          </cell>
        </row>
      </sheetData>
      <sheetData sheetId="4">
        <row r="35">
          <cell r="E35">
            <v>28.9</v>
          </cell>
          <cell r="F35">
            <v>0</v>
          </cell>
          <cell r="G35">
            <v>0</v>
          </cell>
          <cell r="H35">
            <v>1.1000000000000001</v>
          </cell>
        </row>
      </sheetData>
      <sheetData sheetId="5"/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uil1"/>
      <sheetName val="Feuil3"/>
      <sheetName val="Feuil2"/>
      <sheetName val="Mat aux"/>
      <sheetName val="PMP-PR"/>
      <sheetName val="cons sp"/>
    </sheetNames>
    <sheetDataSet>
      <sheetData sheetId="0">
        <row r="40">
          <cell r="K40">
            <v>33990</v>
          </cell>
          <cell r="L40">
            <v>55497</v>
          </cell>
          <cell r="M40">
            <v>3324</v>
          </cell>
          <cell r="N40">
            <v>2380</v>
          </cell>
          <cell r="O40">
            <v>5556</v>
          </cell>
          <cell r="Q40">
            <v>81146</v>
          </cell>
          <cell r="R40">
            <v>18957</v>
          </cell>
          <cell r="S40">
            <v>40</v>
          </cell>
          <cell r="T40">
            <v>604</v>
          </cell>
          <cell r="AO40">
            <v>23717</v>
          </cell>
          <cell r="AP40">
            <v>21764</v>
          </cell>
          <cell r="AX40">
            <v>22921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GE-GARDE"/>
      <sheetName val="BU-1"/>
      <sheetName val="BU-2"/>
      <sheetName val="BU-3"/>
      <sheetName val="BU-4"/>
      <sheetName val="Evénements"/>
    </sheetNames>
    <sheetDataSet>
      <sheetData sheetId="0"/>
      <sheetData sheetId="1"/>
      <sheetData sheetId="2">
        <row r="10">
          <cell r="E10">
            <v>16215</v>
          </cell>
        </row>
        <row r="11">
          <cell r="E11">
            <v>95202</v>
          </cell>
        </row>
        <row r="15">
          <cell r="E15">
            <v>178256</v>
          </cell>
        </row>
        <row r="17">
          <cell r="E17">
            <v>48105</v>
          </cell>
        </row>
        <row r="18">
          <cell r="E18">
            <v>45368</v>
          </cell>
        </row>
        <row r="19">
          <cell r="E19">
            <v>8612.77</v>
          </cell>
        </row>
        <row r="20">
          <cell r="E20">
            <v>147475</v>
          </cell>
        </row>
        <row r="27">
          <cell r="E27">
            <v>40.42</v>
          </cell>
        </row>
        <row r="28">
          <cell r="E28">
            <v>938.92300274591935</v>
          </cell>
        </row>
        <row r="29">
          <cell r="E29">
            <v>8320.7369972540819</v>
          </cell>
        </row>
        <row r="30">
          <cell r="E30">
            <v>1259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5">
          <cell r="E35">
            <v>2654</v>
          </cell>
        </row>
      </sheetData>
      <sheetData sheetId="3">
        <row r="11">
          <cell r="F11">
            <v>6995.76</v>
          </cell>
        </row>
        <row r="12">
          <cell r="F12">
            <v>1283</v>
          </cell>
        </row>
        <row r="13">
          <cell r="F13">
            <v>178206</v>
          </cell>
        </row>
        <row r="37">
          <cell r="F37">
            <v>92532</v>
          </cell>
        </row>
        <row r="38">
          <cell r="F38">
            <v>2670</v>
          </cell>
        </row>
        <row r="41">
          <cell r="F41">
            <v>0</v>
          </cell>
        </row>
        <row r="44">
          <cell r="F44">
            <v>5046</v>
          </cell>
        </row>
        <row r="45">
          <cell r="F45">
            <v>1484</v>
          </cell>
        </row>
        <row r="46">
          <cell r="F46">
            <v>0</v>
          </cell>
        </row>
        <row r="58">
          <cell r="F58">
            <v>18552</v>
          </cell>
        </row>
        <row r="59">
          <cell r="F59">
            <v>4136.3609999999999</v>
          </cell>
        </row>
        <row r="69">
          <cell r="F69">
            <v>130101</v>
          </cell>
        </row>
        <row r="71">
          <cell r="F71">
            <v>4476.4089999999997</v>
          </cell>
        </row>
        <row r="82">
          <cell r="H82">
            <v>25.7</v>
          </cell>
          <cell r="J82">
            <v>19.502264879999998</v>
          </cell>
        </row>
      </sheetData>
      <sheetData sheetId="4">
        <row r="35">
          <cell r="E35">
            <v>30.815972222222221</v>
          </cell>
          <cell r="F35">
            <v>0</v>
          </cell>
          <cell r="G35">
            <v>0.18402777777777779</v>
          </cell>
          <cell r="H35">
            <v>0</v>
          </cell>
        </row>
      </sheetData>
      <sheetData sheetId="5"/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uil1"/>
      <sheetName val="Feuil3"/>
      <sheetName val="Feuil2"/>
      <sheetName val="Mat aux"/>
      <sheetName val="PMP-PR"/>
      <sheetName val="cons sp"/>
    </sheetNames>
    <sheetDataSet>
      <sheetData sheetId="0">
        <row r="40">
          <cell r="K40">
            <v>35401</v>
          </cell>
          <cell r="L40">
            <v>61112</v>
          </cell>
          <cell r="M40">
            <v>2725</v>
          </cell>
          <cell r="N40">
            <v>2670</v>
          </cell>
          <cell r="O40">
            <v>5953</v>
          </cell>
          <cell r="Q40">
            <v>87761</v>
          </cell>
          <cell r="R40">
            <v>19534</v>
          </cell>
          <cell r="S40">
            <v>80</v>
          </cell>
          <cell r="T40">
            <v>486</v>
          </cell>
          <cell r="AO40">
            <v>24723</v>
          </cell>
          <cell r="AP40">
            <v>20645</v>
          </cell>
          <cell r="AX40">
            <v>22010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externalLinks/externalLink8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GE-GARDE"/>
      <sheetName val="BU-1"/>
      <sheetName val="BU-2"/>
      <sheetName val="BU-3"/>
      <sheetName val="BU-4"/>
      <sheetName val="Evénements"/>
    </sheetNames>
    <sheetDataSet>
      <sheetData sheetId="0"/>
      <sheetData sheetId="1"/>
      <sheetData sheetId="2">
        <row r="10">
          <cell r="E10">
            <v>16647</v>
          </cell>
        </row>
        <row r="11">
          <cell r="E11">
            <v>88714</v>
          </cell>
        </row>
        <row r="15">
          <cell r="E15">
            <v>186407</v>
          </cell>
        </row>
        <row r="17">
          <cell r="E17">
            <v>76760</v>
          </cell>
        </row>
        <row r="18">
          <cell r="E18">
            <v>73151</v>
          </cell>
        </row>
        <row r="19">
          <cell r="E19">
            <v>7489.41</v>
          </cell>
        </row>
        <row r="20">
          <cell r="E20">
            <v>138770</v>
          </cell>
        </row>
        <row r="27">
          <cell r="E27">
            <v>0</v>
          </cell>
        </row>
        <row r="28">
          <cell r="E28">
            <v>1999.3512705361613</v>
          </cell>
        </row>
        <row r="29">
          <cell r="E29">
            <v>8293.7787294638292</v>
          </cell>
        </row>
        <row r="30">
          <cell r="E30">
            <v>2266</v>
          </cell>
        </row>
        <row r="31">
          <cell r="E31">
            <v>202</v>
          </cell>
        </row>
        <row r="32">
          <cell r="E32">
            <v>0</v>
          </cell>
        </row>
        <row r="33">
          <cell r="E33">
            <v>0</v>
          </cell>
        </row>
        <row r="35">
          <cell r="E35">
            <v>660</v>
          </cell>
        </row>
      </sheetData>
      <sheetData sheetId="3">
        <row r="11">
          <cell r="F11">
            <v>6353.8700000000008</v>
          </cell>
        </row>
        <row r="12">
          <cell r="F12">
            <v>1547</v>
          </cell>
        </row>
        <row r="13">
          <cell r="F13">
            <v>186407</v>
          </cell>
        </row>
        <row r="37">
          <cell r="F37">
            <v>83575</v>
          </cell>
        </row>
        <row r="38">
          <cell r="F38">
            <v>5139</v>
          </cell>
        </row>
        <row r="41">
          <cell r="F41">
            <v>0</v>
          </cell>
        </row>
        <row r="44">
          <cell r="F44">
            <v>8317</v>
          </cell>
        </row>
        <row r="45">
          <cell r="F45">
            <v>2057</v>
          </cell>
        </row>
        <row r="46">
          <cell r="F46">
            <v>15.7</v>
          </cell>
        </row>
        <row r="58">
          <cell r="F58">
            <v>17751</v>
          </cell>
        </row>
        <row r="59">
          <cell r="F59">
            <v>3818.9</v>
          </cell>
        </row>
        <row r="69">
          <cell r="F69">
            <v>109647</v>
          </cell>
        </row>
        <row r="71">
          <cell r="F71">
            <v>3654.81</v>
          </cell>
        </row>
        <row r="82">
          <cell r="H82">
            <v>29.1</v>
          </cell>
          <cell r="J82">
            <v>32.768265599999999</v>
          </cell>
        </row>
      </sheetData>
      <sheetData sheetId="4">
        <row r="35">
          <cell r="E35">
            <v>30</v>
          </cell>
          <cell r="F35">
            <v>0</v>
          </cell>
          <cell r="G35">
            <v>0</v>
          </cell>
          <cell r="H35">
            <v>0</v>
          </cell>
        </row>
      </sheetData>
      <sheetData sheetId="5"/>
    </sheetDataSet>
  </externalBook>
</externalLink>
</file>

<file path=xl/externalLinks/externalLink8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uil1"/>
      <sheetName val="Feuil3"/>
      <sheetName val="Feuil2"/>
      <sheetName val="Mat aux"/>
      <sheetName val="PMP-PR"/>
      <sheetName val="cons sp"/>
    </sheetNames>
    <sheetDataSet>
      <sheetData sheetId="0">
        <row r="40">
          <cell r="K40">
            <v>33692</v>
          </cell>
          <cell r="L40">
            <v>43415</v>
          </cell>
          <cell r="M40">
            <v>2029</v>
          </cell>
          <cell r="N40">
            <v>5139</v>
          </cell>
          <cell r="O40">
            <v>5936</v>
          </cell>
          <cell r="Q40">
            <v>71786</v>
          </cell>
          <cell r="R40">
            <v>13311</v>
          </cell>
          <cell r="S40">
            <v>0</v>
          </cell>
          <cell r="T40">
            <v>5114</v>
          </cell>
          <cell r="AO40">
            <v>38664</v>
          </cell>
          <cell r="AP40">
            <v>34487</v>
          </cell>
          <cell r="AX40">
            <v>46533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externalLinks/externalLink8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GE-GARDE"/>
      <sheetName val="BU-1"/>
      <sheetName val="BU-2"/>
      <sheetName val="BU-3"/>
      <sheetName val="BU-4"/>
      <sheetName val="Evénements"/>
    </sheetNames>
    <sheetDataSet>
      <sheetData sheetId="0"/>
      <sheetData sheetId="1"/>
      <sheetData sheetId="2">
        <row r="10">
          <cell r="E10">
            <v>14572</v>
          </cell>
        </row>
        <row r="11">
          <cell r="E11">
            <v>86797</v>
          </cell>
        </row>
        <row r="15">
          <cell r="E15">
            <v>162153</v>
          </cell>
        </row>
        <row r="17">
          <cell r="E17">
            <v>63464</v>
          </cell>
        </row>
        <row r="19">
          <cell r="E19">
            <v>7922.6580000000004</v>
          </cell>
        </row>
        <row r="20">
          <cell r="E20">
            <v>144790</v>
          </cell>
        </row>
        <row r="27">
          <cell r="E27">
            <v>314.67</v>
          </cell>
        </row>
        <row r="28">
          <cell r="E28">
            <v>1168.511</v>
          </cell>
        </row>
        <row r="29">
          <cell r="E29">
            <v>7043.3890000000001</v>
          </cell>
        </row>
        <row r="30">
          <cell r="E30">
            <v>3283</v>
          </cell>
        </row>
        <row r="31">
          <cell r="E31">
            <v>0</v>
          </cell>
        </row>
        <row r="32">
          <cell r="E32">
            <v>667</v>
          </cell>
        </row>
        <row r="33">
          <cell r="E33">
            <v>0</v>
          </cell>
        </row>
        <row r="35">
          <cell r="E35">
            <v>7617</v>
          </cell>
        </row>
      </sheetData>
      <sheetData sheetId="3">
        <row r="11">
          <cell r="F11">
            <v>6674.77</v>
          </cell>
        </row>
        <row r="12">
          <cell r="F12">
            <v>1508</v>
          </cell>
        </row>
        <row r="13">
          <cell r="F13">
            <v>162154</v>
          </cell>
        </row>
        <row r="37">
          <cell r="F37">
            <v>82687</v>
          </cell>
        </row>
        <row r="38">
          <cell r="F38">
            <v>4110</v>
          </cell>
        </row>
        <row r="41">
          <cell r="F41">
            <v>0</v>
          </cell>
        </row>
        <row r="44">
          <cell r="F44">
            <v>24125</v>
          </cell>
        </row>
        <row r="45">
          <cell r="F45">
            <v>1804</v>
          </cell>
        </row>
        <row r="46">
          <cell r="F46">
            <v>0</v>
          </cell>
        </row>
        <row r="58">
          <cell r="F58">
            <v>16981</v>
          </cell>
        </row>
        <row r="59">
          <cell r="F59">
            <v>3761.9789999999998</v>
          </cell>
        </row>
        <row r="69">
          <cell r="F69">
            <v>98690</v>
          </cell>
        </row>
        <row r="71">
          <cell r="F71">
            <v>4160.6790000000001</v>
          </cell>
        </row>
        <row r="82">
          <cell r="H82">
            <v>29.099999999999998</v>
          </cell>
          <cell r="J82">
            <v>28.619334240000001</v>
          </cell>
        </row>
      </sheetData>
      <sheetData sheetId="4">
        <row r="35">
          <cell r="E35">
            <v>28.590277777777782</v>
          </cell>
          <cell r="F35">
            <v>0</v>
          </cell>
          <cell r="G35">
            <v>2.4097222222222228</v>
          </cell>
          <cell r="H35">
            <v>0</v>
          </cell>
        </row>
      </sheetData>
      <sheetData sheetId="5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GE-GARDE"/>
      <sheetName val="BU-1"/>
      <sheetName val="BU-2"/>
      <sheetName val="BU-3"/>
      <sheetName val="BU-4"/>
    </sheetNames>
    <sheetDataSet>
      <sheetData sheetId="0"/>
      <sheetData sheetId="1"/>
      <sheetData sheetId="2">
        <row r="10">
          <cell r="E10">
            <v>20091</v>
          </cell>
        </row>
        <row r="11">
          <cell r="E11">
            <v>101411</v>
          </cell>
        </row>
        <row r="15">
          <cell r="E15">
            <v>216372</v>
          </cell>
        </row>
        <row r="17">
          <cell r="E17">
            <v>63606</v>
          </cell>
        </row>
        <row r="18">
          <cell r="E18">
            <v>60140</v>
          </cell>
        </row>
        <row r="19">
          <cell r="E19">
            <v>8782.8819999999996</v>
          </cell>
        </row>
        <row r="27">
          <cell r="E27">
            <v>161.77999999999884</v>
          </cell>
        </row>
        <row r="28">
          <cell r="E28">
            <v>3086.82441892524</v>
          </cell>
        </row>
        <row r="29">
          <cell r="E29">
            <v>10213.40995607476</v>
          </cell>
        </row>
        <row r="30">
          <cell r="E30">
            <v>595</v>
          </cell>
        </row>
        <row r="31">
          <cell r="E31">
            <v>1622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</sheetData>
      <sheetData sheetId="3">
        <row r="11">
          <cell r="F11">
            <v>6952.619999999999</v>
          </cell>
        </row>
        <row r="12">
          <cell r="F12">
            <v>1774</v>
          </cell>
        </row>
        <row r="13">
          <cell r="F13">
            <v>216372</v>
          </cell>
        </row>
        <row r="37">
          <cell r="F37">
            <v>97334</v>
          </cell>
        </row>
        <row r="38">
          <cell r="F38">
            <v>1860</v>
          </cell>
        </row>
        <row r="39">
          <cell r="F39">
            <v>9438</v>
          </cell>
        </row>
        <row r="41">
          <cell r="F41">
            <v>0</v>
          </cell>
        </row>
        <row r="44">
          <cell r="F44">
            <v>10510</v>
          </cell>
        </row>
        <row r="45">
          <cell r="F45">
            <v>1687</v>
          </cell>
        </row>
        <row r="46">
          <cell r="F46">
            <v>0</v>
          </cell>
        </row>
        <row r="47">
          <cell r="F47">
            <v>20895</v>
          </cell>
        </row>
        <row r="56">
          <cell r="F56">
            <v>156699</v>
          </cell>
        </row>
        <row r="58">
          <cell r="F58">
            <v>21793</v>
          </cell>
        </row>
        <row r="59">
          <cell r="F59">
            <v>4725.4799999999996</v>
          </cell>
        </row>
        <row r="69">
          <cell r="F69">
            <v>152766</v>
          </cell>
        </row>
        <row r="71">
          <cell r="F71">
            <v>4057.402</v>
          </cell>
        </row>
        <row r="72">
          <cell r="F72">
            <v>64900</v>
          </cell>
        </row>
        <row r="82">
          <cell r="H82">
            <v>49.898000000000003</v>
          </cell>
          <cell r="J82">
            <v>49.383291719999995</v>
          </cell>
        </row>
        <row r="83">
          <cell r="H83">
            <v>0</v>
          </cell>
          <cell r="J83">
            <v>0</v>
          </cell>
        </row>
        <row r="84">
          <cell r="H84">
            <v>105.8801125</v>
          </cell>
          <cell r="J84">
            <v>106.692639</v>
          </cell>
        </row>
      </sheetData>
      <sheetData sheetId="4">
        <row r="35">
          <cell r="E35">
            <v>29.913194444444443</v>
          </cell>
          <cell r="F35">
            <v>0</v>
          </cell>
          <cell r="G35">
            <v>0</v>
          </cell>
          <cell r="H35">
            <v>1.0868055555555556</v>
          </cell>
        </row>
      </sheetData>
    </sheetDataSet>
  </externalBook>
</externalLink>
</file>

<file path=xl/externalLinks/externalLink9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uil1"/>
      <sheetName val="Feuil3"/>
      <sheetName val="Feuil2"/>
      <sheetName val="Mat aux"/>
      <sheetName val="PMP-PR"/>
      <sheetName val="cons sp"/>
    </sheetNames>
    <sheetDataSet>
      <sheetData sheetId="0">
        <row r="40">
          <cell r="K40">
            <v>33440</v>
          </cell>
          <cell r="L40">
            <v>53348</v>
          </cell>
          <cell r="M40">
            <v>1923</v>
          </cell>
          <cell r="N40">
            <v>4110</v>
          </cell>
          <cell r="O40">
            <v>6240</v>
          </cell>
          <cell r="Q40">
            <v>79720</v>
          </cell>
          <cell r="R40">
            <v>14408</v>
          </cell>
          <cell r="S40">
            <v>0</v>
          </cell>
          <cell r="T40">
            <v>4933</v>
          </cell>
          <cell r="AO40">
            <v>31786</v>
          </cell>
          <cell r="AP40">
            <v>28416</v>
          </cell>
          <cell r="AX40">
            <v>36157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externalLinks/externalLink9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GE-GARDE"/>
      <sheetName val="BU-1"/>
      <sheetName val="BU-2"/>
      <sheetName val="BU-3"/>
      <sheetName val="BU-4"/>
      <sheetName val="Evénements"/>
    </sheetNames>
    <sheetDataSet>
      <sheetData sheetId="0"/>
      <sheetData sheetId="1"/>
      <sheetData sheetId="2">
        <row r="10">
          <cell r="E10">
            <v>16456</v>
          </cell>
        </row>
        <row r="11">
          <cell r="E11">
            <v>93445</v>
          </cell>
        </row>
        <row r="15">
          <cell r="E15">
            <v>184029</v>
          </cell>
        </row>
        <row r="17">
          <cell r="E17">
            <v>76010</v>
          </cell>
        </row>
        <row r="18">
          <cell r="E18">
            <v>72954</v>
          </cell>
        </row>
        <row r="19">
          <cell r="E19">
            <v>8179.3860000000004</v>
          </cell>
        </row>
        <row r="20">
          <cell r="E20">
            <v>143140</v>
          </cell>
        </row>
        <row r="27">
          <cell r="E27">
            <v>0</v>
          </cell>
        </row>
        <row r="28">
          <cell r="E28">
            <v>2111.4957801771006</v>
          </cell>
        </row>
        <row r="29">
          <cell r="E29">
            <v>7569.82421982292</v>
          </cell>
        </row>
        <row r="30">
          <cell r="E30">
            <v>1369</v>
          </cell>
        </row>
        <row r="31">
          <cell r="E31">
            <v>758</v>
          </cell>
        </row>
        <row r="32">
          <cell r="E32">
            <v>0</v>
          </cell>
        </row>
        <row r="33">
          <cell r="E33">
            <v>0</v>
          </cell>
        </row>
        <row r="35">
          <cell r="E35">
            <v>0</v>
          </cell>
        </row>
      </sheetData>
      <sheetData sheetId="3">
        <row r="11">
          <cell r="F11">
            <v>6774.6799999999985</v>
          </cell>
        </row>
        <row r="12">
          <cell r="F12">
            <v>1160</v>
          </cell>
        </row>
        <row r="13">
          <cell r="F13">
            <v>184379</v>
          </cell>
        </row>
        <row r="37">
          <cell r="F37">
            <v>91585</v>
          </cell>
        </row>
        <row r="38">
          <cell r="F38">
            <v>1860</v>
          </cell>
        </row>
        <row r="41">
          <cell r="F41">
            <v>0</v>
          </cell>
        </row>
        <row r="44">
          <cell r="F44">
            <v>25680</v>
          </cell>
        </row>
        <row r="45">
          <cell r="F45">
            <v>1951</v>
          </cell>
        </row>
        <row r="46">
          <cell r="F46">
            <v>0</v>
          </cell>
        </row>
        <row r="58">
          <cell r="F58">
            <v>17550</v>
          </cell>
        </row>
        <row r="59">
          <cell r="F59">
            <v>3929.9569999999999</v>
          </cell>
        </row>
        <row r="69">
          <cell r="F69">
            <v>108369</v>
          </cell>
        </row>
        <row r="71">
          <cell r="F71">
            <v>4249.4290000000001</v>
          </cell>
        </row>
        <row r="82">
          <cell r="H82">
            <v>30.55</v>
          </cell>
          <cell r="J82">
            <v>31.992664199999997</v>
          </cell>
        </row>
      </sheetData>
      <sheetData sheetId="4">
        <row r="35">
          <cell r="E35">
            <v>31</v>
          </cell>
          <cell r="F35">
            <v>0</v>
          </cell>
          <cell r="G35">
            <v>0</v>
          </cell>
          <cell r="H35">
            <v>0</v>
          </cell>
        </row>
      </sheetData>
      <sheetData sheetId="5"/>
    </sheetDataSet>
  </externalBook>
</externalLink>
</file>

<file path=xl/externalLinks/externalLink9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uil1"/>
      <sheetName val="Feuil3"/>
      <sheetName val="Feuil2"/>
      <sheetName val="Mat aux"/>
      <sheetName val="PMP-PR"/>
      <sheetName val="cons sp"/>
    </sheetNames>
    <sheetDataSet>
      <sheetData sheetId="0">
        <row r="40">
          <cell r="K40">
            <v>36013</v>
          </cell>
          <cell r="L40">
            <v>54991</v>
          </cell>
          <cell r="M40">
            <v>115</v>
          </cell>
          <cell r="N40">
            <v>1860</v>
          </cell>
          <cell r="O40">
            <v>5544</v>
          </cell>
          <cell r="Q40">
            <v>84388</v>
          </cell>
          <cell r="R40">
            <v>12070</v>
          </cell>
          <cell r="S40">
            <v>0</v>
          </cell>
          <cell r="T40">
            <v>2065</v>
          </cell>
          <cell r="AO40">
            <v>39663</v>
          </cell>
          <cell r="AP40">
            <v>33291</v>
          </cell>
          <cell r="AX40">
            <v>46869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externalLinks/externalLink9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GE-GARDE"/>
      <sheetName val="BU-1"/>
      <sheetName val="BU-2"/>
      <sheetName val="BU-3"/>
      <sheetName val="BU-4"/>
      <sheetName val="Evénements"/>
    </sheetNames>
    <sheetDataSet>
      <sheetData sheetId="0"/>
      <sheetData sheetId="1"/>
      <sheetData sheetId="2">
        <row r="10">
          <cell r="E10">
            <v>15706</v>
          </cell>
        </row>
        <row r="11">
          <cell r="E11">
            <v>88354</v>
          </cell>
        </row>
        <row r="15">
          <cell r="E15">
            <v>195338</v>
          </cell>
        </row>
        <row r="17">
          <cell r="E17">
            <v>65174</v>
          </cell>
        </row>
        <row r="18">
          <cell r="E18">
            <v>61886</v>
          </cell>
        </row>
        <row r="19">
          <cell r="E19">
            <v>7895.52</v>
          </cell>
        </row>
        <row r="20">
          <cell r="E20">
            <v>137379</v>
          </cell>
        </row>
        <row r="27">
          <cell r="E27">
            <v>197.43</v>
          </cell>
        </row>
        <row r="28">
          <cell r="E28">
            <v>1343.2559113927528</v>
          </cell>
        </row>
        <row r="29">
          <cell r="E29">
            <v>7932.8140886072106</v>
          </cell>
        </row>
        <row r="30">
          <cell r="E30">
            <v>1616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5">
          <cell r="E35">
            <v>198</v>
          </cell>
        </row>
      </sheetData>
      <sheetData sheetId="3">
        <row r="11">
          <cell r="F11">
            <v>6627.3600000000006</v>
          </cell>
        </row>
        <row r="12">
          <cell r="F12">
            <v>1479</v>
          </cell>
        </row>
        <row r="13">
          <cell r="F13">
            <v>195338</v>
          </cell>
        </row>
        <row r="37">
          <cell r="F37">
            <v>85514</v>
          </cell>
        </row>
        <row r="38">
          <cell r="F38">
            <v>2840</v>
          </cell>
        </row>
        <row r="41">
          <cell r="F41">
            <v>0</v>
          </cell>
        </row>
        <row r="44">
          <cell r="F44">
            <v>24355</v>
          </cell>
        </row>
        <row r="45">
          <cell r="F45">
            <v>1784</v>
          </cell>
        </row>
        <row r="46">
          <cell r="F46">
            <v>0</v>
          </cell>
        </row>
        <row r="58">
          <cell r="F58">
            <v>16728</v>
          </cell>
        </row>
        <row r="59">
          <cell r="F59">
            <v>3831.0639999999999</v>
          </cell>
        </row>
        <row r="69">
          <cell r="F69">
            <v>130164</v>
          </cell>
        </row>
        <row r="71">
          <cell r="F71">
            <v>4064.4560000000001</v>
          </cell>
        </row>
        <row r="82">
          <cell r="H82">
            <v>38.96</v>
          </cell>
          <cell r="J82">
            <v>31.024770839999999</v>
          </cell>
        </row>
      </sheetData>
      <sheetData sheetId="4">
        <row r="35">
          <cell r="E35">
            <v>28.981250000000003</v>
          </cell>
          <cell r="F35">
            <v>0</v>
          </cell>
          <cell r="G35">
            <v>0.11388888888888889</v>
          </cell>
          <cell r="H35">
            <v>0.90486111111111112</v>
          </cell>
        </row>
      </sheetData>
      <sheetData sheetId="5"/>
    </sheetDataSet>
  </externalBook>
</externalLink>
</file>

<file path=xl/externalLinks/externalLink9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uil1"/>
      <sheetName val="Feuil3"/>
      <sheetName val="Feuil2"/>
      <sheetName val="Mat aux"/>
      <sheetName val="PMP-PR"/>
      <sheetName val="cons sp"/>
    </sheetNames>
    <sheetDataSet>
      <sheetData sheetId="0">
        <row r="40">
          <cell r="K40">
            <v>34236</v>
          </cell>
          <cell r="L40">
            <v>49888</v>
          </cell>
          <cell r="M40">
            <v>597</v>
          </cell>
          <cell r="N40">
            <v>2840</v>
          </cell>
          <cell r="O40">
            <v>5566</v>
          </cell>
          <cell r="Q40">
            <v>78235</v>
          </cell>
          <cell r="R40">
            <v>12119</v>
          </cell>
          <cell r="S40">
            <v>0</v>
          </cell>
          <cell r="T40">
            <v>2773</v>
          </cell>
          <cell r="AO40">
            <v>31995</v>
          </cell>
          <cell r="AP40">
            <v>29891</v>
          </cell>
          <cell r="AX40">
            <v>37571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externalLinks/externalLink9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GE-GARDE"/>
      <sheetName val="BU-1"/>
      <sheetName val="BU-2"/>
      <sheetName val="BU-3"/>
      <sheetName val="BU-4"/>
      <sheetName val="Evénements"/>
    </sheetNames>
    <sheetDataSet>
      <sheetData sheetId="0"/>
      <sheetData sheetId="1"/>
      <sheetData sheetId="2">
        <row r="10">
          <cell r="E10">
            <v>16188</v>
          </cell>
        </row>
        <row r="11">
          <cell r="E11">
            <v>94518</v>
          </cell>
        </row>
        <row r="15">
          <cell r="E15">
            <v>196570</v>
          </cell>
        </row>
        <row r="17">
          <cell r="E17">
            <v>45376</v>
          </cell>
        </row>
        <row r="18">
          <cell r="E18">
            <v>42689</v>
          </cell>
        </row>
        <row r="19">
          <cell r="E19">
            <v>8155.4560000000001</v>
          </cell>
        </row>
        <row r="20">
          <cell r="E20">
            <v>143521</v>
          </cell>
        </row>
        <row r="27">
          <cell r="E27">
            <v>88.65</v>
          </cell>
        </row>
        <row r="28">
          <cell r="E28">
            <v>1919.135</v>
          </cell>
        </row>
        <row r="29">
          <cell r="E29">
            <v>7530.5049999999992</v>
          </cell>
        </row>
        <row r="30">
          <cell r="E30">
            <v>395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5">
          <cell r="E35">
            <v>682</v>
          </cell>
        </row>
      </sheetData>
      <sheetData sheetId="3">
        <row r="11">
          <cell r="F11">
            <v>6827.0099999999966</v>
          </cell>
        </row>
        <row r="12">
          <cell r="F12">
            <v>1293</v>
          </cell>
        </row>
        <row r="13">
          <cell r="F13">
            <v>196570</v>
          </cell>
        </row>
        <row r="37">
          <cell r="F37">
            <v>91918</v>
          </cell>
        </row>
        <row r="38">
          <cell r="F38">
            <v>2600</v>
          </cell>
        </row>
        <row r="41">
          <cell r="F41">
            <v>0</v>
          </cell>
        </row>
        <row r="44">
          <cell r="F44">
            <v>23146</v>
          </cell>
        </row>
        <row r="45">
          <cell r="F45">
            <v>1324</v>
          </cell>
        </row>
        <row r="46">
          <cell r="F46">
            <v>0</v>
          </cell>
        </row>
        <row r="58">
          <cell r="F58">
            <v>18039</v>
          </cell>
        </row>
        <row r="59">
          <cell r="F59">
            <v>3913.9409999999998</v>
          </cell>
        </row>
        <row r="69">
          <cell r="F69">
            <v>151194</v>
          </cell>
        </row>
        <row r="71">
          <cell r="F71">
            <v>4241.5150000000003</v>
          </cell>
        </row>
        <row r="82">
          <cell r="H82">
            <v>19.399999999999999</v>
          </cell>
          <cell r="J82">
            <v>21.513109799999999</v>
          </cell>
        </row>
      </sheetData>
      <sheetData sheetId="4">
        <row r="35">
          <cell r="E35">
            <v>30.577777777777779</v>
          </cell>
          <cell r="F35">
            <v>0</v>
          </cell>
          <cell r="G35">
            <v>0.15833333333333333</v>
          </cell>
          <cell r="H35">
            <v>0.2638888888888889</v>
          </cell>
        </row>
      </sheetData>
      <sheetData sheetId="5"/>
    </sheetDataSet>
  </externalBook>
</externalLink>
</file>

<file path=xl/externalLinks/externalLink9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uil1"/>
      <sheetName val="Feuil3"/>
      <sheetName val="Feuil2"/>
      <sheetName val="Mat aux"/>
      <sheetName val="PMP-PR"/>
      <sheetName val="cons sp"/>
    </sheetNames>
    <sheetDataSet>
      <sheetData sheetId="0">
        <row r="40">
          <cell r="K40">
            <v>35165</v>
          </cell>
          <cell r="L40">
            <v>55399</v>
          </cell>
          <cell r="M40">
            <v>0</v>
          </cell>
          <cell r="N40">
            <v>2600</v>
          </cell>
          <cell r="O40">
            <v>5860</v>
          </cell>
          <cell r="Q40">
            <v>85877</v>
          </cell>
          <cell r="R40">
            <v>12987</v>
          </cell>
          <cell r="S40">
            <v>0</v>
          </cell>
          <cell r="T40">
            <v>160</v>
          </cell>
          <cell r="AO40">
            <v>22661</v>
          </cell>
          <cell r="AP40">
            <v>20028</v>
          </cell>
          <cell r="AX40">
            <v>19402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externalLinks/externalLink9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GE-GARDE"/>
      <sheetName val="BU-1"/>
      <sheetName val="BU-2"/>
      <sheetName val="BU-3"/>
      <sheetName val="BU-4"/>
      <sheetName val="Evénements"/>
    </sheetNames>
    <sheetDataSet>
      <sheetData sheetId="0"/>
      <sheetData sheetId="1"/>
      <sheetData sheetId="2">
        <row r="10">
          <cell r="E10">
            <v>15614</v>
          </cell>
        </row>
        <row r="11">
          <cell r="E11">
            <v>91197</v>
          </cell>
        </row>
        <row r="15">
          <cell r="E15">
            <v>183340</v>
          </cell>
        </row>
        <row r="17">
          <cell r="E17">
            <v>48365</v>
          </cell>
        </row>
        <row r="18">
          <cell r="E18">
            <v>45744</v>
          </cell>
        </row>
        <row r="19">
          <cell r="E19">
            <v>7543.7340000000004</v>
          </cell>
        </row>
        <row r="20">
          <cell r="E20">
            <v>140998</v>
          </cell>
        </row>
        <row r="27">
          <cell r="E27">
            <v>0</v>
          </cell>
        </row>
        <row r="28">
          <cell r="E28">
            <v>2791.3231981560257</v>
          </cell>
        </row>
        <row r="29">
          <cell r="E29">
            <v>6173.1968018439657</v>
          </cell>
        </row>
        <row r="30">
          <cell r="E30">
            <v>0</v>
          </cell>
        </row>
        <row r="31">
          <cell r="E31">
            <v>20</v>
          </cell>
        </row>
        <row r="32">
          <cell r="E32">
            <v>0</v>
          </cell>
        </row>
        <row r="33">
          <cell r="E33">
            <v>0</v>
          </cell>
        </row>
        <row r="35">
          <cell r="E35">
            <v>3207</v>
          </cell>
        </row>
      </sheetData>
      <sheetData sheetId="3">
        <row r="11">
          <cell r="F11">
            <v>6649.4800000000014</v>
          </cell>
        </row>
        <row r="12">
          <cell r="F12">
            <v>1181</v>
          </cell>
        </row>
        <row r="13">
          <cell r="F13">
            <v>183340</v>
          </cell>
        </row>
        <row r="37">
          <cell r="F37">
            <v>89137</v>
          </cell>
        </row>
        <row r="38">
          <cell r="F38">
            <v>2060</v>
          </cell>
        </row>
        <row r="41">
          <cell r="F41">
            <v>0</v>
          </cell>
        </row>
        <row r="44">
          <cell r="F44">
            <v>23247</v>
          </cell>
        </row>
        <row r="45">
          <cell r="F45">
            <v>1420</v>
          </cell>
        </row>
        <row r="46">
          <cell r="F46">
            <v>0</v>
          </cell>
        </row>
        <row r="58">
          <cell r="F58">
            <v>17838</v>
          </cell>
        </row>
        <row r="59">
          <cell r="F59">
            <v>3840.0050000000001</v>
          </cell>
        </row>
        <row r="69">
          <cell r="F69">
            <v>134975</v>
          </cell>
        </row>
        <row r="71">
          <cell r="F71">
            <v>3703.7289999999998</v>
          </cell>
        </row>
        <row r="82">
          <cell r="H82">
            <v>19.440000000000001</v>
          </cell>
          <cell r="J82">
            <v>22.789099199999999</v>
          </cell>
        </row>
      </sheetData>
      <sheetData sheetId="4">
        <row r="35">
          <cell r="E35">
            <v>30</v>
          </cell>
          <cell r="F35">
            <v>0</v>
          </cell>
          <cell r="G35">
            <v>0</v>
          </cell>
          <cell r="H35">
            <v>0</v>
          </cell>
        </row>
      </sheetData>
      <sheetData sheetId="5"/>
    </sheetDataSet>
  </externalBook>
</externalLink>
</file>

<file path=xl/externalLinks/externalLink9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uil1"/>
      <sheetName val="Feuil3"/>
      <sheetName val="Feuil2"/>
      <sheetName val="Mat aux"/>
      <sheetName val="PMP-PR"/>
      <sheetName val="cons sp"/>
    </sheetNames>
    <sheetDataSet>
      <sheetData sheetId="0">
        <row r="40">
          <cell r="K40">
            <v>34178</v>
          </cell>
          <cell r="L40">
            <v>54610</v>
          </cell>
          <cell r="M40">
            <v>0</v>
          </cell>
          <cell r="N40">
            <v>2060</v>
          </cell>
          <cell r="O40">
            <v>5341</v>
          </cell>
          <cell r="Q40">
            <v>82889</v>
          </cell>
          <cell r="R40">
            <v>12930</v>
          </cell>
          <cell r="S40">
            <v>0</v>
          </cell>
          <cell r="T40">
            <v>370</v>
          </cell>
          <cell r="AO40">
            <v>24803</v>
          </cell>
          <cell r="AP40">
            <v>20941</v>
          </cell>
          <cell r="AX40">
            <v>22377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externalLinks/externalLink9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GE-GARDE"/>
      <sheetName val="BU-1"/>
      <sheetName val="BU-2"/>
      <sheetName val="BU-3"/>
      <sheetName val="BU-4"/>
      <sheetName val="Evénements"/>
    </sheetNames>
    <sheetDataSet>
      <sheetData sheetId="0"/>
      <sheetData sheetId="1"/>
      <sheetData sheetId="2">
        <row r="10">
          <cell r="E10">
            <v>15674</v>
          </cell>
        </row>
        <row r="11">
          <cell r="E11">
            <v>87163</v>
          </cell>
        </row>
        <row r="15">
          <cell r="E15">
            <v>181805</v>
          </cell>
        </row>
        <row r="17">
          <cell r="E17">
            <v>46980</v>
          </cell>
        </row>
        <row r="18">
          <cell r="E18">
            <v>44210</v>
          </cell>
        </row>
        <row r="19">
          <cell r="E19">
            <v>7596.9229999999998</v>
          </cell>
        </row>
        <row r="20">
          <cell r="E20">
            <v>134646</v>
          </cell>
        </row>
        <row r="27">
          <cell r="E27">
            <v>173</v>
          </cell>
        </row>
        <row r="28">
          <cell r="E28">
            <v>4304.1381908188578</v>
          </cell>
        </row>
        <row r="29">
          <cell r="E29">
            <v>5022.1918091811585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564</v>
          </cell>
        </row>
        <row r="33">
          <cell r="E33">
            <v>0</v>
          </cell>
        </row>
        <row r="35">
          <cell r="E35">
            <v>1806</v>
          </cell>
        </row>
      </sheetData>
      <sheetData sheetId="3">
        <row r="11">
          <cell r="F11">
            <v>6520.6700000000019</v>
          </cell>
        </row>
        <row r="12">
          <cell r="F12">
            <v>1432</v>
          </cell>
        </row>
        <row r="13">
          <cell r="F13">
            <v>181805</v>
          </cell>
        </row>
        <row r="37">
          <cell r="F37">
            <v>85603</v>
          </cell>
        </row>
        <row r="38">
          <cell r="F38">
            <v>1560</v>
          </cell>
        </row>
        <row r="41">
          <cell r="F41">
            <v>0</v>
          </cell>
        </row>
        <row r="44">
          <cell r="F44">
            <v>22785</v>
          </cell>
        </row>
        <row r="45">
          <cell r="F45">
            <v>1383</v>
          </cell>
        </row>
        <row r="46">
          <cell r="F46">
            <v>0</v>
          </cell>
        </row>
        <row r="58">
          <cell r="F58">
            <v>17349</v>
          </cell>
        </row>
        <row r="59">
          <cell r="F59">
            <v>3979.4940000000001</v>
          </cell>
        </row>
        <row r="69">
          <cell r="F69">
            <v>134825</v>
          </cell>
        </row>
        <row r="71">
          <cell r="F71">
            <v>3617.4290000000001</v>
          </cell>
        </row>
        <row r="82">
          <cell r="H82">
            <v>29.3</v>
          </cell>
          <cell r="J82">
            <v>22.789099199999999</v>
          </cell>
        </row>
      </sheetData>
      <sheetData sheetId="4">
        <row r="35">
          <cell r="E35">
            <v>29.288888888888888</v>
          </cell>
          <cell r="F35">
            <v>0</v>
          </cell>
          <cell r="G35">
            <v>0</v>
          </cell>
          <cell r="H35">
            <v>1.711111111111111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5"/>
  </sheetPr>
  <dimension ref="B2:AR171"/>
  <sheetViews>
    <sheetView showGridLines="0" tabSelected="1" zoomScaleNormal="100" workbookViewId="0">
      <selection activeCell="AO33" sqref="AO33"/>
    </sheetView>
  </sheetViews>
  <sheetFormatPr baseColWidth="10" defaultColWidth="8.625" defaultRowHeight="12" x14ac:dyDescent="0.25"/>
  <cols>
    <col min="1" max="1" width="8.625" style="2"/>
    <col min="2" max="2" width="6.625" style="2" customWidth="1"/>
    <col min="3" max="3" width="8.625" style="2" customWidth="1"/>
    <col min="4" max="4" width="7.875" style="2" customWidth="1"/>
    <col min="5" max="5" width="8.875" style="2" customWidth="1"/>
    <col min="6" max="6" width="8" style="2" customWidth="1"/>
    <col min="7" max="7" width="7.75" style="2" customWidth="1"/>
    <col min="8" max="8" width="7.625" style="2" customWidth="1"/>
    <col min="9" max="9" width="10.25" style="2" customWidth="1"/>
    <col min="10" max="10" width="8.75" style="2" customWidth="1"/>
    <col min="11" max="13" width="7.625" style="2" customWidth="1"/>
    <col min="14" max="14" width="7.75" style="2" customWidth="1"/>
    <col min="15" max="15" width="7.625" style="2" customWidth="1"/>
    <col min="16" max="16" width="8.375" style="2" customWidth="1"/>
    <col min="17" max="21" width="6.625" style="2" customWidth="1"/>
    <col min="22" max="23" width="7.625" style="2" customWidth="1"/>
    <col min="24" max="24" width="7.875" style="2" customWidth="1"/>
    <col min="25" max="30" width="6.625" style="2" customWidth="1"/>
    <col min="31" max="31" width="6.375" style="2" customWidth="1"/>
    <col min="32" max="32" width="6.5" style="2" customWidth="1"/>
    <col min="33" max="33" width="4.875" style="2" customWidth="1"/>
    <col min="34" max="40" width="8.625" style="2" customWidth="1"/>
    <col min="41" max="41" width="9" style="2" customWidth="1"/>
    <col min="42" max="50" width="8.625" style="2" customWidth="1"/>
    <col min="51" max="51" width="7.5" style="2" customWidth="1"/>
    <col min="52" max="52" width="6.625" style="2" customWidth="1"/>
    <col min="53" max="54" width="5.625" style="2" customWidth="1"/>
    <col min="55" max="57" width="5.125" style="2" customWidth="1"/>
    <col min="58" max="71" width="5.625" style="2" customWidth="1"/>
    <col min="72" max="73" width="5.125" style="2" customWidth="1"/>
    <col min="74" max="74" width="5.625" style="2" customWidth="1"/>
    <col min="75" max="16384" width="8.625" style="2"/>
  </cols>
  <sheetData>
    <row r="2" spans="2:44" ht="15.75" x14ac:dyDescent="0.25">
      <c r="B2" s="88" t="s">
        <v>0</v>
      </c>
      <c r="C2" s="87"/>
    </row>
    <row r="3" spans="2:44" ht="15.75" x14ac:dyDescent="0.25">
      <c r="E3" s="116" t="s">
        <v>60</v>
      </c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  <c r="U3"/>
      <c r="AE3" s="117" t="s">
        <v>111</v>
      </c>
      <c r="AF3" s="117"/>
      <c r="AG3" s="117"/>
      <c r="AH3" s="117"/>
      <c r="AI3" s="117"/>
      <c r="AJ3" s="117"/>
      <c r="AK3" s="117"/>
      <c r="AL3" s="81"/>
      <c r="AM3" s="81"/>
      <c r="AO3" s="118" t="s">
        <v>112</v>
      </c>
      <c r="AP3" s="118"/>
      <c r="AQ3" s="118"/>
      <c r="AR3" s="118"/>
    </row>
    <row r="4" spans="2:44" ht="22.5" customHeight="1" x14ac:dyDescent="0.25">
      <c r="B4" s="116" t="s">
        <v>1</v>
      </c>
      <c r="C4" s="119" t="s">
        <v>115</v>
      </c>
      <c r="D4" s="119" t="s">
        <v>63</v>
      </c>
      <c r="E4" s="120" t="s">
        <v>120</v>
      </c>
      <c r="F4" s="121"/>
      <c r="G4" s="121"/>
      <c r="H4" s="122"/>
      <c r="I4" s="120" t="s">
        <v>121</v>
      </c>
      <c r="J4" s="121"/>
      <c r="K4" s="121"/>
      <c r="L4" s="122"/>
      <c r="M4" s="120" t="s">
        <v>58</v>
      </c>
      <c r="N4" s="121"/>
      <c r="O4" s="121"/>
      <c r="P4" s="122"/>
      <c r="Q4" s="123" t="s">
        <v>133</v>
      </c>
      <c r="R4" s="124"/>
      <c r="S4" s="124"/>
      <c r="T4" s="125"/>
      <c r="U4"/>
      <c r="AE4" s="116" t="s">
        <v>1</v>
      </c>
      <c r="AF4" s="119" t="s">
        <v>129</v>
      </c>
      <c r="AG4" s="119" t="s">
        <v>130</v>
      </c>
      <c r="AH4" s="116" t="s">
        <v>60</v>
      </c>
      <c r="AI4" s="116"/>
      <c r="AJ4" s="116"/>
      <c r="AK4" s="116"/>
      <c r="AL4" s="82"/>
      <c r="AM4" s="82"/>
      <c r="AO4" s="126" t="s">
        <v>62</v>
      </c>
      <c r="AP4" s="126" t="s">
        <v>63</v>
      </c>
      <c r="AQ4" s="126" t="s">
        <v>113</v>
      </c>
      <c r="AR4" s="126" t="s">
        <v>114</v>
      </c>
    </row>
    <row r="5" spans="2:44" ht="30" customHeight="1" x14ac:dyDescent="0.25">
      <c r="B5" s="116"/>
      <c r="C5" s="116"/>
      <c r="D5" s="116"/>
      <c r="E5" s="99" t="s">
        <v>117</v>
      </c>
      <c r="F5" s="99" t="s">
        <v>118</v>
      </c>
      <c r="G5" s="99" t="s">
        <v>119</v>
      </c>
      <c r="H5" s="99" t="s">
        <v>5</v>
      </c>
      <c r="I5" s="99" t="s">
        <v>117</v>
      </c>
      <c r="J5" s="99" t="s">
        <v>118</v>
      </c>
      <c r="K5" s="99" t="s">
        <v>119</v>
      </c>
      <c r="L5" s="99" t="s">
        <v>5</v>
      </c>
      <c r="M5" s="99" t="s">
        <v>117</v>
      </c>
      <c r="N5" s="99" t="s">
        <v>118</v>
      </c>
      <c r="O5" s="99" t="s">
        <v>119</v>
      </c>
      <c r="P5" s="99" t="s">
        <v>5</v>
      </c>
      <c r="Q5" s="99" t="s">
        <v>117</v>
      </c>
      <c r="R5" s="99" t="s">
        <v>118</v>
      </c>
      <c r="S5" s="99" t="s">
        <v>119</v>
      </c>
      <c r="T5" s="99" t="s">
        <v>59</v>
      </c>
      <c r="U5"/>
      <c r="AE5" s="116"/>
      <c r="AF5" s="116"/>
      <c r="AG5" s="116"/>
      <c r="AH5" s="99" t="s">
        <v>64</v>
      </c>
      <c r="AI5" s="99" t="s">
        <v>65</v>
      </c>
      <c r="AJ5" s="99" t="s">
        <v>131</v>
      </c>
      <c r="AK5" s="99" t="s">
        <v>132</v>
      </c>
      <c r="AL5" s="75"/>
      <c r="AM5" s="75"/>
      <c r="AO5" s="127"/>
      <c r="AP5" s="127"/>
      <c r="AQ5" s="126"/>
      <c r="AR5" s="126"/>
    </row>
    <row r="6" spans="2:44" ht="15.95" customHeight="1" x14ac:dyDescent="0.25">
      <c r="B6" s="8">
        <v>44927</v>
      </c>
      <c r="C6" s="10">
        <f>+'[1]BU-2'!$E$10</f>
        <v>0</v>
      </c>
      <c r="D6" s="10">
        <f>+'[1]BU-3'!$F$11</f>
        <v>156</v>
      </c>
      <c r="E6" s="95">
        <f>+'[2]PMP-PR'!$J$16</f>
        <v>0</v>
      </c>
      <c r="F6" s="95">
        <f>+'[2]PMP-PR'!$J$17</f>
        <v>0</v>
      </c>
      <c r="G6" s="95">
        <f>'[2]PMP-PR'!$J$18</f>
        <v>0</v>
      </c>
      <c r="H6" s="96">
        <f>+E6+F6+G6</f>
        <v>0</v>
      </c>
      <c r="I6" s="9">
        <f>'[2]PMP-PR'!$J$12</f>
        <v>0</v>
      </c>
      <c r="J6" s="9">
        <f>'[2]PMP-PR'!$J$13</f>
        <v>0</v>
      </c>
      <c r="K6" s="9">
        <f>'[2]PMP-PR'!$J$14</f>
        <v>0</v>
      </c>
      <c r="L6" s="96">
        <f>+I6+J6+K6</f>
        <v>0</v>
      </c>
      <c r="M6" s="86">
        <f>+I6+E6</f>
        <v>0</v>
      </c>
      <c r="N6" s="86">
        <f>+J6+F6</f>
        <v>0</v>
      </c>
      <c r="O6" s="86">
        <f>+K6+G6</f>
        <v>0</v>
      </c>
      <c r="P6" s="85">
        <f>+L6+H6</f>
        <v>0</v>
      </c>
      <c r="Q6" s="23">
        <f>+'[2]PMP-PR'!$J$8</f>
        <v>62</v>
      </c>
      <c r="R6" s="23">
        <f>+'[2]PMP-PR'!$J$9</f>
        <v>61</v>
      </c>
      <c r="S6" s="23">
        <f>+'[2]PMP-PR'!$J$10</f>
        <v>33</v>
      </c>
      <c r="T6" s="96">
        <f>+Q6+R6+S6</f>
        <v>156</v>
      </c>
      <c r="U6" s="52">
        <f t="shared" ref="U6:U17" si="0">+C6+T6-D6-P6</f>
        <v>0</v>
      </c>
      <c r="V6" s="13"/>
      <c r="W6" s="13"/>
      <c r="X6" s="13"/>
      <c r="Y6" s="13"/>
      <c r="Z6" s="13"/>
      <c r="AA6" s="13"/>
      <c r="AB6" s="13"/>
      <c r="AD6"/>
      <c r="AE6" s="8">
        <v>44927</v>
      </c>
      <c r="AF6" s="10">
        <v>0</v>
      </c>
      <c r="AG6" s="10">
        <v>155.4</v>
      </c>
      <c r="AH6" s="10"/>
      <c r="AI6" s="10"/>
      <c r="AJ6" s="31">
        <v>-0.40000000000000568</v>
      </c>
      <c r="AK6" s="10">
        <v>155</v>
      </c>
      <c r="AL6" s="76"/>
      <c r="AM6" s="76"/>
      <c r="AN6" s="8">
        <v>44562</v>
      </c>
      <c r="AO6" s="80" t="e">
        <f t="shared" ref="AO6:AP18" si="1">+C6/AF6</f>
        <v>#DIV/0!</v>
      </c>
      <c r="AP6" s="80">
        <f t="shared" si="1"/>
        <v>1.0038610038610039</v>
      </c>
      <c r="AQ6" s="80">
        <f t="shared" ref="AQ6:AQ18" si="2">+P6/AJ6</f>
        <v>0</v>
      </c>
      <c r="AR6" s="80">
        <f>+T6/AK6</f>
        <v>1.0064516129032257</v>
      </c>
    </row>
    <row r="7" spans="2:44" ht="15.95" customHeight="1" x14ac:dyDescent="0.25">
      <c r="B7" s="8">
        <v>44958</v>
      </c>
      <c r="C7" s="10">
        <f>+'[3]BU-2'!$E$10</f>
        <v>33</v>
      </c>
      <c r="D7" s="10">
        <f>+'[3]BU-3'!$F$11</f>
        <v>1104</v>
      </c>
      <c r="E7" s="95">
        <f>+'[4]PMP-PR'!$J$16</f>
        <v>3.0377385588514318</v>
      </c>
      <c r="F7" s="95">
        <f>+'[4]PMP-PR'!$J$17</f>
        <v>0</v>
      </c>
      <c r="G7" s="95">
        <f>'[4]PMP-PR'!$J$18</f>
        <v>0</v>
      </c>
      <c r="H7" s="96">
        <f>+E7+F7+G7</f>
        <v>3.0377385588514318</v>
      </c>
      <c r="I7" s="9">
        <f>'[4]PMP-PR'!$J$12</f>
        <v>4.9622614411485682</v>
      </c>
      <c r="J7" s="9">
        <f>'[4]PMP-PR'!$J$13</f>
        <v>0</v>
      </c>
      <c r="K7" s="9">
        <f>'[4]PMP-PR'!$J$14</f>
        <v>0</v>
      </c>
      <c r="L7" s="96">
        <f>+I7+J7+K7</f>
        <v>4.9622614411485682</v>
      </c>
      <c r="M7" s="86">
        <f t="shared" ref="M7:P7" si="3">+I7+E7</f>
        <v>8</v>
      </c>
      <c r="N7" s="86">
        <f t="shared" si="3"/>
        <v>0</v>
      </c>
      <c r="O7" s="86">
        <f t="shared" si="3"/>
        <v>0</v>
      </c>
      <c r="P7" s="85">
        <f t="shared" si="3"/>
        <v>8</v>
      </c>
      <c r="Q7" s="23">
        <f>+'[4]PMP-PR'!$J$8</f>
        <v>408</v>
      </c>
      <c r="R7" s="23">
        <f>+'[4]PMP-PR'!$J$9</f>
        <v>439</v>
      </c>
      <c r="S7" s="23">
        <f>+'[4]PMP-PR'!$J$10</f>
        <v>232</v>
      </c>
      <c r="T7" s="96">
        <f>+Q7+R7+S7</f>
        <v>1079</v>
      </c>
      <c r="U7" s="52">
        <f>+C7+T7-D7-P7</f>
        <v>0</v>
      </c>
      <c r="V7" s="13"/>
      <c r="W7" s="13"/>
      <c r="X7" s="13"/>
      <c r="Y7" s="13"/>
      <c r="Z7" s="13"/>
      <c r="AA7" s="13"/>
      <c r="AB7" s="13"/>
      <c r="AD7"/>
      <c r="AE7" s="8">
        <v>44958</v>
      </c>
      <c r="AF7" s="10">
        <v>0</v>
      </c>
      <c r="AG7" s="10">
        <v>140.19999999999999</v>
      </c>
      <c r="AH7" s="10"/>
      <c r="AI7" s="10"/>
      <c r="AJ7" s="31">
        <v>-0.19999999999998863</v>
      </c>
      <c r="AK7" s="10">
        <v>140</v>
      </c>
      <c r="AL7" s="76"/>
      <c r="AM7" s="76"/>
      <c r="AN7" s="8">
        <v>44593</v>
      </c>
      <c r="AO7" s="79" t="e">
        <f>+C7/AF7</f>
        <v>#DIV/0!</v>
      </c>
      <c r="AP7" s="79">
        <f t="shared" si="1"/>
        <v>7.8744650499286744</v>
      </c>
      <c r="AQ7" s="79">
        <f>+P7/AJ7</f>
        <v>-40.000000000002274</v>
      </c>
      <c r="AR7" s="79">
        <f t="shared" ref="AR6:AR18" si="4">+T7/AK7</f>
        <v>7.7071428571428573</v>
      </c>
    </row>
    <row r="8" spans="2:44" ht="15.95" customHeight="1" x14ac:dyDescent="0.25">
      <c r="B8" s="8">
        <v>44986</v>
      </c>
      <c r="C8" s="10"/>
      <c r="D8" s="10"/>
      <c r="E8" s="95"/>
      <c r="F8" s="95"/>
      <c r="G8" s="95"/>
      <c r="H8" s="96"/>
      <c r="I8" s="9"/>
      <c r="J8" s="9"/>
      <c r="K8" s="9"/>
      <c r="L8" s="96"/>
      <c r="M8" s="86"/>
      <c r="N8" s="86"/>
      <c r="O8" s="86"/>
      <c r="P8" s="85"/>
      <c r="Q8" s="23"/>
      <c r="R8" s="23"/>
      <c r="S8" s="23"/>
      <c r="T8" s="85"/>
      <c r="U8" s="52">
        <f t="shared" si="0"/>
        <v>0</v>
      </c>
      <c r="V8" s="13"/>
      <c r="W8" s="13"/>
      <c r="X8" s="13"/>
      <c r="Y8" s="13"/>
      <c r="Z8" s="13"/>
      <c r="AA8" s="13"/>
      <c r="AB8" s="13"/>
      <c r="AD8"/>
      <c r="AE8" s="8">
        <v>44986</v>
      </c>
      <c r="AF8" s="10">
        <v>19276.110576178573</v>
      </c>
      <c r="AG8" s="10">
        <v>7027.3834923147633</v>
      </c>
      <c r="AH8" s="10"/>
      <c r="AI8" s="10"/>
      <c r="AJ8" s="31">
        <v>12348.727083863811</v>
      </c>
      <c r="AK8" s="10">
        <v>100</v>
      </c>
      <c r="AL8" s="76"/>
      <c r="AM8" s="76"/>
      <c r="AN8" s="8">
        <v>44621</v>
      </c>
      <c r="AO8" s="80">
        <f t="shared" si="1"/>
        <v>0</v>
      </c>
      <c r="AP8" s="80">
        <f t="shared" si="1"/>
        <v>0</v>
      </c>
      <c r="AQ8" s="80">
        <f t="shared" si="2"/>
        <v>0</v>
      </c>
      <c r="AR8" s="80">
        <f t="shared" si="4"/>
        <v>0</v>
      </c>
    </row>
    <row r="9" spans="2:44" ht="15.95" customHeight="1" x14ac:dyDescent="0.15">
      <c r="B9" s="8">
        <v>45017</v>
      </c>
      <c r="C9" s="10"/>
      <c r="D9" s="10"/>
      <c r="E9" s="95"/>
      <c r="F9" s="95"/>
      <c r="G9" s="95"/>
      <c r="H9" s="96"/>
      <c r="I9" s="9"/>
      <c r="J9" s="9"/>
      <c r="K9" s="9"/>
      <c r="L9" s="96"/>
      <c r="M9" s="86"/>
      <c r="N9" s="86"/>
      <c r="O9" s="86"/>
      <c r="P9" s="85"/>
      <c r="Q9" s="23"/>
      <c r="R9" s="23"/>
      <c r="S9" s="23"/>
      <c r="T9" s="85"/>
      <c r="U9" s="52">
        <f t="shared" si="0"/>
        <v>0</v>
      </c>
      <c r="V9" s="13"/>
      <c r="W9" s="13"/>
      <c r="X9" s="13"/>
      <c r="Y9" s="13"/>
      <c r="Z9" s="13"/>
      <c r="AA9" s="13"/>
      <c r="AB9" s="13"/>
      <c r="AE9" s="8">
        <v>45017</v>
      </c>
      <c r="AF9" s="10">
        <v>18654.300557592163</v>
      </c>
      <c r="AG9" s="10">
        <v>6803.0843474013836</v>
      </c>
      <c r="AH9" s="10"/>
      <c r="AI9" s="10"/>
      <c r="AJ9" s="31">
        <v>11951.21621019078</v>
      </c>
      <c r="AK9" s="10">
        <v>100</v>
      </c>
      <c r="AL9" s="76"/>
      <c r="AM9" s="76"/>
      <c r="AN9" s="8">
        <v>44652</v>
      </c>
      <c r="AO9" s="79">
        <f t="shared" si="1"/>
        <v>0</v>
      </c>
      <c r="AP9" s="79">
        <f t="shared" si="1"/>
        <v>0</v>
      </c>
      <c r="AQ9" s="79">
        <f t="shared" si="2"/>
        <v>0</v>
      </c>
      <c r="AR9" s="79">
        <f t="shared" si="4"/>
        <v>0</v>
      </c>
    </row>
    <row r="10" spans="2:44" ht="15.95" customHeight="1" x14ac:dyDescent="0.15">
      <c r="B10" s="8">
        <v>45047</v>
      </c>
      <c r="C10" s="10"/>
      <c r="D10" s="10"/>
      <c r="E10" s="95"/>
      <c r="F10" s="95"/>
      <c r="G10" s="95"/>
      <c r="H10" s="96"/>
      <c r="I10" s="9"/>
      <c r="J10" s="9"/>
      <c r="K10" s="9"/>
      <c r="L10" s="96"/>
      <c r="M10" s="86"/>
      <c r="N10" s="86"/>
      <c r="O10" s="86"/>
      <c r="P10" s="85"/>
      <c r="Q10" s="23"/>
      <c r="R10" s="23"/>
      <c r="S10" s="23"/>
      <c r="T10" s="85"/>
      <c r="U10" s="52">
        <f t="shared" si="0"/>
        <v>0</v>
      </c>
      <c r="V10" s="13"/>
      <c r="W10" s="13"/>
      <c r="X10" s="13"/>
      <c r="Y10" s="13"/>
      <c r="Z10" s="13"/>
      <c r="AA10" s="13"/>
      <c r="AB10" s="13"/>
      <c r="AE10" s="8">
        <v>45047</v>
      </c>
      <c r="AF10" s="10">
        <v>19276.110576178573</v>
      </c>
      <c r="AG10" s="10">
        <v>7027.3834923147633</v>
      </c>
      <c r="AH10" s="10"/>
      <c r="AI10" s="10"/>
      <c r="AJ10" s="31">
        <v>12348.727083863811</v>
      </c>
      <c r="AK10" s="10">
        <v>100</v>
      </c>
      <c r="AL10" s="76"/>
      <c r="AM10" s="76"/>
      <c r="AN10" s="8">
        <v>44682</v>
      </c>
      <c r="AO10" s="80">
        <f t="shared" si="1"/>
        <v>0</v>
      </c>
      <c r="AP10" s="80">
        <f t="shared" si="1"/>
        <v>0</v>
      </c>
      <c r="AQ10" s="80">
        <f t="shared" si="2"/>
        <v>0</v>
      </c>
      <c r="AR10" s="80">
        <f t="shared" si="4"/>
        <v>0</v>
      </c>
    </row>
    <row r="11" spans="2:44" ht="15.95" customHeight="1" x14ac:dyDescent="0.15">
      <c r="B11" s="8">
        <v>45078</v>
      </c>
      <c r="C11" s="10"/>
      <c r="D11" s="10"/>
      <c r="E11" s="95"/>
      <c r="F11" s="95"/>
      <c r="G11" s="95"/>
      <c r="H11" s="96"/>
      <c r="I11" s="9"/>
      <c r="J11" s="9"/>
      <c r="K11" s="9"/>
      <c r="L11" s="96"/>
      <c r="M11" s="86"/>
      <c r="N11" s="86"/>
      <c r="O11" s="86"/>
      <c r="P11" s="85"/>
      <c r="Q11" s="23"/>
      <c r="R11" s="23"/>
      <c r="S11" s="23"/>
      <c r="T11" s="85"/>
      <c r="U11" s="52">
        <f t="shared" si="0"/>
        <v>0</v>
      </c>
      <c r="V11" s="13"/>
      <c r="W11" s="13"/>
      <c r="X11" s="13"/>
      <c r="Y11" s="13"/>
      <c r="Z11" s="13"/>
      <c r="AA11" s="13"/>
      <c r="AB11" s="13"/>
      <c r="AE11" s="8">
        <v>45078</v>
      </c>
      <c r="AF11" s="10">
        <v>18654.300557592163</v>
      </c>
      <c r="AG11" s="10">
        <v>6803.0843474013836</v>
      </c>
      <c r="AH11" s="10"/>
      <c r="AI11" s="10"/>
      <c r="AJ11" s="31">
        <v>11951.21621019078</v>
      </c>
      <c r="AK11" s="10">
        <v>100</v>
      </c>
      <c r="AL11" s="76"/>
      <c r="AM11" s="76"/>
      <c r="AN11" s="8">
        <v>44713</v>
      </c>
      <c r="AO11" s="79">
        <f t="shared" si="1"/>
        <v>0</v>
      </c>
      <c r="AP11" s="79">
        <f t="shared" si="1"/>
        <v>0</v>
      </c>
      <c r="AQ11" s="79">
        <f t="shared" si="2"/>
        <v>0</v>
      </c>
      <c r="AR11" s="79">
        <f t="shared" si="4"/>
        <v>0</v>
      </c>
    </row>
    <row r="12" spans="2:44" ht="15.95" customHeight="1" x14ac:dyDescent="0.15">
      <c r="B12" s="8">
        <v>45108</v>
      </c>
      <c r="C12" s="10"/>
      <c r="D12" s="10"/>
      <c r="E12" s="95"/>
      <c r="F12" s="95"/>
      <c r="G12" s="95"/>
      <c r="H12" s="96"/>
      <c r="I12" s="9"/>
      <c r="J12" s="9"/>
      <c r="K12" s="9"/>
      <c r="L12" s="96"/>
      <c r="M12" s="86"/>
      <c r="N12" s="86"/>
      <c r="O12" s="86"/>
      <c r="P12" s="85"/>
      <c r="Q12" s="23"/>
      <c r="R12" s="23"/>
      <c r="S12" s="23"/>
      <c r="T12" s="85"/>
      <c r="U12" s="52">
        <f t="shared" si="0"/>
        <v>0</v>
      </c>
      <c r="V12" s="13"/>
      <c r="W12" s="13"/>
      <c r="X12" s="13"/>
      <c r="Y12" s="13"/>
      <c r="Z12" s="13"/>
      <c r="AA12" s="13"/>
      <c r="AB12" s="13"/>
      <c r="AE12" s="8">
        <v>45108</v>
      </c>
      <c r="AF12" s="10">
        <v>19276.110576178573</v>
      </c>
      <c r="AG12" s="10">
        <v>7027.3834923147633</v>
      </c>
      <c r="AH12" s="10"/>
      <c r="AI12" s="10"/>
      <c r="AJ12" s="31">
        <v>12348.727083863811</v>
      </c>
      <c r="AK12" s="10">
        <v>100</v>
      </c>
      <c r="AL12" s="76"/>
      <c r="AM12" s="76"/>
      <c r="AN12" s="8">
        <v>44743</v>
      </c>
      <c r="AO12" s="80">
        <f t="shared" si="1"/>
        <v>0</v>
      </c>
      <c r="AP12" s="80">
        <f t="shared" si="1"/>
        <v>0</v>
      </c>
      <c r="AQ12" s="80">
        <f t="shared" si="2"/>
        <v>0</v>
      </c>
      <c r="AR12" s="80">
        <f t="shared" si="4"/>
        <v>0</v>
      </c>
    </row>
    <row r="13" spans="2:44" ht="15.95" customHeight="1" x14ac:dyDescent="0.15">
      <c r="B13" s="8">
        <v>45139</v>
      </c>
      <c r="C13" s="10"/>
      <c r="D13" s="10"/>
      <c r="E13" s="95"/>
      <c r="F13" s="95"/>
      <c r="G13" s="95"/>
      <c r="H13" s="96"/>
      <c r="I13" s="9"/>
      <c r="J13" s="9"/>
      <c r="K13" s="9"/>
      <c r="L13" s="96"/>
      <c r="M13" s="86"/>
      <c r="N13" s="86"/>
      <c r="O13" s="86"/>
      <c r="P13" s="85"/>
      <c r="Q13" s="23"/>
      <c r="R13" s="23"/>
      <c r="S13" s="23"/>
      <c r="T13" s="85"/>
      <c r="U13" s="52">
        <f t="shared" si="0"/>
        <v>0</v>
      </c>
      <c r="V13" s="13"/>
      <c r="W13" s="13"/>
      <c r="X13" s="13"/>
      <c r="Y13" s="13"/>
      <c r="Z13" s="13"/>
      <c r="AA13" s="13"/>
      <c r="AB13" s="13"/>
      <c r="AE13" s="8">
        <v>45139</v>
      </c>
      <c r="AF13" s="10">
        <v>19276.110576178573</v>
      </c>
      <c r="AG13" s="10">
        <v>7027.3834923147633</v>
      </c>
      <c r="AH13" s="10"/>
      <c r="AI13" s="10"/>
      <c r="AJ13" s="31">
        <v>12348.727083863811</v>
      </c>
      <c r="AK13" s="10">
        <v>100</v>
      </c>
      <c r="AL13" s="76"/>
      <c r="AM13" s="76"/>
      <c r="AN13" s="8">
        <v>44774</v>
      </c>
      <c r="AO13" s="79">
        <f t="shared" si="1"/>
        <v>0</v>
      </c>
      <c r="AP13" s="79">
        <f t="shared" si="1"/>
        <v>0</v>
      </c>
      <c r="AQ13" s="79">
        <f t="shared" si="2"/>
        <v>0</v>
      </c>
      <c r="AR13" s="79">
        <f t="shared" si="4"/>
        <v>0</v>
      </c>
    </row>
    <row r="14" spans="2:44" ht="15.95" customHeight="1" x14ac:dyDescent="0.15">
      <c r="B14" s="8">
        <v>45170</v>
      </c>
      <c r="C14" s="10"/>
      <c r="D14" s="10"/>
      <c r="E14" s="95"/>
      <c r="F14" s="95"/>
      <c r="G14" s="95"/>
      <c r="H14" s="96"/>
      <c r="I14" s="9"/>
      <c r="J14" s="9"/>
      <c r="K14" s="9"/>
      <c r="L14" s="96"/>
      <c r="M14" s="86"/>
      <c r="N14" s="86"/>
      <c r="O14" s="86"/>
      <c r="P14" s="85"/>
      <c r="Q14" s="23"/>
      <c r="R14" s="23"/>
      <c r="S14" s="23"/>
      <c r="T14" s="85"/>
      <c r="U14" s="52">
        <f t="shared" si="0"/>
        <v>0</v>
      </c>
      <c r="V14" s="13"/>
      <c r="W14" s="13"/>
      <c r="X14" s="13"/>
      <c r="Y14" s="13"/>
      <c r="Z14" s="13"/>
      <c r="AA14" s="13"/>
      <c r="AB14" s="13"/>
      <c r="AE14" s="8">
        <v>45170</v>
      </c>
      <c r="AF14" s="10">
        <v>18654.300557592163</v>
      </c>
      <c r="AG14" s="10">
        <v>6803.0843474013836</v>
      </c>
      <c r="AH14" s="10"/>
      <c r="AI14" s="10"/>
      <c r="AJ14" s="31">
        <v>11951.21621019078</v>
      </c>
      <c r="AK14" s="10">
        <v>100</v>
      </c>
      <c r="AL14" s="76"/>
      <c r="AM14" s="76"/>
      <c r="AN14" s="8">
        <v>44805</v>
      </c>
      <c r="AO14" s="80">
        <f t="shared" si="1"/>
        <v>0</v>
      </c>
      <c r="AP14" s="80">
        <f t="shared" si="1"/>
        <v>0</v>
      </c>
      <c r="AQ14" s="80">
        <f t="shared" si="2"/>
        <v>0</v>
      </c>
      <c r="AR14" s="80">
        <f t="shared" si="4"/>
        <v>0</v>
      </c>
    </row>
    <row r="15" spans="2:44" ht="15.95" customHeight="1" x14ac:dyDescent="0.15">
      <c r="B15" s="8">
        <v>45200</v>
      </c>
      <c r="C15" s="10"/>
      <c r="D15" s="10"/>
      <c r="E15" s="95"/>
      <c r="F15" s="95"/>
      <c r="G15" s="95"/>
      <c r="H15" s="96"/>
      <c r="I15" s="9"/>
      <c r="J15" s="9"/>
      <c r="K15" s="9"/>
      <c r="L15" s="96"/>
      <c r="M15" s="86"/>
      <c r="N15" s="86"/>
      <c r="O15" s="86"/>
      <c r="P15" s="85"/>
      <c r="Q15" s="23"/>
      <c r="R15" s="23"/>
      <c r="S15" s="23"/>
      <c r="T15" s="85"/>
      <c r="U15" s="52">
        <f t="shared" si="0"/>
        <v>0</v>
      </c>
      <c r="V15" s="13"/>
      <c r="W15" s="13"/>
      <c r="X15" s="13"/>
      <c r="Y15" s="13"/>
      <c r="Z15" s="13"/>
      <c r="AA15" s="13"/>
      <c r="AB15" s="13"/>
      <c r="AE15" s="8">
        <v>45200</v>
      </c>
      <c r="AF15" s="10">
        <v>19276.110576178573</v>
      </c>
      <c r="AG15" s="10">
        <v>7027.3834923147633</v>
      </c>
      <c r="AH15" s="10"/>
      <c r="AI15" s="10"/>
      <c r="AJ15" s="31">
        <v>12348.727083863811</v>
      </c>
      <c r="AK15" s="12">
        <v>100</v>
      </c>
      <c r="AL15" s="39"/>
      <c r="AM15" s="39"/>
      <c r="AN15" s="8">
        <v>44835</v>
      </c>
      <c r="AO15" s="79">
        <f t="shared" si="1"/>
        <v>0</v>
      </c>
      <c r="AP15" s="79">
        <f t="shared" si="1"/>
        <v>0</v>
      </c>
      <c r="AQ15" s="79">
        <f t="shared" si="2"/>
        <v>0</v>
      </c>
      <c r="AR15" s="79">
        <f t="shared" si="4"/>
        <v>0</v>
      </c>
    </row>
    <row r="16" spans="2:44" ht="15.95" customHeight="1" x14ac:dyDescent="0.15">
      <c r="B16" s="8">
        <v>45231</v>
      </c>
      <c r="C16" s="10"/>
      <c r="D16" s="10"/>
      <c r="E16" s="95"/>
      <c r="F16" s="95"/>
      <c r="G16" s="95"/>
      <c r="H16" s="96"/>
      <c r="I16" s="9"/>
      <c r="J16" s="9"/>
      <c r="K16" s="9"/>
      <c r="L16" s="96"/>
      <c r="M16" s="86"/>
      <c r="N16" s="86"/>
      <c r="O16" s="86"/>
      <c r="P16" s="85"/>
      <c r="Q16" s="23"/>
      <c r="R16" s="23"/>
      <c r="S16" s="23"/>
      <c r="T16" s="85"/>
      <c r="U16" s="52">
        <f t="shared" si="0"/>
        <v>0</v>
      </c>
      <c r="V16" s="13"/>
      <c r="W16" s="13"/>
      <c r="X16" s="13"/>
      <c r="Y16" s="13"/>
      <c r="Z16" s="13"/>
      <c r="AA16" s="13"/>
      <c r="AB16" s="13"/>
      <c r="AE16" s="8">
        <v>45231</v>
      </c>
      <c r="AF16" s="10">
        <v>18654.300557592163</v>
      </c>
      <c r="AG16" s="10">
        <v>6803.0843474013836</v>
      </c>
      <c r="AH16" s="10"/>
      <c r="AI16" s="10"/>
      <c r="AJ16" s="31">
        <v>11951.21621019078</v>
      </c>
      <c r="AK16" s="12">
        <v>100</v>
      </c>
      <c r="AL16" s="39"/>
      <c r="AM16" s="39"/>
      <c r="AN16" s="8">
        <v>44866</v>
      </c>
      <c r="AO16" s="80">
        <f t="shared" si="1"/>
        <v>0</v>
      </c>
      <c r="AP16" s="80">
        <f t="shared" si="1"/>
        <v>0</v>
      </c>
      <c r="AQ16" s="80">
        <f t="shared" si="2"/>
        <v>0</v>
      </c>
      <c r="AR16" s="80">
        <f t="shared" si="4"/>
        <v>0</v>
      </c>
    </row>
    <row r="17" spans="2:44" ht="15.95" customHeight="1" x14ac:dyDescent="0.15">
      <c r="B17" s="8">
        <v>45261</v>
      </c>
      <c r="C17" s="10"/>
      <c r="D17" s="10"/>
      <c r="E17" s="95"/>
      <c r="F17" s="95"/>
      <c r="G17" s="95"/>
      <c r="H17" s="96"/>
      <c r="I17" s="9"/>
      <c r="J17" s="9"/>
      <c r="K17" s="9"/>
      <c r="L17" s="96"/>
      <c r="M17" s="86"/>
      <c r="N17" s="86"/>
      <c r="O17" s="86"/>
      <c r="P17" s="85"/>
      <c r="Q17" s="23"/>
      <c r="R17" s="23"/>
      <c r="S17" s="23"/>
      <c r="T17" s="85"/>
      <c r="U17" s="52">
        <f t="shared" si="0"/>
        <v>0</v>
      </c>
      <c r="V17" s="13"/>
      <c r="W17" s="13"/>
      <c r="X17" s="13"/>
      <c r="Y17" s="13"/>
      <c r="Z17" s="13"/>
      <c r="AA17" s="13"/>
      <c r="AB17" s="13"/>
      <c r="AE17" s="8">
        <v>45261</v>
      </c>
      <c r="AF17" s="10">
        <v>19276.110576178573</v>
      </c>
      <c r="AG17" s="10">
        <v>7027.3834923147633</v>
      </c>
      <c r="AH17" s="10"/>
      <c r="AI17" s="10"/>
      <c r="AJ17" s="31">
        <v>12348.727083863811</v>
      </c>
      <c r="AK17" s="12">
        <v>100</v>
      </c>
      <c r="AL17" s="39"/>
      <c r="AM17" s="39"/>
      <c r="AN17" s="8">
        <v>44896</v>
      </c>
      <c r="AO17" s="79">
        <f t="shared" si="1"/>
        <v>0</v>
      </c>
      <c r="AP17" s="79">
        <f t="shared" si="1"/>
        <v>0</v>
      </c>
      <c r="AQ17" s="79">
        <f t="shared" si="2"/>
        <v>0</v>
      </c>
      <c r="AR17" s="79">
        <f t="shared" si="4"/>
        <v>0</v>
      </c>
    </row>
    <row r="18" spans="2:44" ht="15.95" customHeight="1" x14ac:dyDescent="0.25">
      <c r="B18" s="30" t="s">
        <v>5</v>
      </c>
      <c r="C18" s="31">
        <f>SUM(C6:C17)</f>
        <v>33</v>
      </c>
      <c r="D18" s="31">
        <f>SUM(D6:D17)</f>
        <v>1260</v>
      </c>
      <c r="E18" s="85">
        <f t="shared" ref="E18:G18" si="5">SUM(E6:E17)</f>
        <v>3.0377385588514318</v>
      </c>
      <c r="F18" s="85">
        <f t="shared" si="5"/>
        <v>0</v>
      </c>
      <c r="G18" s="85">
        <f t="shared" si="5"/>
        <v>0</v>
      </c>
      <c r="H18" s="85">
        <f>SUM(H6:H17)</f>
        <v>3.0377385588514318</v>
      </c>
      <c r="I18" s="85">
        <f t="shared" ref="I18:K18" si="6">SUM(I6:I17)</f>
        <v>4.9622614411485682</v>
      </c>
      <c r="J18" s="85">
        <f t="shared" si="6"/>
        <v>0</v>
      </c>
      <c r="K18" s="85">
        <f t="shared" si="6"/>
        <v>0</v>
      </c>
      <c r="L18" s="85">
        <f>SUM(L6:L17)</f>
        <v>4.9622614411485682</v>
      </c>
      <c r="M18" s="85">
        <f t="shared" ref="M18:O18" si="7">SUM(M6:M17)</f>
        <v>8</v>
      </c>
      <c r="N18" s="85">
        <f t="shared" si="7"/>
        <v>0</v>
      </c>
      <c r="O18" s="85">
        <f t="shared" si="7"/>
        <v>0</v>
      </c>
      <c r="P18" s="85">
        <f>SUM(P6:P17)</f>
        <v>8</v>
      </c>
      <c r="Q18" s="85">
        <f t="shared" ref="Q18:S18" si="8">SUM(Q6:Q17)</f>
        <v>470</v>
      </c>
      <c r="R18" s="85">
        <f t="shared" si="8"/>
        <v>500</v>
      </c>
      <c r="S18" s="85">
        <f t="shared" si="8"/>
        <v>265</v>
      </c>
      <c r="T18" s="85">
        <f>SUM(T6:T17)</f>
        <v>1235</v>
      </c>
      <c r="U18"/>
      <c r="V18" s="13"/>
      <c r="W18" s="13"/>
      <c r="X18" s="13"/>
      <c r="Y18" s="13"/>
      <c r="Z18" s="13"/>
      <c r="AA18" s="13"/>
      <c r="AB18" s="13"/>
      <c r="AE18" s="30" t="s">
        <v>5</v>
      </c>
      <c r="AF18" s="31">
        <f>SUM(AF6:AF17)</f>
        <v>190273.86568744009</v>
      </c>
      <c r="AG18" s="31">
        <v>80991.989818181828</v>
      </c>
      <c r="AH18" s="31">
        <f t="shared" ref="AH18:AK18" si="9">SUM(AH6:AH17)</f>
        <v>0</v>
      </c>
      <c r="AI18" s="31">
        <f t="shared" si="9"/>
        <v>0</v>
      </c>
      <c r="AJ18" s="31">
        <f t="shared" si="9"/>
        <v>121896.62734394596</v>
      </c>
      <c r="AK18" s="31">
        <f t="shared" si="9"/>
        <v>1295</v>
      </c>
      <c r="AL18" s="83"/>
      <c r="AM18" s="83"/>
      <c r="AN18" s="30" t="s">
        <v>5</v>
      </c>
      <c r="AO18" s="80">
        <f t="shared" si="1"/>
        <v>1.7343422272299121E-4</v>
      </c>
      <c r="AP18" s="80">
        <f t="shared" si="1"/>
        <v>1.5557094014217485E-2</v>
      </c>
      <c r="AQ18" s="80">
        <f t="shared" si="2"/>
        <v>6.5629379370989814E-5</v>
      </c>
      <c r="AR18" s="80">
        <f t="shared" si="4"/>
        <v>0.95366795366795365</v>
      </c>
    </row>
    <row r="19" spans="2:44" x14ac:dyDescent="0.25">
      <c r="B19" s="14"/>
    </row>
    <row r="20" spans="2:44" ht="15.95" customHeight="1" x14ac:dyDescent="0.25">
      <c r="B20" s="88" t="s">
        <v>10</v>
      </c>
      <c r="C20" s="89"/>
      <c r="D20" s="89"/>
      <c r="E20" s="89"/>
      <c r="F20" s="89"/>
      <c r="G20" s="89"/>
      <c r="H20" s="89"/>
      <c r="I20" s="89"/>
      <c r="J20" s="89"/>
      <c r="K20" s="89"/>
      <c r="L20" s="89"/>
    </row>
    <row r="21" spans="2:44" ht="15.95" customHeight="1" x14ac:dyDescent="0.25">
      <c r="B21" s="128" t="s">
        <v>1</v>
      </c>
      <c r="C21" s="131" t="s">
        <v>67</v>
      </c>
      <c r="D21" s="45" t="s">
        <v>2</v>
      </c>
      <c r="E21" s="46"/>
      <c r="F21" s="47"/>
      <c r="G21" s="123" t="s">
        <v>69</v>
      </c>
      <c r="H21" s="124"/>
      <c r="I21" s="124"/>
      <c r="J21" s="124"/>
      <c r="K21" s="124"/>
      <c r="L21" s="125"/>
    </row>
    <row r="22" spans="2:44" ht="15.95" customHeight="1" x14ac:dyDescent="0.25">
      <c r="B22" s="130"/>
      <c r="C22" s="132"/>
      <c r="D22" s="48"/>
      <c r="E22" s="49"/>
      <c r="F22" s="50"/>
      <c r="G22" s="123" t="s">
        <v>70</v>
      </c>
      <c r="H22" s="124"/>
      <c r="I22" s="125"/>
      <c r="J22" s="123" t="s">
        <v>73</v>
      </c>
      <c r="K22" s="124"/>
      <c r="L22" s="125"/>
    </row>
    <row r="23" spans="2:44" x14ac:dyDescent="0.25">
      <c r="B23" s="129"/>
      <c r="C23" s="133"/>
      <c r="D23" s="100" t="s">
        <v>61</v>
      </c>
      <c r="E23" s="100" t="s">
        <v>68</v>
      </c>
      <c r="F23" s="32" t="s">
        <v>5</v>
      </c>
      <c r="G23" s="100" t="s">
        <v>72</v>
      </c>
      <c r="H23" s="98" t="s">
        <v>71</v>
      </c>
      <c r="I23" s="34" t="s">
        <v>5</v>
      </c>
      <c r="J23" s="100" t="s">
        <v>72</v>
      </c>
      <c r="K23" s="98" t="s">
        <v>71</v>
      </c>
      <c r="L23" s="35" t="s">
        <v>5</v>
      </c>
    </row>
    <row r="24" spans="2:44" ht="15.95" customHeight="1" x14ac:dyDescent="0.25">
      <c r="B24" s="8">
        <f t="shared" ref="B24:B35" si="10">+B6</f>
        <v>44927</v>
      </c>
      <c r="C24" s="10">
        <f>'[1]BU-2'!$E$11</f>
        <v>0</v>
      </c>
      <c r="D24" s="10">
        <f>'[1]BU-3'!$F$37</f>
        <v>0</v>
      </c>
      <c r="E24" s="12">
        <f>'[1]BU-3'!$F$38</f>
        <v>1195</v>
      </c>
      <c r="F24" s="33">
        <f>D24+E24</f>
        <v>1195</v>
      </c>
      <c r="G24" s="12">
        <f>'[1]BU-2'!$E$30</f>
        <v>0</v>
      </c>
      <c r="H24" s="10">
        <f>'[1]BU-2'!$E$31</f>
        <v>0</v>
      </c>
      <c r="I24" s="33">
        <f>+H24+G24</f>
        <v>0</v>
      </c>
      <c r="J24" s="10">
        <f>'[1]BU-2'!$E$32</f>
        <v>1195</v>
      </c>
      <c r="K24" s="10">
        <f>'[1]BU-2'!$E$33</f>
        <v>0</v>
      </c>
      <c r="L24" s="33">
        <f>+K24+J24</f>
        <v>1195</v>
      </c>
      <c r="N24" s="13">
        <f>+C24+L24-F24-I24</f>
        <v>0</v>
      </c>
    </row>
    <row r="25" spans="2:44" ht="15.95" customHeight="1" x14ac:dyDescent="0.25">
      <c r="B25" s="8">
        <f t="shared" si="10"/>
        <v>44958</v>
      </c>
      <c r="C25" s="10">
        <f>'[3]BU-2'!$E$11</f>
        <v>950</v>
      </c>
      <c r="D25" s="10">
        <f>'[3]BU-3'!$F$37</f>
        <v>796</v>
      </c>
      <c r="E25" s="12">
        <f>'[3]BU-3'!$F$38</f>
        <v>3434</v>
      </c>
      <c r="F25" s="33">
        <f>D25+E25</f>
        <v>4230</v>
      </c>
      <c r="G25" s="12">
        <f>'[3]BU-2'!$E$30</f>
        <v>0</v>
      </c>
      <c r="H25" s="10">
        <f>'[3]BU-2'!$E$31</f>
        <v>241</v>
      </c>
      <c r="I25" s="33">
        <f t="shared" ref="I25" si="11">+H25+G25</f>
        <v>241</v>
      </c>
      <c r="J25" s="10">
        <f>'[3]BU-2'!$E$32</f>
        <v>3521</v>
      </c>
      <c r="K25" s="10">
        <f>'[3]BU-2'!$E$33</f>
        <v>0</v>
      </c>
      <c r="L25" s="33">
        <f>+K25+J25</f>
        <v>3521</v>
      </c>
      <c r="N25" s="13">
        <f>+C25+L25-F25-I25</f>
        <v>0</v>
      </c>
    </row>
    <row r="26" spans="2:44" ht="15.95" customHeight="1" x14ac:dyDescent="0.25">
      <c r="B26" s="8">
        <f t="shared" si="10"/>
        <v>44986</v>
      </c>
      <c r="C26" s="10"/>
      <c r="D26" s="10"/>
      <c r="E26" s="12"/>
      <c r="F26" s="33"/>
      <c r="G26" s="12"/>
      <c r="H26" s="10"/>
      <c r="I26" s="33"/>
      <c r="J26" s="10"/>
      <c r="K26" s="10"/>
      <c r="L26" s="33"/>
      <c r="N26" s="13">
        <f>+C26+L26-F26-I26</f>
        <v>0</v>
      </c>
    </row>
    <row r="27" spans="2:44" ht="15.95" customHeight="1" x14ac:dyDescent="0.25">
      <c r="B27" s="8">
        <f t="shared" si="10"/>
        <v>45017</v>
      </c>
      <c r="C27" s="10"/>
      <c r="D27" s="10"/>
      <c r="E27" s="12"/>
      <c r="F27" s="33"/>
      <c r="G27" s="12"/>
      <c r="H27" s="10"/>
      <c r="I27" s="33"/>
      <c r="J27" s="10"/>
      <c r="K27" s="10"/>
      <c r="L27" s="33"/>
      <c r="N27" s="13">
        <f t="shared" ref="N27:N34" si="12">+C27+L27-F27-I27</f>
        <v>0</v>
      </c>
      <c r="O27" s="13"/>
    </row>
    <row r="28" spans="2:44" ht="15.95" customHeight="1" x14ac:dyDescent="0.25">
      <c r="B28" s="8">
        <f t="shared" si="10"/>
        <v>45047</v>
      </c>
      <c r="C28" s="10"/>
      <c r="D28" s="10"/>
      <c r="E28" s="12"/>
      <c r="F28" s="33"/>
      <c r="G28" s="12"/>
      <c r="H28" s="10"/>
      <c r="I28" s="33"/>
      <c r="J28" s="10"/>
      <c r="K28" s="10"/>
      <c r="L28" s="33"/>
      <c r="N28" s="13">
        <f t="shared" si="12"/>
        <v>0</v>
      </c>
    </row>
    <row r="29" spans="2:44" ht="15.95" customHeight="1" x14ac:dyDescent="0.25">
      <c r="B29" s="8">
        <f t="shared" si="10"/>
        <v>45078</v>
      </c>
      <c r="C29" s="10"/>
      <c r="D29" s="10"/>
      <c r="E29" s="12"/>
      <c r="F29" s="33"/>
      <c r="G29" s="12"/>
      <c r="H29" s="10"/>
      <c r="I29" s="33"/>
      <c r="J29" s="10"/>
      <c r="K29" s="10"/>
      <c r="L29" s="33"/>
      <c r="N29" s="13">
        <f t="shared" si="12"/>
        <v>0</v>
      </c>
    </row>
    <row r="30" spans="2:44" ht="15.95" customHeight="1" x14ac:dyDescent="0.25">
      <c r="B30" s="8">
        <f t="shared" si="10"/>
        <v>45108</v>
      </c>
      <c r="C30" s="10"/>
      <c r="D30" s="10"/>
      <c r="E30" s="12"/>
      <c r="F30" s="33"/>
      <c r="G30" s="12"/>
      <c r="H30" s="10"/>
      <c r="I30" s="33"/>
      <c r="J30" s="10"/>
      <c r="K30" s="10"/>
      <c r="L30" s="33"/>
      <c r="N30" s="13">
        <f t="shared" si="12"/>
        <v>0</v>
      </c>
    </row>
    <row r="31" spans="2:44" ht="15.95" customHeight="1" x14ac:dyDescent="0.25">
      <c r="B31" s="8">
        <f t="shared" si="10"/>
        <v>45139</v>
      </c>
      <c r="C31" s="10"/>
      <c r="D31" s="10"/>
      <c r="E31" s="12"/>
      <c r="F31" s="33"/>
      <c r="G31" s="12"/>
      <c r="H31" s="10"/>
      <c r="I31" s="33"/>
      <c r="J31" s="10"/>
      <c r="K31" s="10"/>
      <c r="L31" s="33"/>
      <c r="N31" s="13">
        <f>+C31+L31-F31-I31</f>
        <v>0</v>
      </c>
    </row>
    <row r="32" spans="2:44" ht="15.95" customHeight="1" x14ac:dyDescent="0.25">
      <c r="B32" s="8">
        <f t="shared" si="10"/>
        <v>45170</v>
      </c>
      <c r="C32" s="10"/>
      <c r="D32" s="10"/>
      <c r="E32" s="12"/>
      <c r="F32" s="33"/>
      <c r="G32" s="12"/>
      <c r="H32" s="10"/>
      <c r="I32" s="33"/>
      <c r="J32" s="10"/>
      <c r="K32" s="10"/>
      <c r="L32" s="33"/>
      <c r="N32" s="13">
        <f t="shared" si="12"/>
        <v>0</v>
      </c>
    </row>
    <row r="33" spans="2:15" ht="15.95" customHeight="1" x14ac:dyDescent="0.25">
      <c r="B33" s="8">
        <f t="shared" si="10"/>
        <v>45200</v>
      </c>
      <c r="C33" s="10"/>
      <c r="D33" s="10"/>
      <c r="E33" s="12"/>
      <c r="F33" s="33"/>
      <c r="G33" s="12"/>
      <c r="H33" s="10"/>
      <c r="I33" s="33"/>
      <c r="J33" s="10"/>
      <c r="K33" s="10"/>
      <c r="L33" s="33"/>
      <c r="N33" s="13">
        <f>+C33+L33-F33-I33</f>
        <v>0</v>
      </c>
    </row>
    <row r="34" spans="2:15" ht="15.95" customHeight="1" x14ac:dyDescent="0.25">
      <c r="B34" s="8">
        <f t="shared" si="10"/>
        <v>45231</v>
      </c>
      <c r="C34" s="10"/>
      <c r="D34" s="10"/>
      <c r="E34" s="12"/>
      <c r="F34" s="33"/>
      <c r="G34" s="12"/>
      <c r="H34" s="10"/>
      <c r="I34" s="33"/>
      <c r="J34" s="10"/>
      <c r="K34" s="10"/>
      <c r="L34" s="33"/>
      <c r="N34" s="13">
        <f t="shared" si="12"/>
        <v>0</v>
      </c>
    </row>
    <row r="35" spans="2:15" ht="15.95" customHeight="1" x14ac:dyDescent="0.25">
      <c r="B35" s="8">
        <f t="shared" si="10"/>
        <v>45261</v>
      </c>
      <c r="C35" s="10"/>
      <c r="D35" s="10"/>
      <c r="E35" s="12"/>
      <c r="F35" s="33"/>
      <c r="G35" s="12"/>
      <c r="H35" s="10"/>
      <c r="I35" s="33"/>
      <c r="J35" s="10"/>
      <c r="K35" s="10"/>
      <c r="L35" s="33"/>
      <c r="N35" s="13">
        <f>+C35+L35-F35-I35</f>
        <v>0</v>
      </c>
    </row>
    <row r="36" spans="2:15" ht="15.95" customHeight="1" x14ac:dyDescent="0.25">
      <c r="B36" s="8" t="s">
        <v>5</v>
      </c>
      <c r="C36" s="31">
        <f>SUM(C24:C35)</f>
        <v>950</v>
      </c>
      <c r="D36" s="31">
        <f t="shared" ref="D36:L36" si="13">SUM(D24:D35)</f>
        <v>796</v>
      </c>
      <c r="E36" s="31">
        <f t="shared" si="13"/>
        <v>4629</v>
      </c>
      <c r="F36" s="31">
        <f t="shared" si="13"/>
        <v>5425</v>
      </c>
      <c r="G36" s="31">
        <f t="shared" si="13"/>
        <v>0</v>
      </c>
      <c r="H36" s="31">
        <f t="shared" si="13"/>
        <v>241</v>
      </c>
      <c r="I36" s="31">
        <f t="shared" si="13"/>
        <v>241</v>
      </c>
      <c r="J36" s="31">
        <f t="shared" si="13"/>
        <v>4716</v>
      </c>
      <c r="K36" s="31">
        <f t="shared" si="13"/>
        <v>0</v>
      </c>
      <c r="L36" s="31">
        <f t="shared" si="13"/>
        <v>4716</v>
      </c>
    </row>
    <row r="38" spans="2:15" ht="15.75" x14ac:dyDescent="0.25">
      <c r="B38" s="88" t="s">
        <v>74</v>
      </c>
      <c r="C38" s="89"/>
      <c r="D38" s="89"/>
      <c r="E38" s="89"/>
      <c r="F38" s="89"/>
      <c r="G38" s="89"/>
      <c r="H38" s="89"/>
      <c r="I38" s="89"/>
      <c r="J38" s="89"/>
      <c r="K38" s="89"/>
      <c r="L38" s="89"/>
      <c r="M38" s="89"/>
    </row>
    <row r="39" spans="2:15" ht="15.75" customHeight="1" x14ac:dyDescent="0.25">
      <c r="B39" s="128" t="s">
        <v>1</v>
      </c>
      <c r="C39" s="41" t="s">
        <v>76</v>
      </c>
      <c r="D39" s="42"/>
      <c r="E39" s="42"/>
      <c r="F39" s="42"/>
      <c r="G39" s="42"/>
      <c r="H39" s="43"/>
      <c r="I39" s="123" t="s">
        <v>2</v>
      </c>
      <c r="J39" s="124"/>
      <c r="K39" s="124"/>
      <c r="L39" s="124"/>
      <c r="M39" s="125"/>
    </row>
    <row r="40" spans="2:15" ht="24" x14ac:dyDescent="0.25">
      <c r="B40" s="129"/>
      <c r="C40" s="37" t="s">
        <v>66</v>
      </c>
      <c r="D40" s="38" t="s">
        <v>75</v>
      </c>
      <c r="E40" s="38" t="s">
        <v>95</v>
      </c>
      <c r="F40" s="38" t="s">
        <v>77</v>
      </c>
      <c r="G40" s="38" t="s">
        <v>78</v>
      </c>
      <c r="H40" s="99" t="s">
        <v>5</v>
      </c>
      <c r="I40" s="99" t="s">
        <v>79</v>
      </c>
      <c r="J40" s="99" t="s">
        <v>12</v>
      </c>
      <c r="K40" s="100" t="s">
        <v>80</v>
      </c>
      <c r="L40" s="100" t="s">
        <v>81</v>
      </c>
      <c r="M40" s="99" t="s">
        <v>5</v>
      </c>
    </row>
    <row r="41" spans="2:15" ht="15.95" customHeight="1" x14ac:dyDescent="0.25">
      <c r="B41" s="8">
        <f t="shared" ref="B41:B52" si="14">+B6</f>
        <v>44927</v>
      </c>
      <c r="C41" s="10">
        <f>[2]Feuil1!$K$40</f>
        <v>0</v>
      </c>
      <c r="D41" s="10">
        <f>[2]Feuil1!$L$40</f>
        <v>0</v>
      </c>
      <c r="E41" s="10">
        <f>[2]Feuil1!$M$40</f>
        <v>0</v>
      </c>
      <c r="F41" s="10">
        <f>[2]Feuil1!$N$40</f>
        <v>1195</v>
      </c>
      <c r="G41" s="10">
        <f>[2]Feuil1!$O$40</f>
        <v>891</v>
      </c>
      <c r="H41" s="12">
        <f>+E41+F41+G41+D41+C41</f>
        <v>2086</v>
      </c>
      <c r="I41" s="10">
        <f>[2]Feuil1!$Q$40</f>
        <v>0</v>
      </c>
      <c r="J41" s="10">
        <f>[2]Feuil1!$R$40</f>
        <v>200</v>
      </c>
      <c r="K41" s="10">
        <f>[2]Feuil1!$S$40</f>
        <v>102</v>
      </c>
      <c r="L41" s="18">
        <f>[2]Feuil1!$T$40</f>
        <v>1784</v>
      </c>
      <c r="M41" s="12">
        <f>SUM(I41:L41)</f>
        <v>2086</v>
      </c>
      <c r="O41" s="13">
        <f>+M41-H41</f>
        <v>0</v>
      </c>
    </row>
    <row r="42" spans="2:15" ht="15.95" customHeight="1" x14ac:dyDescent="0.25">
      <c r="B42" s="8">
        <f t="shared" si="14"/>
        <v>44958</v>
      </c>
      <c r="C42" s="10">
        <f>[4]Feuil1!$K$40</f>
        <v>1213</v>
      </c>
      <c r="D42" s="10">
        <f>[4]Feuil1!$L$40</f>
        <v>0</v>
      </c>
      <c r="E42" s="10">
        <f>[4]Feuil1!$M$40</f>
        <v>0</v>
      </c>
      <c r="F42" s="10">
        <f>[4]Feuil1!$N$40</f>
        <v>3434</v>
      </c>
      <c r="G42" s="10">
        <f>[4]Feuil1!$O$40</f>
        <v>480</v>
      </c>
      <c r="H42" s="12">
        <f>+E42+F42+G42+D42+C42</f>
        <v>5127</v>
      </c>
      <c r="I42" s="10">
        <f>[4]Feuil1!$Q$40</f>
        <v>1930</v>
      </c>
      <c r="J42" s="10">
        <f>[4]Feuil1!$R$40</f>
        <v>2302</v>
      </c>
      <c r="K42" s="10">
        <f>[4]Feuil1!$S$40</f>
        <v>0</v>
      </c>
      <c r="L42" s="18">
        <f>[4]Feuil1!$T$40</f>
        <v>579</v>
      </c>
      <c r="M42" s="12">
        <f>SUM(I42:L42)</f>
        <v>4811</v>
      </c>
      <c r="O42" s="13">
        <f>+M42-H42</f>
        <v>-316</v>
      </c>
    </row>
    <row r="43" spans="2:15" ht="15.95" customHeight="1" x14ac:dyDescent="0.25">
      <c r="B43" s="8">
        <f t="shared" si="14"/>
        <v>44986</v>
      </c>
      <c r="C43" s="10"/>
      <c r="D43" s="10"/>
      <c r="E43" s="10"/>
      <c r="F43" s="10"/>
      <c r="G43" s="10"/>
      <c r="H43" s="12"/>
      <c r="I43" s="10"/>
      <c r="J43" s="10"/>
      <c r="K43" s="10"/>
      <c r="L43" s="18"/>
      <c r="M43" s="12"/>
      <c r="O43" s="13">
        <f>+M43-H43</f>
        <v>0</v>
      </c>
    </row>
    <row r="44" spans="2:15" ht="15.95" customHeight="1" x14ac:dyDescent="0.25">
      <c r="B44" s="8">
        <f t="shared" si="14"/>
        <v>45017</v>
      </c>
      <c r="C44" s="10"/>
      <c r="D44" s="10"/>
      <c r="E44" s="10"/>
      <c r="F44" s="10"/>
      <c r="G44" s="10"/>
      <c r="H44" s="12"/>
      <c r="I44" s="10"/>
      <c r="J44" s="10"/>
      <c r="K44" s="10"/>
      <c r="L44" s="18"/>
      <c r="M44" s="12"/>
      <c r="O44" s="13">
        <f t="shared" ref="O44:O52" si="15">+M44-H44</f>
        <v>0</v>
      </c>
    </row>
    <row r="45" spans="2:15" ht="15.95" customHeight="1" x14ac:dyDescent="0.25">
      <c r="B45" s="8">
        <f t="shared" si="14"/>
        <v>45047</v>
      </c>
      <c r="C45" s="10"/>
      <c r="D45" s="10"/>
      <c r="E45" s="10"/>
      <c r="F45" s="10"/>
      <c r="G45" s="10"/>
      <c r="H45" s="12"/>
      <c r="I45" s="10"/>
      <c r="J45" s="10"/>
      <c r="K45" s="10"/>
      <c r="L45" s="18"/>
      <c r="M45" s="12"/>
      <c r="O45" s="13">
        <f>+M45-H45</f>
        <v>0</v>
      </c>
    </row>
    <row r="46" spans="2:15" ht="15.95" customHeight="1" x14ac:dyDescent="0.25">
      <c r="B46" s="8">
        <f t="shared" si="14"/>
        <v>45078</v>
      </c>
      <c r="C46" s="10"/>
      <c r="D46" s="10"/>
      <c r="E46" s="10"/>
      <c r="F46" s="10"/>
      <c r="G46" s="10"/>
      <c r="H46" s="12"/>
      <c r="I46" s="10"/>
      <c r="J46" s="10"/>
      <c r="K46" s="10"/>
      <c r="L46" s="18"/>
      <c r="M46" s="12"/>
      <c r="O46" s="13">
        <f t="shared" si="15"/>
        <v>0</v>
      </c>
    </row>
    <row r="47" spans="2:15" ht="15.95" customHeight="1" x14ac:dyDescent="0.25">
      <c r="B47" s="8">
        <f t="shared" si="14"/>
        <v>45108</v>
      </c>
      <c r="C47" s="10"/>
      <c r="D47" s="10"/>
      <c r="E47" s="10"/>
      <c r="F47" s="10"/>
      <c r="G47" s="10"/>
      <c r="H47" s="12"/>
      <c r="I47" s="10"/>
      <c r="J47" s="10"/>
      <c r="K47" s="10"/>
      <c r="L47" s="18"/>
      <c r="M47" s="12"/>
      <c r="O47" s="13">
        <f t="shared" si="15"/>
        <v>0</v>
      </c>
    </row>
    <row r="48" spans="2:15" ht="15.95" customHeight="1" x14ac:dyDescent="0.25">
      <c r="B48" s="8">
        <f t="shared" si="14"/>
        <v>45139</v>
      </c>
      <c r="C48" s="10"/>
      <c r="D48" s="10"/>
      <c r="E48" s="10"/>
      <c r="F48" s="10"/>
      <c r="G48" s="10"/>
      <c r="H48" s="12"/>
      <c r="I48" s="10"/>
      <c r="J48" s="10"/>
      <c r="K48" s="10"/>
      <c r="L48" s="18"/>
      <c r="M48" s="12"/>
      <c r="O48" s="13">
        <f>+M48-H48</f>
        <v>0</v>
      </c>
    </row>
    <row r="49" spans="2:24" ht="15.95" customHeight="1" x14ac:dyDescent="0.25">
      <c r="B49" s="8">
        <f t="shared" si="14"/>
        <v>45170</v>
      </c>
      <c r="C49" s="10"/>
      <c r="D49" s="10"/>
      <c r="E49" s="10"/>
      <c r="F49" s="10"/>
      <c r="G49" s="10"/>
      <c r="H49" s="12"/>
      <c r="I49" s="10"/>
      <c r="J49" s="10"/>
      <c r="K49" s="10"/>
      <c r="L49" s="18"/>
      <c r="M49" s="12"/>
      <c r="O49" s="13">
        <f t="shared" si="15"/>
        <v>0</v>
      </c>
    </row>
    <row r="50" spans="2:24" ht="15.95" customHeight="1" x14ac:dyDescent="0.25">
      <c r="B50" s="8">
        <f t="shared" si="14"/>
        <v>45200</v>
      </c>
      <c r="C50" s="10"/>
      <c r="D50" s="10"/>
      <c r="E50" s="10"/>
      <c r="F50" s="10"/>
      <c r="G50" s="10"/>
      <c r="H50" s="12"/>
      <c r="I50" s="10"/>
      <c r="J50" s="10"/>
      <c r="K50" s="10"/>
      <c r="L50" s="18"/>
      <c r="M50" s="12"/>
      <c r="O50" s="13">
        <f t="shared" si="15"/>
        <v>0</v>
      </c>
    </row>
    <row r="51" spans="2:24" ht="15.95" customHeight="1" x14ac:dyDescent="0.25">
      <c r="B51" s="8">
        <f t="shared" si="14"/>
        <v>45231</v>
      </c>
      <c r="C51" s="10"/>
      <c r="D51" s="10"/>
      <c r="E51" s="10"/>
      <c r="F51" s="10"/>
      <c r="G51" s="10"/>
      <c r="H51" s="12"/>
      <c r="I51" s="10"/>
      <c r="J51" s="10"/>
      <c r="K51" s="10"/>
      <c r="L51" s="18"/>
      <c r="M51" s="12"/>
      <c r="O51" s="13">
        <f t="shared" si="15"/>
        <v>0</v>
      </c>
    </row>
    <row r="52" spans="2:24" ht="15.95" customHeight="1" x14ac:dyDescent="0.25">
      <c r="B52" s="8">
        <f t="shared" si="14"/>
        <v>45261</v>
      </c>
      <c r="C52" s="10"/>
      <c r="D52" s="10"/>
      <c r="E52" s="10"/>
      <c r="F52" s="10"/>
      <c r="G52" s="10"/>
      <c r="H52" s="12"/>
      <c r="I52" s="10"/>
      <c r="J52" s="10"/>
      <c r="K52" s="10"/>
      <c r="L52" s="18"/>
      <c r="M52" s="12"/>
      <c r="O52" s="13">
        <f t="shared" si="15"/>
        <v>0</v>
      </c>
    </row>
    <row r="53" spans="2:24" ht="15.95" customHeight="1" x14ac:dyDescent="0.25">
      <c r="B53" s="8" t="s">
        <v>5</v>
      </c>
      <c r="C53" s="12">
        <f>SUM(C41:C52)</f>
        <v>1213</v>
      </c>
      <c r="D53" s="12">
        <f>SUM(D41:D52)</f>
        <v>0</v>
      </c>
      <c r="E53" s="12">
        <f>SUM(E41:E52)</f>
        <v>0</v>
      </c>
      <c r="F53" s="12">
        <f>SUM(C53:D53)</f>
        <v>1213</v>
      </c>
      <c r="G53" s="12">
        <f>SUM(D53:E53)</f>
        <v>0</v>
      </c>
      <c r="H53" s="12">
        <f>SUM(H41:H52)</f>
        <v>7213</v>
      </c>
      <c r="I53" s="12">
        <f t="shared" ref="I53:J53" si="16">SUM(I41:I52)</f>
        <v>1930</v>
      </c>
      <c r="J53" s="12">
        <f t="shared" si="16"/>
        <v>2502</v>
      </c>
      <c r="K53" s="12">
        <f>SUM(K41:K52)</f>
        <v>102</v>
      </c>
      <c r="L53" s="12">
        <f>SUM(L41:L52)</f>
        <v>2363</v>
      </c>
      <c r="M53" s="12">
        <f t="shared" ref="M53" si="17">SUM(I53:K53)</f>
        <v>4534</v>
      </c>
    </row>
    <row r="54" spans="2:24" ht="15.95" customHeight="1" x14ac:dyDescent="0.25">
      <c r="B54" s="22"/>
      <c r="C54" s="39"/>
      <c r="D54" s="39"/>
      <c r="E54" s="39"/>
      <c r="F54" s="39"/>
      <c r="G54" s="39"/>
      <c r="H54" s="39"/>
      <c r="I54" s="39"/>
      <c r="J54" s="39"/>
      <c r="K54" s="39"/>
      <c r="L54" s="39"/>
      <c r="M54" s="39"/>
    </row>
    <row r="55" spans="2:24" ht="15.75" x14ac:dyDescent="0.25">
      <c r="B55" s="88" t="s">
        <v>14</v>
      </c>
      <c r="C55" s="88"/>
      <c r="D55" s="88"/>
      <c r="E55" s="88"/>
      <c r="F55" s="88"/>
      <c r="G55" s="88"/>
      <c r="H55" s="88"/>
      <c r="I55" s="88"/>
      <c r="J55" s="88"/>
      <c r="K55"/>
      <c r="L55" s="88" t="s">
        <v>85</v>
      </c>
      <c r="M55" s="90"/>
      <c r="N55" s="90"/>
      <c r="O55" s="90"/>
      <c r="P55" s="88"/>
      <c r="Q55" s="90"/>
      <c r="R55" s="90"/>
      <c r="S55" s="90"/>
      <c r="T55" s="90"/>
      <c r="U55" s="90"/>
      <c r="V55" s="90"/>
    </row>
    <row r="56" spans="2:24" ht="15.75" customHeight="1" x14ac:dyDescent="0.25">
      <c r="B56" s="128" t="s">
        <v>1</v>
      </c>
      <c r="C56" s="3" t="s">
        <v>76</v>
      </c>
      <c r="D56" s="4"/>
      <c r="E56" s="4"/>
      <c r="F56" s="4"/>
      <c r="G56" s="116" t="s">
        <v>2</v>
      </c>
      <c r="H56" s="116"/>
      <c r="I56" s="116"/>
      <c r="J56" s="116"/>
      <c r="K56"/>
      <c r="L56" s="128" t="s">
        <v>1</v>
      </c>
      <c r="M56" s="116" t="s">
        <v>76</v>
      </c>
      <c r="N56" s="116"/>
      <c r="O56" s="116"/>
      <c r="P56" s="116"/>
      <c r="Q56" s="123" t="s">
        <v>87</v>
      </c>
      <c r="R56" s="124"/>
      <c r="S56" s="124"/>
      <c r="T56" s="124"/>
      <c r="U56" s="124"/>
      <c r="V56" s="125"/>
    </row>
    <row r="57" spans="2:24" ht="24" x14ac:dyDescent="0.25">
      <c r="B57" s="129"/>
      <c r="C57" s="99" t="s">
        <v>15</v>
      </c>
      <c r="D57" s="2" t="s">
        <v>82</v>
      </c>
      <c r="E57" s="99" t="s">
        <v>83</v>
      </c>
      <c r="F57" s="100" t="s">
        <v>5</v>
      </c>
      <c r="G57" s="99" t="s">
        <v>66</v>
      </c>
      <c r="H57" s="100" t="s">
        <v>84</v>
      </c>
      <c r="I57" s="99" t="s">
        <v>83</v>
      </c>
      <c r="J57" s="100" t="s">
        <v>5</v>
      </c>
      <c r="K57"/>
      <c r="L57" s="129"/>
      <c r="M57" s="100" t="s">
        <v>11</v>
      </c>
      <c r="N57" s="100" t="s">
        <v>13</v>
      </c>
      <c r="O57" s="99" t="s">
        <v>86</v>
      </c>
      <c r="P57" s="100" t="s">
        <v>5</v>
      </c>
      <c r="Q57" s="99" t="s">
        <v>88</v>
      </c>
      <c r="R57" s="99" t="s">
        <v>89</v>
      </c>
      <c r="S57" s="99" t="s">
        <v>90</v>
      </c>
      <c r="T57" s="99"/>
      <c r="U57" s="99"/>
      <c r="V57" s="100" t="s">
        <v>5</v>
      </c>
    </row>
    <row r="58" spans="2:24" ht="15.95" customHeight="1" x14ac:dyDescent="0.2">
      <c r="B58" s="8">
        <f t="shared" ref="B58:B69" si="18">+B6</f>
        <v>44927</v>
      </c>
      <c r="C58" s="12">
        <f>[2]Feuil1!$V$40</f>
        <v>831</v>
      </c>
      <c r="D58" s="12">
        <f>'[1]BU-3'!$F$39</f>
        <v>200</v>
      </c>
      <c r="E58" s="12">
        <f>'[1]BU-2'!$E$34</f>
        <v>0</v>
      </c>
      <c r="F58" s="31">
        <f>SUM(C58:E58)</f>
        <v>1031</v>
      </c>
      <c r="G58" s="12">
        <f>'[1]BU-3'!$F$56</f>
        <v>140</v>
      </c>
      <c r="H58" s="10">
        <f>+G41</f>
        <v>891</v>
      </c>
      <c r="I58" s="10">
        <f>'[1]BU-2'!$E$35</f>
        <v>0</v>
      </c>
      <c r="J58" s="31">
        <f>SUM(G58:I58)</f>
        <v>1031</v>
      </c>
      <c r="K58" s="51">
        <f>+J58-F58</f>
        <v>0</v>
      </c>
      <c r="L58" s="8">
        <f>+B58</f>
        <v>44927</v>
      </c>
      <c r="M58" s="10">
        <f>'[1]BU-3'!$F$72</f>
        <v>0</v>
      </c>
      <c r="N58" s="10">
        <f>'[1]BU-3'!$F$47</f>
        <v>0</v>
      </c>
      <c r="O58" s="10">
        <f>[2]Feuil1!$BB$40</f>
        <v>831</v>
      </c>
      <c r="P58" s="31">
        <f>SUM(M58:O58)</f>
        <v>831</v>
      </c>
      <c r="Q58" s="10">
        <f>[2]Feuil1!$BD$40</f>
        <v>0</v>
      </c>
      <c r="R58" s="20">
        <f>[2]Feuil1!$BE$40</f>
        <v>638</v>
      </c>
      <c r="S58" s="12">
        <f>[2]Feuil1!$BF$40</f>
        <v>193</v>
      </c>
      <c r="T58" s="12"/>
      <c r="U58" s="12"/>
      <c r="V58" s="31">
        <f>SUM(Q58:S58)</f>
        <v>831</v>
      </c>
      <c r="W58" s="13">
        <f>+V58-P58</f>
        <v>0</v>
      </c>
      <c r="X58" s="13">
        <f>+I41-M58</f>
        <v>0</v>
      </c>
    </row>
    <row r="59" spans="2:24" ht="15.95" customHeight="1" x14ac:dyDescent="0.2">
      <c r="B59" s="8">
        <f t="shared" si="18"/>
        <v>44958</v>
      </c>
      <c r="C59" s="12">
        <f>[4]Feuil1!$V$40</f>
        <v>8165</v>
      </c>
      <c r="D59" s="12">
        <f>'[3]BU-3'!$F$39</f>
        <v>2302</v>
      </c>
      <c r="E59" s="12">
        <f>'[3]BU-2'!$E$34</f>
        <v>0</v>
      </c>
      <c r="F59" s="31">
        <f>SUM(C59:E59)</f>
        <v>10467</v>
      </c>
      <c r="G59" s="12">
        <f>'[3]BU-3'!$F$56</f>
        <v>5912</v>
      </c>
      <c r="H59" s="10">
        <f>+G42</f>
        <v>480</v>
      </c>
      <c r="I59" s="10">
        <f>'[3]BU-2'!$E$35</f>
        <v>4075</v>
      </c>
      <c r="J59" s="31">
        <f>SUM(G59:I59)</f>
        <v>10467</v>
      </c>
      <c r="K59" s="51">
        <f>+J59-F59</f>
        <v>0</v>
      </c>
      <c r="L59" s="8">
        <f t="shared" ref="L59:L69" si="19">+B59</f>
        <v>44958</v>
      </c>
      <c r="M59" s="10">
        <f>'[3]BU-3'!$F$72</f>
        <v>1454</v>
      </c>
      <c r="N59" s="10">
        <f>'[3]BU-3'!$F$47</f>
        <v>796</v>
      </c>
      <c r="O59" s="10">
        <f>[4]Feuil1!$BB$40</f>
        <v>11703</v>
      </c>
      <c r="P59" s="31">
        <f>SUM(M59:O59)</f>
        <v>13953</v>
      </c>
      <c r="Q59" s="10">
        <f>[4]Feuil1!$BD$40</f>
        <v>3103</v>
      </c>
      <c r="R59" s="20">
        <f>[4]Feuil1!$BE$40</f>
        <v>3118</v>
      </c>
      <c r="S59" s="12">
        <f>[4]Feuil1!$BF$40</f>
        <v>7732</v>
      </c>
      <c r="T59" s="12"/>
      <c r="U59" s="12"/>
      <c r="V59" s="31">
        <f>SUM(Q59:S59)</f>
        <v>13953</v>
      </c>
      <c r="W59" s="13">
        <f>+V59-P59</f>
        <v>0</v>
      </c>
      <c r="X59" s="13">
        <f>+I42-M59</f>
        <v>476</v>
      </c>
    </row>
    <row r="60" spans="2:24" ht="15.95" customHeight="1" x14ac:dyDescent="0.2">
      <c r="B60" s="8">
        <f t="shared" si="18"/>
        <v>44986</v>
      </c>
      <c r="C60" s="12"/>
      <c r="D60" s="12"/>
      <c r="E60" s="12"/>
      <c r="F60" s="12"/>
      <c r="G60" s="12"/>
      <c r="H60" s="10"/>
      <c r="I60" s="10"/>
      <c r="J60" s="12"/>
      <c r="K60" s="51">
        <f t="shared" ref="K60:K70" si="20">+J60-F60</f>
        <v>0</v>
      </c>
      <c r="L60" s="8">
        <f t="shared" si="19"/>
        <v>44986</v>
      </c>
      <c r="M60" s="10"/>
      <c r="N60" s="10"/>
      <c r="O60" s="10"/>
      <c r="P60" s="12"/>
      <c r="Q60" s="10"/>
      <c r="R60" s="20"/>
      <c r="S60" s="12"/>
      <c r="T60" s="12"/>
      <c r="U60" s="12"/>
      <c r="V60" s="12"/>
      <c r="W60" s="13">
        <f>+V60-P60</f>
        <v>0</v>
      </c>
      <c r="X60" s="13">
        <f>+I43-M60</f>
        <v>0</v>
      </c>
    </row>
    <row r="61" spans="2:24" ht="15.95" customHeight="1" x14ac:dyDescent="0.2">
      <c r="B61" s="8">
        <f t="shared" si="18"/>
        <v>45017</v>
      </c>
      <c r="C61" s="12"/>
      <c r="D61" s="12"/>
      <c r="E61" s="12"/>
      <c r="F61" s="12"/>
      <c r="G61" s="12"/>
      <c r="H61" s="10"/>
      <c r="I61" s="10"/>
      <c r="J61" s="12"/>
      <c r="K61" s="51">
        <f>+J61-F61</f>
        <v>0</v>
      </c>
      <c r="L61" s="8">
        <f t="shared" si="19"/>
        <v>45017</v>
      </c>
      <c r="M61" s="10"/>
      <c r="N61" s="10"/>
      <c r="O61" s="10"/>
      <c r="P61" s="12"/>
      <c r="Q61" s="10"/>
      <c r="R61" s="20"/>
      <c r="S61" s="12"/>
      <c r="T61" s="12"/>
      <c r="U61" s="12"/>
      <c r="V61" s="12"/>
      <c r="W61" s="13">
        <f>+V61-P61</f>
        <v>0</v>
      </c>
      <c r="X61" s="13">
        <f t="shared" ref="X61:X69" si="21">+I44-M61</f>
        <v>0</v>
      </c>
    </row>
    <row r="62" spans="2:24" ht="15.95" customHeight="1" x14ac:dyDescent="0.2">
      <c r="B62" s="8">
        <f t="shared" si="18"/>
        <v>45047</v>
      </c>
      <c r="C62" s="12"/>
      <c r="D62" s="12"/>
      <c r="E62" s="12"/>
      <c r="F62" s="12"/>
      <c r="G62" s="12"/>
      <c r="H62" s="10"/>
      <c r="I62" s="10"/>
      <c r="J62" s="12"/>
      <c r="K62" s="51">
        <f t="shared" si="20"/>
        <v>0</v>
      </c>
      <c r="L62" s="8">
        <f t="shared" si="19"/>
        <v>45047</v>
      </c>
      <c r="M62" s="10"/>
      <c r="N62" s="10"/>
      <c r="O62" s="10"/>
      <c r="P62" s="12"/>
      <c r="Q62" s="10"/>
      <c r="R62" s="20"/>
      <c r="S62" s="12"/>
      <c r="T62" s="12"/>
      <c r="U62" s="12"/>
      <c r="V62" s="12"/>
      <c r="W62" s="13">
        <f t="shared" ref="W62:W68" si="22">+V62-P62</f>
        <v>0</v>
      </c>
      <c r="X62" s="13">
        <f t="shared" si="21"/>
        <v>0</v>
      </c>
    </row>
    <row r="63" spans="2:24" ht="15.95" customHeight="1" x14ac:dyDescent="0.2">
      <c r="B63" s="8">
        <f t="shared" si="18"/>
        <v>45078</v>
      </c>
      <c r="C63" s="12"/>
      <c r="D63" s="12"/>
      <c r="E63" s="12"/>
      <c r="F63" s="12"/>
      <c r="G63" s="12"/>
      <c r="H63" s="10"/>
      <c r="I63" s="10"/>
      <c r="J63" s="12"/>
      <c r="K63" s="51">
        <f>+J63-F63</f>
        <v>0</v>
      </c>
      <c r="L63" s="8">
        <f t="shared" si="19"/>
        <v>45078</v>
      </c>
      <c r="M63" s="10"/>
      <c r="N63" s="10"/>
      <c r="O63" s="10"/>
      <c r="P63" s="12"/>
      <c r="Q63" s="10"/>
      <c r="R63" s="20"/>
      <c r="S63" s="12"/>
      <c r="T63" s="12"/>
      <c r="U63" s="12"/>
      <c r="V63" s="12"/>
      <c r="W63" s="13">
        <f t="shared" si="22"/>
        <v>0</v>
      </c>
      <c r="X63" s="13">
        <f t="shared" si="21"/>
        <v>0</v>
      </c>
    </row>
    <row r="64" spans="2:24" ht="15.95" customHeight="1" x14ac:dyDescent="0.2">
      <c r="B64" s="8">
        <f t="shared" si="18"/>
        <v>45108</v>
      </c>
      <c r="C64" s="12"/>
      <c r="D64" s="12"/>
      <c r="E64" s="12"/>
      <c r="F64" s="12"/>
      <c r="G64" s="12"/>
      <c r="H64" s="10"/>
      <c r="I64" s="10"/>
      <c r="J64" s="12"/>
      <c r="K64" s="51">
        <f t="shared" si="20"/>
        <v>0</v>
      </c>
      <c r="L64" s="8">
        <f t="shared" si="19"/>
        <v>45108</v>
      </c>
      <c r="M64" s="10"/>
      <c r="N64" s="10"/>
      <c r="O64" s="10"/>
      <c r="P64" s="12"/>
      <c r="Q64" s="10"/>
      <c r="R64" s="20"/>
      <c r="S64" s="12"/>
      <c r="T64" s="12"/>
      <c r="U64" s="12"/>
      <c r="V64" s="12"/>
      <c r="W64" s="13">
        <f t="shared" si="22"/>
        <v>0</v>
      </c>
      <c r="X64" s="13">
        <f t="shared" si="21"/>
        <v>0</v>
      </c>
    </row>
    <row r="65" spans="2:41" ht="15.95" customHeight="1" x14ac:dyDescent="0.2">
      <c r="B65" s="8">
        <f t="shared" si="18"/>
        <v>45139</v>
      </c>
      <c r="C65" s="12"/>
      <c r="D65" s="12"/>
      <c r="E65" s="12"/>
      <c r="F65" s="12"/>
      <c r="G65" s="12"/>
      <c r="H65" s="10"/>
      <c r="I65" s="10"/>
      <c r="J65" s="12"/>
      <c r="K65" s="51">
        <f t="shared" si="20"/>
        <v>0</v>
      </c>
      <c r="L65" s="8">
        <f t="shared" si="19"/>
        <v>45139</v>
      </c>
      <c r="M65" s="10"/>
      <c r="N65" s="10"/>
      <c r="O65" s="10"/>
      <c r="P65" s="12"/>
      <c r="Q65" s="10"/>
      <c r="R65" s="20"/>
      <c r="S65" s="12"/>
      <c r="T65" s="12"/>
      <c r="U65" s="12"/>
      <c r="V65" s="12"/>
      <c r="W65" s="13">
        <f>+V65-P65</f>
        <v>0</v>
      </c>
      <c r="X65" s="13">
        <f t="shared" si="21"/>
        <v>0</v>
      </c>
    </row>
    <row r="66" spans="2:41" ht="15.95" customHeight="1" x14ac:dyDescent="0.2">
      <c r="B66" s="8">
        <f t="shared" si="18"/>
        <v>45170</v>
      </c>
      <c r="C66" s="12"/>
      <c r="D66" s="12"/>
      <c r="E66" s="12"/>
      <c r="F66" s="12"/>
      <c r="G66" s="12"/>
      <c r="H66" s="10"/>
      <c r="I66" s="10"/>
      <c r="J66" s="12"/>
      <c r="K66" s="51">
        <f t="shared" si="20"/>
        <v>0</v>
      </c>
      <c r="L66" s="8">
        <f t="shared" si="19"/>
        <v>45170</v>
      </c>
      <c r="M66" s="10"/>
      <c r="N66" s="10"/>
      <c r="O66" s="10"/>
      <c r="P66" s="12"/>
      <c r="Q66" s="10"/>
      <c r="R66" s="20"/>
      <c r="S66" s="12"/>
      <c r="T66" s="12"/>
      <c r="U66" s="12"/>
      <c r="V66" s="12"/>
      <c r="W66" s="13">
        <f t="shared" si="22"/>
        <v>0</v>
      </c>
      <c r="X66" s="13">
        <f t="shared" si="21"/>
        <v>0</v>
      </c>
    </row>
    <row r="67" spans="2:41" ht="15.95" customHeight="1" x14ac:dyDescent="0.2">
      <c r="B67" s="8">
        <f t="shared" si="18"/>
        <v>45200</v>
      </c>
      <c r="C67" s="12"/>
      <c r="D67" s="12"/>
      <c r="E67" s="12"/>
      <c r="F67" s="12"/>
      <c r="G67" s="12"/>
      <c r="H67" s="10"/>
      <c r="I67" s="10"/>
      <c r="J67" s="12"/>
      <c r="K67" s="51">
        <f t="shared" si="20"/>
        <v>0</v>
      </c>
      <c r="L67" s="8">
        <f t="shared" si="19"/>
        <v>45200</v>
      </c>
      <c r="M67" s="10"/>
      <c r="N67" s="10"/>
      <c r="O67" s="10"/>
      <c r="P67" s="12"/>
      <c r="Q67" s="10"/>
      <c r="R67" s="20"/>
      <c r="S67" s="12"/>
      <c r="T67" s="12"/>
      <c r="U67" s="12"/>
      <c r="V67" s="12"/>
      <c r="W67" s="13">
        <f>+V67-P67</f>
        <v>0</v>
      </c>
      <c r="X67" s="13">
        <f t="shared" si="21"/>
        <v>0</v>
      </c>
    </row>
    <row r="68" spans="2:41" ht="15.95" customHeight="1" x14ac:dyDescent="0.2">
      <c r="B68" s="8">
        <f t="shared" si="18"/>
        <v>45231</v>
      </c>
      <c r="C68" s="12"/>
      <c r="D68" s="12"/>
      <c r="E68" s="12"/>
      <c r="F68" s="12"/>
      <c r="G68" s="12"/>
      <c r="H68" s="10"/>
      <c r="I68" s="10"/>
      <c r="J68" s="12"/>
      <c r="K68" s="51">
        <f t="shared" si="20"/>
        <v>0</v>
      </c>
      <c r="L68" s="8">
        <f t="shared" si="19"/>
        <v>45231</v>
      </c>
      <c r="M68" s="10"/>
      <c r="N68" s="10"/>
      <c r="O68" s="10"/>
      <c r="P68" s="12"/>
      <c r="Q68" s="10"/>
      <c r="R68" s="20"/>
      <c r="S68" s="12"/>
      <c r="T68" s="12"/>
      <c r="U68" s="12"/>
      <c r="V68" s="12"/>
      <c r="W68" s="13">
        <f t="shared" si="22"/>
        <v>0</v>
      </c>
      <c r="X68" s="13">
        <f t="shared" si="21"/>
        <v>0</v>
      </c>
    </row>
    <row r="69" spans="2:41" ht="15.95" customHeight="1" x14ac:dyDescent="0.2">
      <c r="B69" s="8">
        <f t="shared" si="18"/>
        <v>45261</v>
      </c>
      <c r="C69" s="12"/>
      <c r="D69" s="12"/>
      <c r="E69" s="12"/>
      <c r="F69" s="12"/>
      <c r="G69" s="12"/>
      <c r="H69" s="10"/>
      <c r="I69" s="10"/>
      <c r="J69" s="12"/>
      <c r="K69" s="51">
        <f t="shared" si="20"/>
        <v>0</v>
      </c>
      <c r="L69" s="8">
        <f t="shared" si="19"/>
        <v>45261</v>
      </c>
      <c r="M69" s="10"/>
      <c r="N69" s="10"/>
      <c r="O69" s="10"/>
      <c r="P69" s="12"/>
      <c r="Q69" s="10"/>
      <c r="R69" s="20"/>
      <c r="S69" s="12"/>
      <c r="T69" s="12"/>
      <c r="U69" s="12"/>
      <c r="V69" s="12"/>
      <c r="W69" s="13">
        <f>+V69-P69</f>
        <v>0</v>
      </c>
      <c r="X69" s="13">
        <f t="shared" si="21"/>
        <v>0</v>
      </c>
    </row>
    <row r="70" spans="2:41" ht="15.95" customHeight="1" x14ac:dyDescent="0.2">
      <c r="B70" s="8" t="s">
        <v>5</v>
      </c>
      <c r="C70" s="12">
        <f>SUM(C58:C69)</f>
        <v>8996</v>
      </c>
      <c r="D70" s="12">
        <f t="shared" ref="D70:S70" si="23">SUM(D58:D69)</f>
        <v>2502</v>
      </c>
      <c r="E70" s="12">
        <f t="shared" si="23"/>
        <v>0</v>
      </c>
      <c r="F70" s="12">
        <f>SUM(F58:F69)</f>
        <v>11498</v>
      </c>
      <c r="G70" s="12">
        <f t="shared" si="23"/>
        <v>6052</v>
      </c>
      <c r="H70" s="12">
        <f t="shared" si="23"/>
        <v>1371</v>
      </c>
      <c r="I70" s="12">
        <f t="shared" si="23"/>
        <v>4075</v>
      </c>
      <c r="J70" s="11">
        <f t="shared" si="23"/>
        <v>11498</v>
      </c>
      <c r="K70" s="51">
        <f t="shared" si="20"/>
        <v>0</v>
      </c>
      <c r="L70" s="8" t="s">
        <v>5</v>
      </c>
      <c r="M70" s="12">
        <f t="shared" si="23"/>
        <v>1454</v>
      </c>
      <c r="N70" s="12">
        <f t="shared" si="23"/>
        <v>796</v>
      </c>
      <c r="O70" s="12">
        <f t="shared" si="23"/>
        <v>12534</v>
      </c>
      <c r="P70" s="12">
        <f t="shared" si="23"/>
        <v>14784</v>
      </c>
      <c r="Q70" s="12">
        <f t="shared" si="23"/>
        <v>3103</v>
      </c>
      <c r="R70" s="12">
        <f t="shared" si="23"/>
        <v>3756</v>
      </c>
      <c r="S70" s="12">
        <f t="shared" si="23"/>
        <v>7925</v>
      </c>
      <c r="T70" s="12"/>
      <c r="U70" s="12"/>
      <c r="V70" s="12">
        <f t="shared" ref="V70" si="24">SUM(V58:V69)</f>
        <v>14784</v>
      </c>
    </row>
    <row r="71" spans="2:41" x14ac:dyDescent="0.25">
      <c r="Y71" s="134" t="s">
        <v>107</v>
      </c>
      <c r="Z71" s="134"/>
      <c r="AA71" s="134"/>
      <c r="AB71" s="134"/>
      <c r="AC71" s="134"/>
      <c r="AD71" s="134"/>
      <c r="AE71" s="134"/>
      <c r="AF71" s="134"/>
      <c r="AG71" s="134"/>
    </row>
    <row r="72" spans="2:41" ht="15.75" x14ac:dyDescent="0.25">
      <c r="B72" s="88" t="s">
        <v>16</v>
      </c>
      <c r="C72" s="88"/>
      <c r="D72" s="88"/>
      <c r="E72" s="88"/>
      <c r="F72" s="88"/>
      <c r="G72" s="88"/>
      <c r="H72" s="88" t="s">
        <v>17</v>
      </c>
      <c r="I72" s="88"/>
      <c r="J72" s="88"/>
      <c r="K72" s="88"/>
      <c r="L72" s="88"/>
      <c r="M72" s="88"/>
      <c r="N72" s="88" t="s">
        <v>27</v>
      </c>
      <c r="O72" s="88"/>
      <c r="P72" s="88"/>
      <c r="Q72" s="88"/>
      <c r="R72" s="88"/>
      <c r="S72" s="88"/>
      <c r="T72" s="91"/>
      <c r="U72" s="91"/>
    </row>
    <row r="73" spans="2:41" ht="15.75" customHeight="1" x14ac:dyDescent="0.25">
      <c r="B73" s="128" t="s">
        <v>1</v>
      </c>
      <c r="C73" s="123" t="s">
        <v>18</v>
      </c>
      <c r="D73" s="124"/>
      <c r="E73" s="124"/>
      <c r="F73" s="124"/>
      <c r="G73" s="125"/>
      <c r="H73" s="135" t="s">
        <v>19</v>
      </c>
      <c r="I73" s="124"/>
      <c r="J73" s="124"/>
      <c r="K73" s="124"/>
      <c r="L73" s="124"/>
      <c r="M73" s="136"/>
      <c r="N73" s="135" t="s">
        <v>93</v>
      </c>
      <c r="O73" s="124"/>
      <c r="P73" s="124"/>
      <c r="Q73" s="124"/>
      <c r="R73" s="124"/>
      <c r="S73" s="136"/>
      <c r="T73" s="82"/>
      <c r="U73" s="82"/>
      <c r="X73" s="91"/>
      <c r="Y73" s="74"/>
      <c r="Z73" s="74"/>
      <c r="AA73" s="137" t="s">
        <v>108</v>
      </c>
      <c r="AB73" s="137"/>
      <c r="AC73" s="137"/>
      <c r="AD73" s="138" t="s">
        <v>106</v>
      </c>
      <c r="AE73" s="138"/>
      <c r="AF73" s="102"/>
      <c r="AG73" s="137" t="s">
        <v>20</v>
      </c>
      <c r="AH73" s="137"/>
      <c r="AI73" s="105"/>
      <c r="AJ73" s="138" t="s">
        <v>105</v>
      </c>
      <c r="AK73" s="138"/>
      <c r="AL73" s="69"/>
    </row>
    <row r="74" spans="2:41" ht="24" x14ac:dyDescent="0.25">
      <c r="B74" s="129"/>
      <c r="C74" s="99" t="s">
        <v>91</v>
      </c>
      <c r="D74" s="100" t="s">
        <v>79</v>
      </c>
      <c r="E74" s="100" t="s">
        <v>6</v>
      </c>
      <c r="F74" s="100" t="s">
        <v>92</v>
      </c>
      <c r="G74" s="101" t="s">
        <v>5</v>
      </c>
      <c r="H74" s="17" t="s">
        <v>20</v>
      </c>
      <c r="I74" s="100" t="s">
        <v>21</v>
      </c>
      <c r="J74" s="99" t="s">
        <v>22</v>
      </c>
      <c r="K74" s="99" t="s">
        <v>24</v>
      </c>
      <c r="L74" s="99" t="s">
        <v>25</v>
      </c>
      <c r="M74" s="99" t="s">
        <v>26</v>
      </c>
      <c r="N74" s="100" t="s">
        <v>8</v>
      </c>
      <c r="O74" s="99" t="s">
        <v>28</v>
      </c>
      <c r="P74" s="100" t="s">
        <v>7</v>
      </c>
      <c r="Q74" s="99" t="s">
        <v>23</v>
      </c>
      <c r="R74" s="99" t="s">
        <v>29</v>
      </c>
      <c r="S74" s="99" t="s">
        <v>5</v>
      </c>
      <c r="T74" s="75"/>
      <c r="U74" s="75"/>
      <c r="X74" s="105" t="s">
        <v>106</v>
      </c>
      <c r="Y74" s="105" t="s">
        <v>20</v>
      </c>
      <c r="Z74" s="105" t="s">
        <v>105</v>
      </c>
      <c r="AA74" s="105" t="s">
        <v>106</v>
      </c>
      <c r="AB74" s="105" t="s">
        <v>20</v>
      </c>
      <c r="AC74" s="105" t="s">
        <v>105</v>
      </c>
      <c r="AD74" s="102" t="s">
        <v>110</v>
      </c>
      <c r="AE74" s="69" t="s">
        <v>109</v>
      </c>
      <c r="AF74" s="69"/>
      <c r="AG74" s="105" t="s">
        <v>110</v>
      </c>
      <c r="AH74" s="147" t="s">
        <v>109</v>
      </c>
      <c r="AI74" s="66"/>
      <c r="AJ74" s="102" t="s">
        <v>110</v>
      </c>
      <c r="AK74" s="69" t="s">
        <v>109</v>
      </c>
      <c r="AL74" s="69"/>
    </row>
    <row r="75" spans="2:41" ht="15.95" customHeight="1" x14ac:dyDescent="0.25">
      <c r="B75" s="8">
        <f t="shared" ref="B75:B86" si="25">+B6</f>
        <v>44927</v>
      </c>
      <c r="C75" s="10">
        <f>'[1]BU-2'!$E$15</f>
        <v>2780</v>
      </c>
      <c r="D75" s="10">
        <f>'[1]BU-3'!$F$69</f>
        <v>543</v>
      </c>
      <c r="E75" s="10">
        <f>'[1]BU-3'!$F$13-D75</f>
        <v>5637</v>
      </c>
      <c r="F75" s="10">
        <f>'[1]BU-3'!$F$41</f>
        <v>1943</v>
      </c>
      <c r="G75" s="31">
        <f>+SUM(D75:F75)</f>
        <v>8123</v>
      </c>
      <c r="H75" s="10">
        <f>'[1]BU-2'!$E$17</f>
        <v>3694</v>
      </c>
      <c r="I75" s="10">
        <f>'[1]BU-3'!$F$12</f>
        <v>2672</v>
      </c>
      <c r="J75" s="10">
        <f>'[1]BU-3'!$F$45</f>
        <v>323</v>
      </c>
      <c r="K75" s="10">
        <f>[2]Feuil1!$AO$40</f>
        <v>0</v>
      </c>
      <c r="L75" s="10">
        <f>[2]Feuil1!$AP$40</f>
        <v>1007</v>
      </c>
      <c r="M75" s="31">
        <f>SUM(I75:L75)</f>
        <v>4002</v>
      </c>
      <c r="N75" s="10">
        <f>'[1]BU-2'!$E$18</f>
        <v>989</v>
      </c>
      <c r="O75" s="10">
        <f>[2]Feuil1!$AX$40</f>
        <v>868</v>
      </c>
      <c r="P75" s="10">
        <f>'[1]BU-3'!$F$58</f>
        <v>0</v>
      </c>
      <c r="Q75" s="10">
        <f>'[1]BU-3'!$F$44</f>
        <v>0</v>
      </c>
      <c r="R75" s="10"/>
      <c r="S75" s="31">
        <f>SUM(O75:R75)</f>
        <v>868</v>
      </c>
      <c r="T75" s="76"/>
      <c r="U75" s="76">
        <f>+Q75/160</f>
        <v>0</v>
      </c>
      <c r="V75" s="94">
        <f>+Q75/N75</f>
        <v>0</v>
      </c>
      <c r="X75" s="153">
        <f>+AA75-AF75</f>
        <v>0</v>
      </c>
      <c r="Y75" s="153">
        <f>+AB75-AI75</f>
        <v>55</v>
      </c>
      <c r="Z75" s="153">
        <f>+AC75-AL75</f>
        <v>-3650</v>
      </c>
      <c r="AA75" s="152"/>
      <c r="AB75" s="152"/>
      <c r="AC75" s="152"/>
      <c r="AD75" s="149">
        <v>81</v>
      </c>
      <c r="AE75" s="149">
        <v>81</v>
      </c>
      <c r="AF75" s="114">
        <f>(AD75-AE75)*1000/100</f>
        <v>0</v>
      </c>
      <c r="AG75" s="147">
        <v>52</v>
      </c>
      <c r="AH75" s="147">
        <v>63</v>
      </c>
      <c r="AI75" s="115">
        <f>(AG75-AH75)*500/100</f>
        <v>-55</v>
      </c>
      <c r="AJ75" s="149">
        <v>89</v>
      </c>
      <c r="AK75" s="149">
        <v>16</v>
      </c>
      <c r="AL75" s="114">
        <f>(AJ75-AK75)*5000/100</f>
        <v>3650</v>
      </c>
    </row>
    <row r="76" spans="2:41" ht="15.95" customHeight="1" x14ac:dyDescent="0.25">
      <c r="B76" s="8">
        <f t="shared" si="25"/>
        <v>44958</v>
      </c>
      <c r="C76" s="10">
        <f>'[3]BU-2'!$E$15</f>
        <v>35712</v>
      </c>
      <c r="D76" s="10">
        <f>'[3]BU-3'!$F$69</f>
        <v>9561</v>
      </c>
      <c r="E76" s="10">
        <f>'[3]BU-3'!$F$13-D76</f>
        <v>26151</v>
      </c>
      <c r="F76" s="10">
        <f>'[3]BU-3'!$F$41</f>
        <v>5231</v>
      </c>
      <c r="G76" s="31">
        <f>+SUM(D76:F76)</f>
        <v>40943</v>
      </c>
      <c r="H76" s="10">
        <f>'[3]BU-2'!$E$17</f>
        <v>20920</v>
      </c>
      <c r="I76" s="10">
        <f>'[3]BU-3'!$F$12</f>
        <v>1910</v>
      </c>
      <c r="J76" s="10">
        <f>'[3]BU-3'!$F$45</f>
        <v>1693</v>
      </c>
      <c r="K76" s="10">
        <f>[4]Feuil1!$AO$40</f>
        <v>3825</v>
      </c>
      <c r="L76" s="10">
        <f>[4]Feuil1!$AP$40</f>
        <v>9994</v>
      </c>
      <c r="M76" s="31">
        <f>SUM(I76:L76)</f>
        <v>17422</v>
      </c>
      <c r="N76" s="10">
        <f>'[3]BU-2'!$E$18</f>
        <v>13819</v>
      </c>
      <c r="O76" s="10">
        <f>[4]Feuil1!$AX$40</f>
        <v>10913</v>
      </c>
      <c r="P76" s="10">
        <f>'[3]BU-3'!$F$58</f>
        <v>232</v>
      </c>
      <c r="Q76" s="10">
        <f>'[3]BU-3'!$F$44</f>
        <v>0</v>
      </c>
      <c r="R76" s="10"/>
      <c r="S76" s="31">
        <f>SUM(O76:R76)</f>
        <v>11145</v>
      </c>
      <c r="T76" s="76"/>
      <c r="U76" s="76">
        <f>+Q76/160</f>
        <v>0</v>
      </c>
      <c r="V76" s="94">
        <f t="shared" ref="V76:V83" si="26">+Q76/N76</f>
        <v>0</v>
      </c>
      <c r="X76" s="153">
        <f>+AA76-AF76</f>
        <v>-411</v>
      </c>
      <c r="Y76" s="153">
        <f>+AB76-AI76</f>
        <v>163</v>
      </c>
      <c r="Z76" s="153">
        <f>+AC76-AL76</f>
        <v>9093</v>
      </c>
      <c r="AA76" s="152">
        <f>+S75-N75</f>
        <v>-121</v>
      </c>
      <c r="AB76" s="152">
        <f t="shared" ref="AB75:AB87" si="27">+M75-H75</f>
        <v>308</v>
      </c>
      <c r="AC76" s="152">
        <f>+G75-C75</f>
        <v>5343</v>
      </c>
      <c r="AD76" s="150">
        <f>+AE75</f>
        <v>81</v>
      </c>
      <c r="AE76" s="114">
        <v>52</v>
      </c>
      <c r="AF76" s="114">
        <f>(AD76-AE76)*1000/100</f>
        <v>290</v>
      </c>
      <c r="AG76" s="148">
        <f>+AH75</f>
        <v>63</v>
      </c>
      <c r="AH76" s="147">
        <v>34</v>
      </c>
      <c r="AI76" s="115">
        <f>(AG76-AH76)*500/100</f>
        <v>145</v>
      </c>
      <c r="AJ76" s="151">
        <f>+AK75</f>
        <v>16</v>
      </c>
      <c r="AK76" s="149">
        <v>91</v>
      </c>
      <c r="AL76" s="114">
        <f>(AJ76-AK76)*5000/100</f>
        <v>-3750</v>
      </c>
      <c r="AM76" s="13">
        <f>+N75-S75+AF76</f>
        <v>411</v>
      </c>
      <c r="AN76" s="13">
        <f>+H75-M75+AI76</f>
        <v>-163</v>
      </c>
      <c r="AO76" s="13">
        <f>+C75-G75+AL76</f>
        <v>-9093</v>
      </c>
    </row>
    <row r="77" spans="2:41" ht="15.95" customHeight="1" x14ac:dyDescent="0.25">
      <c r="B77" s="8">
        <f t="shared" si="25"/>
        <v>44986</v>
      </c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76"/>
      <c r="U77" s="76">
        <f t="shared" ref="U77:U86" si="28">+Q77/160</f>
        <v>0</v>
      </c>
      <c r="V77" s="94" t="e">
        <f t="shared" si="26"/>
        <v>#DIV/0!</v>
      </c>
      <c r="X77" s="153">
        <f t="shared" ref="X77:X87" si="29">+AA77-AF77</f>
        <v>-2694</v>
      </c>
      <c r="Y77" s="153">
        <f>+AB77-AI77</f>
        <v>-3328</v>
      </c>
      <c r="Z77" s="153">
        <f t="shared" ref="Z77:Z87" si="30">+AC77-AL77</f>
        <v>681</v>
      </c>
      <c r="AA77" s="152">
        <f>+S76-N76</f>
        <v>-2674</v>
      </c>
      <c r="AB77" s="152">
        <f t="shared" si="27"/>
        <v>-3498</v>
      </c>
      <c r="AC77" s="152">
        <f>+G76-C76</f>
        <v>5231</v>
      </c>
      <c r="AD77" s="151">
        <f>+AE76</f>
        <v>52</v>
      </c>
      <c r="AE77" s="149">
        <v>50</v>
      </c>
      <c r="AF77" s="114">
        <f t="shared" ref="AF77:AF87" si="31">(AD77-AE77)*1000/100</f>
        <v>20</v>
      </c>
      <c r="AG77" s="148">
        <f>+AH76</f>
        <v>34</v>
      </c>
      <c r="AH77" s="147">
        <v>68</v>
      </c>
      <c r="AI77" s="115">
        <f t="shared" ref="AI77:AI87" si="32">(AG77-AH77)*500/100</f>
        <v>-170</v>
      </c>
      <c r="AJ77" s="151">
        <f>+AK76</f>
        <v>91</v>
      </c>
      <c r="AK77" s="149"/>
      <c r="AL77" s="114">
        <f t="shared" ref="AL77:AL87" si="33">(AJ77-AK77)*5000/100</f>
        <v>4550</v>
      </c>
      <c r="AM77" s="13">
        <f t="shared" ref="AM76:AM87" si="34">+N76-S76+AF77</f>
        <v>2694</v>
      </c>
      <c r="AN77" s="13">
        <f>+H76-M76+AI77</f>
        <v>3328</v>
      </c>
      <c r="AO77" s="13">
        <f t="shared" ref="AO76:AO87" si="35">+C76-G76+AL77</f>
        <v>-681</v>
      </c>
    </row>
    <row r="78" spans="2:41" ht="15.95" customHeight="1" x14ac:dyDescent="0.25">
      <c r="B78" s="8">
        <f t="shared" si="25"/>
        <v>45017</v>
      </c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76"/>
      <c r="U78" s="76">
        <f t="shared" si="28"/>
        <v>0</v>
      </c>
      <c r="V78" s="94" t="e">
        <f t="shared" si="26"/>
        <v>#DIV/0!</v>
      </c>
      <c r="X78" s="153">
        <f t="shared" si="29"/>
        <v>-500</v>
      </c>
      <c r="Y78" s="153">
        <f t="shared" ref="Y78:Y87" si="36">+AB78-AI78</f>
        <v>-340</v>
      </c>
      <c r="Z78" s="153">
        <f>+AC78-AL78</f>
        <v>0</v>
      </c>
      <c r="AA78" s="152">
        <f t="shared" ref="AA76:AA87" si="37">+S77-N77</f>
        <v>0</v>
      </c>
      <c r="AB78" s="152">
        <f t="shared" si="27"/>
        <v>0</v>
      </c>
      <c r="AC78" s="152">
        <f t="shared" ref="AC76:AC87" si="38">+G77-C77</f>
        <v>0</v>
      </c>
      <c r="AD78" s="151">
        <f t="shared" ref="AD78:AD87" si="39">+AE77</f>
        <v>50</v>
      </c>
      <c r="AE78" s="149"/>
      <c r="AF78" s="114">
        <f t="shared" si="31"/>
        <v>500</v>
      </c>
      <c r="AG78" s="148">
        <f t="shared" ref="AG78:AG87" si="40">+AH77</f>
        <v>68</v>
      </c>
      <c r="AH78" s="147"/>
      <c r="AI78" s="115">
        <f t="shared" si="32"/>
        <v>340</v>
      </c>
      <c r="AJ78" s="151">
        <f t="shared" ref="AJ78:AJ87" si="41">+AK77</f>
        <v>0</v>
      </c>
      <c r="AK78" s="149"/>
      <c r="AL78" s="114">
        <f t="shared" si="33"/>
        <v>0</v>
      </c>
      <c r="AM78" s="13">
        <f t="shared" si="34"/>
        <v>500</v>
      </c>
      <c r="AN78" s="13">
        <f t="shared" ref="AN76:AN87" si="42">+H77-M77+AI78</f>
        <v>340</v>
      </c>
      <c r="AO78" s="13">
        <f t="shared" si="35"/>
        <v>0</v>
      </c>
    </row>
    <row r="79" spans="2:41" ht="15.95" customHeight="1" x14ac:dyDescent="0.25">
      <c r="B79" s="8">
        <f t="shared" si="25"/>
        <v>45047</v>
      </c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76"/>
      <c r="U79" s="76">
        <f t="shared" si="28"/>
        <v>0</v>
      </c>
      <c r="V79" s="94" t="e">
        <f t="shared" si="26"/>
        <v>#DIV/0!</v>
      </c>
      <c r="X79" s="153">
        <f t="shared" si="29"/>
        <v>0</v>
      </c>
      <c r="Y79" s="153">
        <f>+AB79-AI79</f>
        <v>0</v>
      </c>
      <c r="Z79" s="153">
        <f t="shared" si="30"/>
        <v>0</v>
      </c>
      <c r="AA79" s="152">
        <f t="shared" si="37"/>
        <v>0</v>
      </c>
      <c r="AB79" s="152">
        <f t="shared" si="27"/>
        <v>0</v>
      </c>
      <c r="AC79" s="152">
        <f t="shared" si="38"/>
        <v>0</v>
      </c>
      <c r="AD79" s="151">
        <f t="shared" si="39"/>
        <v>0</v>
      </c>
      <c r="AE79" s="149"/>
      <c r="AF79" s="114">
        <f t="shared" si="31"/>
        <v>0</v>
      </c>
      <c r="AG79" s="148">
        <f t="shared" si="40"/>
        <v>0</v>
      </c>
      <c r="AH79" s="147"/>
      <c r="AI79" s="115">
        <f t="shared" si="32"/>
        <v>0</v>
      </c>
      <c r="AJ79" s="151">
        <f t="shared" si="41"/>
        <v>0</v>
      </c>
      <c r="AK79" s="149"/>
      <c r="AL79" s="114">
        <f t="shared" si="33"/>
        <v>0</v>
      </c>
      <c r="AM79" s="13">
        <f t="shared" si="34"/>
        <v>0</v>
      </c>
      <c r="AN79" s="13">
        <f t="shared" si="42"/>
        <v>0</v>
      </c>
      <c r="AO79" s="13">
        <f t="shared" si="35"/>
        <v>0</v>
      </c>
    </row>
    <row r="80" spans="2:41" ht="15.95" customHeight="1" x14ac:dyDescent="0.25">
      <c r="B80" s="8">
        <f t="shared" si="25"/>
        <v>45078</v>
      </c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76"/>
      <c r="U80" s="76">
        <f t="shared" si="28"/>
        <v>0</v>
      </c>
      <c r="V80" s="94" t="e">
        <f t="shared" si="26"/>
        <v>#DIV/0!</v>
      </c>
      <c r="X80" s="153">
        <f t="shared" si="29"/>
        <v>0</v>
      </c>
      <c r="Y80" s="153">
        <f t="shared" si="36"/>
        <v>0</v>
      </c>
      <c r="Z80" s="153">
        <f t="shared" si="30"/>
        <v>0</v>
      </c>
      <c r="AA80" s="152">
        <f t="shared" si="37"/>
        <v>0</v>
      </c>
      <c r="AB80" s="152">
        <f t="shared" si="27"/>
        <v>0</v>
      </c>
      <c r="AC80" s="152">
        <f t="shared" si="38"/>
        <v>0</v>
      </c>
      <c r="AD80" s="151">
        <f t="shared" si="39"/>
        <v>0</v>
      </c>
      <c r="AE80" s="149"/>
      <c r="AF80" s="114">
        <f t="shared" si="31"/>
        <v>0</v>
      </c>
      <c r="AG80" s="148">
        <f t="shared" si="40"/>
        <v>0</v>
      </c>
      <c r="AH80" s="147"/>
      <c r="AI80" s="115">
        <f t="shared" si="32"/>
        <v>0</v>
      </c>
      <c r="AJ80" s="151">
        <f t="shared" si="41"/>
        <v>0</v>
      </c>
      <c r="AK80" s="149"/>
      <c r="AL80" s="114">
        <f t="shared" si="33"/>
        <v>0</v>
      </c>
      <c r="AM80" s="13">
        <f t="shared" si="34"/>
        <v>0</v>
      </c>
      <c r="AN80" s="13">
        <f t="shared" si="42"/>
        <v>0</v>
      </c>
      <c r="AO80" s="13">
        <f t="shared" si="35"/>
        <v>0</v>
      </c>
    </row>
    <row r="81" spans="2:41" ht="15.95" customHeight="1" x14ac:dyDescent="0.25">
      <c r="B81" s="8">
        <f t="shared" si="25"/>
        <v>45108</v>
      </c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76"/>
      <c r="U81" s="76">
        <f t="shared" si="28"/>
        <v>0</v>
      </c>
      <c r="V81" s="94" t="e">
        <f t="shared" si="26"/>
        <v>#DIV/0!</v>
      </c>
      <c r="X81" s="153">
        <f t="shared" si="29"/>
        <v>0</v>
      </c>
      <c r="Y81" s="153">
        <f t="shared" si="36"/>
        <v>0</v>
      </c>
      <c r="Z81" s="153">
        <f t="shared" si="30"/>
        <v>0</v>
      </c>
      <c r="AA81" s="152">
        <f t="shared" si="37"/>
        <v>0</v>
      </c>
      <c r="AB81" s="152">
        <f t="shared" si="27"/>
        <v>0</v>
      </c>
      <c r="AC81" s="152">
        <f t="shared" si="38"/>
        <v>0</v>
      </c>
      <c r="AD81" s="151">
        <f t="shared" si="39"/>
        <v>0</v>
      </c>
      <c r="AE81" s="149"/>
      <c r="AF81" s="114">
        <f t="shared" si="31"/>
        <v>0</v>
      </c>
      <c r="AG81" s="148">
        <f t="shared" si="40"/>
        <v>0</v>
      </c>
      <c r="AH81" s="147"/>
      <c r="AI81" s="115">
        <f t="shared" si="32"/>
        <v>0</v>
      </c>
      <c r="AJ81" s="151">
        <f t="shared" si="41"/>
        <v>0</v>
      </c>
      <c r="AK81" s="149"/>
      <c r="AL81" s="114">
        <f t="shared" si="33"/>
        <v>0</v>
      </c>
      <c r="AM81" s="13">
        <f t="shared" si="34"/>
        <v>0</v>
      </c>
      <c r="AN81" s="13">
        <f t="shared" si="42"/>
        <v>0</v>
      </c>
      <c r="AO81" s="13">
        <f t="shared" si="35"/>
        <v>0</v>
      </c>
    </row>
    <row r="82" spans="2:41" ht="15.95" customHeight="1" x14ac:dyDescent="0.25">
      <c r="B82" s="8">
        <f t="shared" si="25"/>
        <v>45139</v>
      </c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76"/>
      <c r="U82" s="76">
        <f t="shared" si="28"/>
        <v>0</v>
      </c>
      <c r="V82" s="94" t="e">
        <f t="shared" si="26"/>
        <v>#DIV/0!</v>
      </c>
      <c r="X82" s="153">
        <f t="shared" si="29"/>
        <v>0</v>
      </c>
      <c r="Y82" s="153">
        <f t="shared" si="36"/>
        <v>0</v>
      </c>
      <c r="Z82" s="153">
        <f t="shared" si="30"/>
        <v>0</v>
      </c>
      <c r="AA82" s="152">
        <f t="shared" si="37"/>
        <v>0</v>
      </c>
      <c r="AB82" s="152">
        <f t="shared" si="27"/>
        <v>0</v>
      </c>
      <c r="AC82" s="152">
        <f t="shared" si="38"/>
        <v>0</v>
      </c>
      <c r="AD82" s="151">
        <f t="shared" si="39"/>
        <v>0</v>
      </c>
      <c r="AE82" s="149"/>
      <c r="AF82" s="114">
        <f t="shared" si="31"/>
        <v>0</v>
      </c>
      <c r="AG82" s="148">
        <f t="shared" si="40"/>
        <v>0</v>
      </c>
      <c r="AH82" s="147"/>
      <c r="AI82" s="115">
        <f t="shared" si="32"/>
        <v>0</v>
      </c>
      <c r="AJ82" s="151">
        <f t="shared" si="41"/>
        <v>0</v>
      </c>
      <c r="AK82" s="149"/>
      <c r="AL82" s="114">
        <f t="shared" si="33"/>
        <v>0</v>
      </c>
      <c r="AM82" s="13">
        <f t="shared" si="34"/>
        <v>0</v>
      </c>
      <c r="AN82" s="13">
        <f t="shared" si="42"/>
        <v>0</v>
      </c>
      <c r="AO82" s="13">
        <f t="shared" si="35"/>
        <v>0</v>
      </c>
    </row>
    <row r="83" spans="2:41" ht="15.95" customHeight="1" x14ac:dyDescent="0.25">
      <c r="B83" s="8">
        <f t="shared" si="25"/>
        <v>45170</v>
      </c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76"/>
      <c r="U83" s="76">
        <f t="shared" si="28"/>
        <v>0</v>
      </c>
      <c r="V83" s="94" t="e">
        <f t="shared" si="26"/>
        <v>#DIV/0!</v>
      </c>
      <c r="X83" s="153">
        <f t="shared" si="29"/>
        <v>0</v>
      </c>
      <c r="Y83" s="153">
        <f t="shared" si="36"/>
        <v>0</v>
      </c>
      <c r="Z83" s="153">
        <f t="shared" si="30"/>
        <v>0</v>
      </c>
      <c r="AA83" s="152">
        <f t="shared" si="37"/>
        <v>0</v>
      </c>
      <c r="AB83" s="152">
        <f t="shared" si="27"/>
        <v>0</v>
      </c>
      <c r="AC83" s="152">
        <f t="shared" si="38"/>
        <v>0</v>
      </c>
      <c r="AD83" s="151">
        <f t="shared" si="39"/>
        <v>0</v>
      </c>
      <c r="AE83" s="149"/>
      <c r="AF83" s="114">
        <f t="shared" si="31"/>
        <v>0</v>
      </c>
      <c r="AG83" s="148">
        <f t="shared" si="40"/>
        <v>0</v>
      </c>
      <c r="AH83" s="147"/>
      <c r="AI83" s="115">
        <f t="shared" si="32"/>
        <v>0</v>
      </c>
      <c r="AJ83" s="151">
        <f t="shared" si="41"/>
        <v>0</v>
      </c>
      <c r="AK83" s="149"/>
      <c r="AL83" s="114">
        <f t="shared" si="33"/>
        <v>0</v>
      </c>
      <c r="AM83" s="13">
        <f t="shared" si="34"/>
        <v>0</v>
      </c>
      <c r="AN83" s="13">
        <f t="shared" si="42"/>
        <v>0</v>
      </c>
      <c r="AO83" s="13">
        <f t="shared" si="35"/>
        <v>0</v>
      </c>
    </row>
    <row r="84" spans="2:41" ht="15.95" customHeight="1" x14ac:dyDescent="0.25">
      <c r="B84" s="8">
        <f t="shared" si="25"/>
        <v>45200</v>
      </c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76"/>
      <c r="U84" s="76">
        <f t="shared" si="28"/>
        <v>0</v>
      </c>
      <c r="V84" s="94" t="e">
        <f>+Q84/N84</f>
        <v>#DIV/0!</v>
      </c>
      <c r="X84" s="153">
        <f>+AA84-AF84</f>
        <v>0</v>
      </c>
      <c r="Y84" s="153">
        <f t="shared" si="36"/>
        <v>0</v>
      </c>
      <c r="Z84" s="153">
        <f t="shared" si="30"/>
        <v>0</v>
      </c>
      <c r="AA84" s="152">
        <f t="shared" si="37"/>
        <v>0</v>
      </c>
      <c r="AB84" s="152">
        <f t="shared" si="27"/>
        <v>0</v>
      </c>
      <c r="AC84" s="152">
        <f t="shared" si="38"/>
        <v>0</v>
      </c>
      <c r="AD84" s="151">
        <f t="shared" si="39"/>
        <v>0</v>
      </c>
      <c r="AE84" s="149"/>
      <c r="AF84" s="114">
        <f t="shared" si="31"/>
        <v>0</v>
      </c>
      <c r="AG84" s="148">
        <f t="shared" si="40"/>
        <v>0</v>
      </c>
      <c r="AH84" s="147"/>
      <c r="AI84" s="115">
        <f t="shared" si="32"/>
        <v>0</v>
      </c>
      <c r="AJ84" s="151">
        <f t="shared" si="41"/>
        <v>0</v>
      </c>
      <c r="AK84" s="149"/>
      <c r="AL84" s="114">
        <f t="shared" si="33"/>
        <v>0</v>
      </c>
      <c r="AM84" s="13">
        <f t="shared" si="34"/>
        <v>0</v>
      </c>
      <c r="AN84" s="13">
        <f t="shared" si="42"/>
        <v>0</v>
      </c>
      <c r="AO84" s="13">
        <f t="shared" si="35"/>
        <v>0</v>
      </c>
    </row>
    <row r="85" spans="2:41" ht="15.95" customHeight="1" x14ac:dyDescent="0.25">
      <c r="B85" s="8">
        <f t="shared" si="25"/>
        <v>45231</v>
      </c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76"/>
      <c r="U85" s="76">
        <f t="shared" si="28"/>
        <v>0</v>
      </c>
      <c r="V85" s="94" t="e">
        <f>+Q85/N85</f>
        <v>#DIV/0!</v>
      </c>
      <c r="X85" s="153">
        <f>+AA85-AF85</f>
        <v>0</v>
      </c>
      <c r="Y85" s="153">
        <f t="shared" si="36"/>
        <v>0</v>
      </c>
      <c r="Z85" s="153">
        <f t="shared" si="30"/>
        <v>0</v>
      </c>
      <c r="AA85" s="152">
        <f t="shared" si="37"/>
        <v>0</v>
      </c>
      <c r="AB85" s="152">
        <f t="shared" si="27"/>
        <v>0</v>
      </c>
      <c r="AC85" s="152">
        <f t="shared" si="38"/>
        <v>0</v>
      </c>
      <c r="AD85" s="151">
        <f t="shared" si="39"/>
        <v>0</v>
      </c>
      <c r="AE85" s="149"/>
      <c r="AF85" s="114">
        <f t="shared" si="31"/>
        <v>0</v>
      </c>
      <c r="AG85" s="148">
        <f t="shared" si="40"/>
        <v>0</v>
      </c>
      <c r="AH85" s="147"/>
      <c r="AI85" s="115">
        <f t="shared" si="32"/>
        <v>0</v>
      </c>
      <c r="AJ85" s="151">
        <f t="shared" si="41"/>
        <v>0</v>
      </c>
      <c r="AK85" s="149"/>
      <c r="AL85" s="114">
        <f t="shared" si="33"/>
        <v>0</v>
      </c>
      <c r="AM85" s="13">
        <f>+N84-S84+AF85</f>
        <v>0</v>
      </c>
      <c r="AN85" s="13">
        <f t="shared" si="42"/>
        <v>0</v>
      </c>
      <c r="AO85" s="13">
        <f t="shared" si="35"/>
        <v>0</v>
      </c>
    </row>
    <row r="86" spans="2:41" ht="15.95" customHeight="1" x14ac:dyDescent="0.25">
      <c r="B86" s="8">
        <f t="shared" si="25"/>
        <v>45261</v>
      </c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76"/>
      <c r="U86" s="76">
        <f t="shared" si="28"/>
        <v>0</v>
      </c>
      <c r="V86" s="94" t="e">
        <f>+Q86/N86</f>
        <v>#DIV/0!</v>
      </c>
      <c r="X86" s="153">
        <f t="shared" si="29"/>
        <v>0</v>
      </c>
      <c r="Y86" s="153">
        <f t="shared" si="36"/>
        <v>0</v>
      </c>
      <c r="Z86" s="153">
        <f t="shared" si="30"/>
        <v>0</v>
      </c>
      <c r="AA86" s="152">
        <f t="shared" si="37"/>
        <v>0</v>
      </c>
      <c r="AB86" s="152">
        <f t="shared" si="27"/>
        <v>0</v>
      </c>
      <c r="AC86" s="152">
        <f t="shared" si="38"/>
        <v>0</v>
      </c>
      <c r="AD86" s="151">
        <f t="shared" si="39"/>
        <v>0</v>
      </c>
      <c r="AE86" s="149"/>
      <c r="AF86" s="114">
        <f t="shared" si="31"/>
        <v>0</v>
      </c>
      <c r="AG86" s="148">
        <f t="shared" si="40"/>
        <v>0</v>
      </c>
      <c r="AH86" s="147"/>
      <c r="AI86" s="115">
        <f t="shared" si="32"/>
        <v>0</v>
      </c>
      <c r="AJ86" s="151">
        <f t="shared" si="41"/>
        <v>0</v>
      </c>
      <c r="AK86" s="149"/>
      <c r="AL86" s="114">
        <f t="shared" si="33"/>
        <v>0</v>
      </c>
      <c r="AM86" s="13">
        <f t="shared" si="34"/>
        <v>0</v>
      </c>
      <c r="AN86" s="13">
        <f t="shared" si="42"/>
        <v>0</v>
      </c>
      <c r="AO86" s="13">
        <f t="shared" si="35"/>
        <v>0</v>
      </c>
    </row>
    <row r="87" spans="2:41" ht="15.95" customHeight="1" x14ac:dyDescent="0.25">
      <c r="B87" s="8" t="s">
        <v>5</v>
      </c>
      <c r="C87" s="12">
        <f>SUM(C75:C86)</f>
        <v>38492</v>
      </c>
      <c r="D87" s="12">
        <f t="shared" ref="D87:R87" si="43">SUM(D75:D86)</f>
        <v>10104</v>
      </c>
      <c r="E87" s="12">
        <f t="shared" si="43"/>
        <v>31788</v>
      </c>
      <c r="F87" s="12">
        <f t="shared" si="43"/>
        <v>7174</v>
      </c>
      <c r="G87" s="12">
        <f>SUM(G75:G86)</f>
        <v>49066</v>
      </c>
      <c r="H87" s="12">
        <f t="shared" si="43"/>
        <v>24614</v>
      </c>
      <c r="I87" s="12">
        <f t="shared" si="43"/>
        <v>4582</v>
      </c>
      <c r="J87" s="12">
        <f t="shared" si="43"/>
        <v>2016</v>
      </c>
      <c r="K87" s="12">
        <f t="shared" si="43"/>
        <v>3825</v>
      </c>
      <c r="L87" s="12">
        <f t="shared" si="43"/>
        <v>11001</v>
      </c>
      <c r="M87" s="12">
        <f>SUM(M75:M86)</f>
        <v>21424</v>
      </c>
      <c r="N87" s="12">
        <f t="shared" si="43"/>
        <v>14808</v>
      </c>
      <c r="O87" s="12">
        <f t="shared" si="43"/>
        <v>11781</v>
      </c>
      <c r="P87" s="12">
        <f t="shared" si="43"/>
        <v>232</v>
      </c>
      <c r="Q87" s="12">
        <f t="shared" si="43"/>
        <v>0</v>
      </c>
      <c r="R87" s="12">
        <f t="shared" si="43"/>
        <v>0</v>
      </c>
      <c r="S87" s="12">
        <f>SUM(S75:S86)</f>
        <v>12013</v>
      </c>
      <c r="T87" s="39"/>
      <c r="U87" s="39"/>
      <c r="V87" s="13"/>
      <c r="X87" s="153">
        <f t="shared" si="29"/>
        <v>0</v>
      </c>
      <c r="Y87" s="153">
        <f t="shared" si="36"/>
        <v>0</v>
      </c>
      <c r="Z87" s="153">
        <f t="shared" si="30"/>
        <v>0</v>
      </c>
      <c r="AA87" s="152">
        <f t="shared" si="37"/>
        <v>0</v>
      </c>
      <c r="AB87" s="152">
        <f t="shared" si="27"/>
        <v>0</v>
      </c>
      <c r="AC87" s="152">
        <f t="shared" si="38"/>
        <v>0</v>
      </c>
      <c r="AD87" s="151">
        <f t="shared" si="39"/>
        <v>0</v>
      </c>
      <c r="AE87" s="149"/>
      <c r="AF87" s="114">
        <f t="shared" si="31"/>
        <v>0</v>
      </c>
      <c r="AG87" s="148">
        <f t="shared" si="40"/>
        <v>0</v>
      </c>
      <c r="AH87" s="147"/>
      <c r="AI87" s="115">
        <f t="shared" si="32"/>
        <v>0</v>
      </c>
      <c r="AJ87" s="151">
        <f t="shared" si="41"/>
        <v>0</v>
      </c>
      <c r="AK87" s="149"/>
      <c r="AL87" s="114">
        <f t="shared" si="33"/>
        <v>0</v>
      </c>
      <c r="AM87" s="13">
        <f t="shared" si="34"/>
        <v>0</v>
      </c>
      <c r="AN87" s="13">
        <f t="shared" si="42"/>
        <v>0</v>
      </c>
      <c r="AO87" s="13">
        <f t="shared" si="35"/>
        <v>0</v>
      </c>
    </row>
    <row r="88" spans="2:41" x14ac:dyDescent="0.25">
      <c r="X88" s="154"/>
      <c r="Y88" s="154"/>
      <c r="Z88" s="154"/>
    </row>
    <row r="89" spans="2:41" ht="15.75" x14ac:dyDescent="0.25">
      <c r="B89" s="88" t="s">
        <v>30</v>
      </c>
      <c r="C89" s="88"/>
      <c r="D89" s="88"/>
      <c r="E89" s="88"/>
      <c r="F89" s="88"/>
      <c r="G89" s="88"/>
      <c r="H89" s="88"/>
    </row>
    <row r="90" spans="2:41" ht="15.75" customHeight="1" x14ac:dyDescent="0.25">
      <c r="B90" s="128" t="s">
        <v>1</v>
      </c>
      <c r="C90" s="123" t="s">
        <v>31</v>
      </c>
      <c r="D90" s="124"/>
      <c r="E90" s="124"/>
      <c r="F90" s="124"/>
      <c r="G90" s="124"/>
      <c r="H90" s="125"/>
      <c r="M90" s="2">
        <v>111623.95</v>
      </c>
      <c r="Y90" s="1"/>
      <c r="Z90" s="1"/>
      <c r="AA90" s="1"/>
      <c r="AB90" s="1"/>
      <c r="AC90" s="1"/>
      <c r="AD90" s="1"/>
      <c r="AE90" s="1"/>
      <c r="AF90" s="64"/>
    </row>
    <row r="91" spans="2:41" ht="24" x14ac:dyDescent="0.25">
      <c r="B91" s="129"/>
      <c r="C91" s="98" t="s">
        <v>91</v>
      </c>
      <c r="D91" s="99" t="s">
        <v>94</v>
      </c>
      <c r="E91" s="99" t="s">
        <v>66</v>
      </c>
      <c r="F91" s="99" t="s">
        <v>79</v>
      </c>
      <c r="G91" s="99" t="s">
        <v>32</v>
      </c>
      <c r="H91" s="100" t="s">
        <v>5</v>
      </c>
      <c r="M91" s="2">
        <v>117942.05</v>
      </c>
      <c r="R91" s="2">
        <f>109102.71+94228.29</f>
        <v>203331</v>
      </c>
    </row>
    <row r="92" spans="2:41" ht="15.95" customHeight="1" x14ac:dyDescent="0.25">
      <c r="B92" s="8">
        <f t="shared" ref="B92:B103" si="44">+B6</f>
        <v>44927</v>
      </c>
      <c r="C92" s="10">
        <f>'[1]BU-2'!$E$19</f>
        <v>0</v>
      </c>
      <c r="D92" s="10">
        <f>'[1]BU-3'!$F$46</f>
        <v>0</v>
      </c>
      <c r="E92" s="10">
        <f>'[1]BU-3'!$F$59</f>
        <v>0</v>
      </c>
      <c r="F92" s="10">
        <f>'[1]BU-3'!$F$71</f>
        <v>0</v>
      </c>
      <c r="G92" s="10">
        <f>'[1]BU-3'!$F$46</f>
        <v>0</v>
      </c>
      <c r="H92" s="96">
        <f>+SUM(D92:G92)</f>
        <v>0</v>
      </c>
      <c r="I92" s="13">
        <f>+H92-C92</f>
        <v>0</v>
      </c>
      <c r="M92" s="2">
        <f>+M91+M90</f>
        <v>229566</v>
      </c>
    </row>
    <row r="93" spans="2:41" ht="15.95" customHeight="1" x14ac:dyDescent="0.25">
      <c r="B93" s="8">
        <f t="shared" si="44"/>
        <v>44958</v>
      </c>
      <c r="C93" s="10">
        <f>'[3]BU-2'!$E$19</f>
        <v>246</v>
      </c>
      <c r="D93" s="10">
        <v>0</v>
      </c>
      <c r="E93" s="10">
        <f>'[3]BU-3'!$F$59</f>
        <v>40</v>
      </c>
      <c r="F93" s="10">
        <f>'[3]BU-3'!$F$71</f>
        <v>200</v>
      </c>
      <c r="G93" s="10">
        <f>'[3]BU-3'!$F$46</f>
        <v>6</v>
      </c>
      <c r="H93" s="96">
        <f>+SUM(D93:G93)</f>
        <v>246</v>
      </c>
      <c r="I93" s="13">
        <f t="shared" ref="I93:I103" si="45">+H93-C93</f>
        <v>0</v>
      </c>
    </row>
    <row r="94" spans="2:41" ht="15.95" customHeight="1" x14ac:dyDescent="0.25">
      <c r="B94" s="8">
        <f t="shared" si="44"/>
        <v>44986</v>
      </c>
      <c r="C94" s="10"/>
      <c r="D94" s="10"/>
      <c r="E94" s="10"/>
      <c r="F94" s="10"/>
      <c r="G94" s="10"/>
      <c r="H94" s="11"/>
      <c r="I94" s="13">
        <f t="shared" si="45"/>
        <v>0</v>
      </c>
    </row>
    <row r="95" spans="2:41" ht="15.95" customHeight="1" x14ac:dyDescent="0.25">
      <c r="B95" s="8">
        <f t="shared" si="44"/>
        <v>45017</v>
      </c>
      <c r="C95" s="10"/>
      <c r="D95" s="10"/>
      <c r="E95" s="10"/>
      <c r="F95" s="10"/>
      <c r="G95" s="10"/>
      <c r="H95" s="11"/>
      <c r="I95" s="13">
        <f t="shared" si="45"/>
        <v>0</v>
      </c>
      <c r="L95" s="2">
        <f>122064/186592</f>
        <v>0.65417595609672441</v>
      </c>
      <c r="M95" s="2">
        <v>8331</v>
      </c>
      <c r="N95" s="2">
        <f>+M95*L95</f>
        <v>5449.9398902418106</v>
      </c>
      <c r="O95" s="2">
        <f>122064+N95</f>
        <v>127513.9398902418</v>
      </c>
    </row>
    <row r="96" spans="2:41" ht="15.95" customHeight="1" x14ac:dyDescent="0.25">
      <c r="B96" s="8">
        <f t="shared" si="44"/>
        <v>45047</v>
      </c>
      <c r="C96" s="10"/>
      <c r="D96" s="10"/>
      <c r="E96" s="10"/>
      <c r="F96" s="10"/>
      <c r="G96" s="10"/>
      <c r="H96" s="11"/>
      <c r="I96" s="13">
        <f t="shared" si="45"/>
        <v>0</v>
      </c>
      <c r="L96" s="2">
        <f>64528/186592</f>
        <v>0.34582404390327559</v>
      </c>
      <c r="N96" s="2">
        <f>+M95*L96</f>
        <v>2881.0601097581889</v>
      </c>
      <c r="O96" s="2">
        <f>64528+N96</f>
        <v>67409.060109758182</v>
      </c>
    </row>
    <row r="97" spans="2:14" ht="15.95" customHeight="1" x14ac:dyDescent="0.25">
      <c r="B97" s="8">
        <f t="shared" si="44"/>
        <v>45078</v>
      </c>
      <c r="C97" s="10"/>
      <c r="D97" s="10"/>
      <c r="E97" s="10"/>
      <c r="F97" s="10"/>
      <c r="G97" s="10"/>
      <c r="H97" s="11"/>
      <c r="I97" s="13">
        <f t="shared" si="45"/>
        <v>0</v>
      </c>
      <c r="J97" s="2">
        <v>8475</v>
      </c>
      <c r="N97" s="13">
        <f>(J97-C97)*1000</f>
        <v>8475000</v>
      </c>
    </row>
    <row r="98" spans="2:14" ht="15.95" customHeight="1" x14ac:dyDescent="0.25">
      <c r="B98" s="8">
        <f t="shared" si="44"/>
        <v>45108</v>
      </c>
      <c r="C98" s="10"/>
      <c r="D98" s="10"/>
      <c r="E98" s="10"/>
      <c r="F98" s="10"/>
      <c r="G98" s="10"/>
      <c r="H98" s="11"/>
      <c r="I98" s="13">
        <f t="shared" si="45"/>
        <v>0</v>
      </c>
      <c r="J98" s="2">
        <v>8235</v>
      </c>
      <c r="K98" s="2">
        <f>+J98+J97</f>
        <v>16710</v>
      </c>
      <c r="L98" s="13">
        <f>+C98+C97</f>
        <v>0</v>
      </c>
      <c r="M98" s="13">
        <f>+L98-K98</f>
        <v>-16710</v>
      </c>
      <c r="N98" s="13">
        <f>(J98-C98)*1000</f>
        <v>8235000</v>
      </c>
    </row>
    <row r="99" spans="2:14" ht="15.95" customHeight="1" x14ac:dyDescent="0.25">
      <c r="B99" s="8">
        <f t="shared" si="44"/>
        <v>45139</v>
      </c>
      <c r="C99" s="10"/>
      <c r="D99" s="10"/>
      <c r="E99" s="10"/>
      <c r="F99" s="10"/>
      <c r="G99" s="10"/>
      <c r="H99" s="11"/>
      <c r="I99" s="13">
        <f t="shared" si="45"/>
        <v>0</v>
      </c>
    </row>
    <row r="100" spans="2:14" ht="15.95" customHeight="1" x14ac:dyDescent="0.25">
      <c r="B100" s="8">
        <f t="shared" si="44"/>
        <v>45170</v>
      </c>
      <c r="C100" s="10"/>
      <c r="D100" s="10"/>
      <c r="E100" s="10"/>
      <c r="F100" s="10"/>
      <c r="G100" s="10"/>
      <c r="H100" s="11"/>
      <c r="I100" s="13">
        <f>+H100-C100</f>
        <v>0</v>
      </c>
    </row>
    <row r="101" spans="2:14" ht="15.95" customHeight="1" x14ac:dyDescent="0.25">
      <c r="B101" s="8">
        <f t="shared" si="44"/>
        <v>45200</v>
      </c>
      <c r="C101" s="10"/>
      <c r="D101" s="10"/>
      <c r="E101" s="10"/>
      <c r="F101" s="10"/>
      <c r="G101" s="10"/>
      <c r="H101" s="11"/>
      <c r="I101" s="13">
        <f t="shared" si="45"/>
        <v>0</v>
      </c>
    </row>
    <row r="102" spans="2:14" ht="15.95" customHeight="1" x14ac:dyDescent="0.25">
      <c r="B102" s="8">
        <f t="shared" si="44"/>
        <v>45231</v>
      </c>
      <c r="C102" s="10"/>
      <c r="D102" s="10"/>
      <c r="E102" s="10"/>
      <c r="F102" s="10"/>
      <c r="G102" s="10"/>
      <c r="H102" s="11"/>
      <c r="I102" s="13">
        <f>+H102-C102</f>
        <v>0</v>
      </c>
    </row>
    <row r="103" spans="2:14" ht="15.95" customHeight="1" x14ac:dyDescent="0.25">
      <c r="B103" s="8">
        <f t="shared" si="44"/>
        <v>45261</v>
      </c>
      <c r="C103" s="10"/>
      <c r="D103" s="10"/>
      <c r="E103" s="10"/>
      <c r="F103" s="10"/>
      <c r="G103" s="10"/>
      <c r="H103" s="11"/>
      <c r="I103" s="13">
        <f t="shared" si="45"/>
        <v>0</v>
      </c>
      <c r="M103" s="2">
        <f>7411000-7275278</f>
        <v>135722</v>
      </c>
    </row>
    <row r="104" spans="2:14" ht="15.95" customHeight="1" x14ac:dyDescent="0.25">
      <c r="B104" s="8" t="s">
        <v>5</v>
      </c>
      <c r="C104" s="12">
        <f t="shared" ref="C104:H104" si="46">SUM(C92:C103)</f>
        <v>246</v>
      </c>
      <c r="D104" s="12">
        <f t="shared" si="46"/>
        <v>0</v>
      </c>
      <c r="E104" s="12">
        <f t="shared" si="46"/>
        <v>40</v>
      </c>
      <c r="F104" s="12">
        <f t="shared" si="46"/>
        <v>200</v>
      </c>
      <c r="G104" s="12">
        <f t="shared" si="46"/>
        <v>6</v>
      </c>
      <c r="H104" s="12">
        <f t="shared" si="46"/>
        <v>246</v>
      </c>
    </row>
    <row r="107" spans="2:14" x14ac:dyDescent="0.25">
      <c r="B107" s="15" t="s">
        <v>37</v>
      </c>
    </row>
    <row r="108" spans="2:14" ht="15.75" customHeight="1" x14ac:dyDescent="0.25">
      <c r="B108" s="128" t="s">
        <v>1</v>
      </c>
      <c r="C108" s="3" t="s">
        <v>99</v>
      </c>
      <c r="D108" s="4"/>
      <c r="E108" s="4"/>
      <c r="F108" s="4"/>
      <c r="G108" s="4"/>
      <c r="H108" s="5"/>
    </row>
    <row r="109" spans="2:14" ht="24" x14ac:dyDescent="0.25">
      <c r="B109" s="129"/>
      <c r="C109" s="99" t="s">
        <v>33</v>
      </c>
      <c r="D109" s="100" t="s">
        <v>34</v>
      </c>
      <c r="E109" s="99" t="s">
        <v>3</v>
      </c>
      <c r="F109" s="99" t="s">
        <v>66</v>
      </c>
      <c r="G109" s="99" t="s">
        <v>35</v>
      </c>
      <c r="H109" s="99" t="s">
        <v>36</v>
      </c>
    </row>
    <row r="110" spans="2:14" ht="15.95" customHeight="1" x14ac:dyDescent="0.25">
      <c r="B110" s="8">
        <f t="shared" ref="B110:B121" si="47">+B6</f>
        <v>44927</v>
      </c>
      <c r="C110" s="23">
        <f>'[1]BU-3'!$F$83</f>
        <v>52.286200000000036</v>
      </c>
      <c r="D110" s="23">
        <f>'[1]BU-3'!$H$83</f>
        <v>30</v>
      </c>
      <c r="E110" s="23">
        <f>'[1]BU-3'!$J$83</f>
        <v>5.1740000000000004</v>
      </c>
      <c r="F110" s="23">
        <v>0</v>
      </c>
      <c r="G110" s="85">
        <f t="shared" ref="G110:G111" si="48">SUM(E110:F110)</f>
        <v>5.1740000000000004</v>
      </c>
      <c r="H110" s="85">
        <f t="shared" ref="H110:H122" si="49">+C110+D110-G110</f>
        <v>77.11220000000003</v>
      </c>
      <c r="I110" s="26">
        <f>+C110+D110-H110-G110</f>
        <v>0</v>
      </c>
    </row>
    <row r="111" spans="2:14" ht="15.95" customHeight="1" x14ac:dyDescent="0.25">
      <c r="B111" s="8">
        <f t="shared" si="47"/>
        <v>44958</v>
      </c>
      <c r="C111" s="21">
        <f>+H110</f>
        <v>77.11220000000003</v>
      </c>
      <c r="D111" s="23">
        <f>'[3]BU-3'!$H$83</f>
        <v>153</v>
      </c>
      <c r="E111" s="23">
        <v>0</v>
      </c>
      <c r="F111" s="23">
        <f>'[3]BU-3'!$J$83</f>
        <v>171.14400000000001</v>
      </c>
      <c r="G111" s="85">
        <f t="shared" si="48"/>
        <v>171.14400000000001</v>
      </c>
      <c r="H111" s="85">
        <f t="shared" si="49"/>
        <v>58.968200000000024</v>
      </c>
      <c r="I111" s="26">
        <f>+C111+D111-H111-G111</f>
        <v>0</v>
      </c>
    </row>
    <row r="112" spans="2:14" ht="15.95" customHeight="1" x14ac:dyDescent="0.25">
      <c r="B112" s="8">
        <f t="shared" si="47"/>
        <v>44986</v>
      </c>
      <c r="C112" s="21"/>
      <c r="D112" s="23"/>
      <c r="E112" s="23"/>
      <c r="F112" s="23"/>
      <c r="G112" s="21"/>
      <c r="H112" s="21"/>
      <c r="I112" s="26">
        <f t="shared" ref="I112:I122" si="50">+C112+D112-H112-G112</f>
        <v>0</v>
      </c>
    </row>
    <row r="113" spans="2:15" ht="15.95" customHeight="1" x14ac:dyDescent="0.25">
      <c r="B113" s="8">
        <f t="shared" si="47"/>
        <v>45017</v>
      </c>
      <c r="C113" s="21"/>
      <c r="D113" s="23"/>
      <c r="E113" s="23"/>
      <c r="F113" s="23"/>
      <c r="G113" s="21"/>
      <c r="H113" s="21"/>
      <c r="I113" s="26">
        <f t="shared" si="50"/>
        <v>0</v>
      </c>
    </row>
    <row r="114" spans="2:15" ht="15.95" customHeight="1" x14ac:dyDescent="0.25">
      <c r="B114" s="8">
        <f t="shared" si="47"/>
        <v>45047</v>
      </c>
      <c r="C114" s="21"/>
      <c r="D114" s="23"/>
      <c r="E114" s="23"/>
      <c r="F114" s="23"/>
      <c r="G114" s="21"/>
      <c r="H114" s="21"/>
      <c r="I114" s="26">
        <f t="shared" si="50"/>
        <v>0</v>
      </c>
    </row>
    <row r="115" spans="2:15" ht="15.95" customHeight="1" x14ac:dyDescent="0.25">
      <c r="B115" s="8">
        <f t="shared" si="47"/>
        <v>45078</v>
      </c>
      <c r="C115" s="21"/>
      <c r="D115" s="23"/>
      <c r="E115" s="23"/>
      <c r="F115" s="23"/>
      <c r="G115" s="21"/>
      <c r="H115" s="21"/>
      <c r="I115" s="26">
        <f t="shared" si="50"/>
        <v>0</v>
      </c>
    </row>
    <row r="116" spans="2:15" ht="15.95" customHeight="1" x14ac:dyDescent="0.25">
      <c r="B116" s="8">
        <f t="shared" si="47"/>
        <v>45108</v>
      </c>
      <c r="C116" s="21"/>
      <c r="D116" s="23"/>
      <c r="E116" s="23"/>
      <c r="F116" s="23"/>
      <c r="G116" s="21"/>
      <c r="H116" s="21"/>
      <c r="I116" s="26">
        <f t="shared" si="50"/>
        <v>0</v>
      </c>
    </row>
    <row r="117" spans="2:15" ht="15.95" customHeight="1" x14ac:dyDescent="0.25">
      <c r="B117" s="8">
        <f t="shared" si="47"/>
        <v>45139</v>
      </c>
      <c r="C117" s="21"/>
      <c r="D117" s="23"/>
      <c r="E117" s="23"/>
      <c r="F117" s="23"/>
      <c r="G117" s="21"/>
      <c r="H117" s="21"/>
      <c r="I117" s="26">
        <f t="shared" si="50"/>
        <v>0</v>
      </c>
    </row>
    <row r="118" spans="2:15" ht="15.95" customHeight="1" x14ac:dyDescent="0.25">
      <c r="B118" s="8">
        <f t="shared" si="47"/>
        <v>45170</v>
      </c>
      <c r="C118" s="21"/>
      <c r="D118" s="23"/>
      <c r="E118" s="23"/>
      <c r="F118" s="23"/>
      <c r="G118" s="21"/>
      <c r="H118" s="21"/>
      <c r="I118" s="26">
        <f t="shared" si="50"/>
        <v>0</v>
      </c>
    </row>
    <row r="119" spans="2:15" ht="15.95" customHeight="1" x14ac:dyDescent="0.25">
      <c r="B119" s="8">
        <f t="shared" si="47"/>
        <v>45200</v>
      </c>
      <c r="C119" s="21"/>
      <c r="D119" s="23"/>
      <c r="E119" s="23"/>
      <c r="F119" s="23"/>
      <c r="G119" s="21"/>
      <c r="H119" s="21"/>
      <c r="I119" s="26">
        <f t="shared" si="50"/>
        <v>0</v>
      </c>
    </row>
    <row r="120" spans="2:15" ht="15.95" customHeight="1" x14ac:dyDescent="0.25">
      <c r="B120" s="8">
        <f t="shared" si="47"/>
        <v>45231</v>
      </c>
      <c r="C120" s="21"/>
      <c r="D120" s="23"/>
      <c r="E120" s="23"/>
      <c r="F120" s="23"/>
      <c r="G120" s="21"/>
      <c r="H120" s="21"/>
      <c r="I120" s="26">
        <f t="shared" si="50"/>
        <v>0</v>
      </c>
    </row>
    <row r="121" spans="2:15" ht="15.95" customHeight="1" x14ac:dyDescent="0.25">
      <c r="B121" s="8">
        <f t="shared" si="47"/>
        <v>45261</v>
      </c>
      <c r="C121" s="21"/>
      <c r="D121" s="23"/>
      <c r="E121" s="23"/>
      <c r="F121" s="23"/>
      <c r="G121" s="21"/>
      <c r="H121" s="21"/>
      <c r="I121" s="26">
        <f t="shared" si="50"/>
        <v>0</v>
      </c>
    </row>
    <row r="122" spans="2:15" ht="15.95" customHeight="1" x14ac:dyDescent="0.25">
      <c r="B122" s="8" t="s">
        <v>5</v>
      </c>
      <c r="C122" s="21">
        <f>+C110</f>
        <v>52.286200000000036</v>
      </c>
      <c r="D122" s="21">
        <f t="shared" ref="D122:G122" si="51">SUM(D110:D121)</f>
        <v>183</v>
      </c>
      <c r="E122" s="21">
        <f t="shared" si="51"/>
        <v>5.1740000000000004</v>
      </c>
      <c r="F122" s="21">
        <f t="shared" si="51"/>
        <v>171.14400000000001</v>
      </c>
      <c r="G122" s="21">
        <f t="shared" si="51"/>
        <v>176.31800000000001</v>
      </c>
      <c r="H122" s="21">
        <f t="shared" si="49"/>
        <v>58.968200000000024</v>
      </c>
      <c r="I122" s="26">
        <f t="shared" si="50"/>
        <v>0</v>
      </c>
    </row>
    <row r="123" spans="2:15" x14ac:dyDescent="0.25"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</row>
    <row r="124" spans="2:15" ht="15.75" customHeight="1" x14ac:dyDescent="0.25">
      <c r="B124" s="128" t="s">
        <v>1</v>
      </c>
      <c r="C124" s="3" t="s">
        <v>39</v>
      </c>
      <c r="D124" s="4"/>
      <c r="E124" s="4"/>
      <c r="F124" s="4"/>
      <c r="G124" s="3" t="s">
        <v>40</v>
      </c>
      <c r="H124" s="4"/>
      <c r="I124" s="4"/>
      <c r="J124" s="5"/>
    </row>
    <row r="125" spans="2:15" ht="24" x14ac:dyDescent="0.25">
      <c r="B125" s="129"/>
      <c r="C125" s="99" t="s">
        <v>33</v>
      </c>
      <c r="D125" s="100" t="s">
        <v>34</v>
      </c>
      <c r="E125" s="99" t="s">
        <v>41</v>
      </c>
      <c r="F125" s="99" t="s">
        <v>36</v>
      </c>
      <c r="G125" s="99" t="s">
        <v>33</v>
      </c>
      <c r="H125" s="100" t="s">
        <v>34</v>
      </c>
      <c r="I125" s="99" t="s">
        <v>42</v>
      </c>
      <c r="J125" s="99" t="s">
        <v>36</v>
      </c>
    </row>
    <row r="126" spans="2:15" ht="15.95" customHeight="1" x14ac:dyDescent="0.25">
      <c r="B126" s="8">
        <f t="shared" ref="B126:B137" si="52">+B6</f>
        <v>44927</v>
      </c>
      <c r="C126" s="9">
        <f>'[1]BU-3'!$F$82</f>
        <v>17.928000000000001</v>
      </c>
      <c r="D126" s="9">
        <f>'[1]BU-3'!$H$82</f>
        <v>-2.4994799999996653E-3</v>
      </c>
      <c r="E126" s="9">
        <f>'[1]BU-3'!$J$82</f>
        <v>0.64550052000000002</v>
      </c>
      <c r="F126" s="96">
        <f>+C126+D126-E126</f>
        <v>17.28</v>
      </c>
      <c r="G126" s="23">
        <f>'[1]BU-3'!$F$84</f>
        <v>9.3419999999999987</v>
      </c>
      <c r="H126" s="23">
        <f>'[1]BU-3'!$H$84</f>
        <v>0</v>
      </c>
      <c r="I126" s="23">
        <f>'[1]BU-3'!$J$84</f>
        <v>0</v>
      </c>
      <c r="J126" s="85">
        <f>+G126+H126-I126</f>
        <v>9.3419999999999987</v>
      </c>
      <c r="L126" s="77">
        <f>+C126+D126-E126-F126</f>
        <v>0</v>
      </c>
      <c r="M126" s="26">
        <f>+G126+H126-I126-J126</f>
        <v>0</v>
      </c>
      <c r="O126" s="24"/>
    </row>
    <row r="127" spans="2:15" ht="15.95" customHeight="1" x14ac:dyDescent="0.25">
      <c r="B127" s="8">
        <f t="shared" si="52"/>
        <v>44958</v>
      </c>
      <c r="C127" s="108">
        <f>+F126</f>
        <v>17.28</v>
      </c>
      <c r="D127" s="9">
        <f>'[3]BU-3'!$H$82</f>
        <v>16.058584799999998</v>
      </c>
      <c r="E127" s="9">
        <f>'[3]BU-3'!$J$82</f>
        <v>16.598584800000001</v>
      </c>
      <c r="F127" s="96">
        <f>+C127+D127-E127</f>
        <v>16.739999999999998</v>
      </c>
      <c r="G127" s="86">
        <f>+J126</f>
        <v>9.3419999999999987</v>
      </c>
      <c r="H127" s="23">
        <f>'[3]BU-3'!$H$84</f>
        <v>27.899139999999999</v>
      </c>
      <c r="I127" s="23">
        <f>'[3]BU-3'!$J$84</f>
        <v>26.441140000000001</v>
      </c>
      <c r="J127" s="85">
        <f>+G127+H127-I127</f>
        <v>10.8</v>
      </c>
      <c r="L127" s="77">
        <f t="shared" ref="L127:L138" si="53">+C127+D127-E127-F127</f>
        <v>0</v>
      </c>
      <c r="M127" s="26">
        <f t="shared" ref="M127:M138" si="54">+G127+H127-I127-J127</f>
        <v>0</v>
      </c>
      <c r="O127" s="24"/>
    </row>
    <row r="128" spans="2:15" ht="15.95" customHeight="1" x14ac:dyDescent="0.25">
      <c r="B128" s="8">
        <f t="shared" si="52"/>
        <v>44986</v>
      </c>
      <c r="C128" s="11"/>
      <c r="D128" s="9"/>
      <c r="E128" s="9"/>
      <c r="F128" s="11"/>
      <c r="G128" s="11"/>
      <c r="H128" s="23"/>
      <c r="I128" s="23"/>
      <c r="J128" s="21"/>
      <c r="L128" s="77">
        <f t="shared" si="53"/>
        <v>0</v>
      </c>
      <c r="M128" s="26">
        <f t="shared" si="54"/>
        <v>0</v>
      </c>
      <c r="O128" s="24"/>
    </row>
    <row r="129" spans="2:41" ht="15.95" customHeight="1" x14ac:dyDescent="0.25">
      <c r="B129" s="8">
        <f t="shared" si="52"/>
        <v>45017</v>
      </c>
      <c r="C129" s="11"/>
      <c r="D129" s="9"/>
      <c r="E129" s="9"/>
      <c r="F129" s="11"/>
      <c r="G129" s="11"/>
      <c r="H129" s="23"/>
      <c r="I129" s="23"/>
      <c r="J129" s="21"/>
      <c r="L129" s="77">
        <f t="shared" si="53"/>
        <v>0</v>
      </c>
      <c r="M129" s="26">
        <f t="shared" si="54"/>
        <v>0</v>
      </c>
      <c r="O129" s="24"/>
    </row>
    <row r="130" spans="2:41" ht="15.95" customHeight="1" x14ac:dyDescent="0.25">
      <c r="B130" s="8">
        <f t="shared" si="52"/>
        <v>45047</v>
      </c>
      <c r="C130" s="11"/>
      <c r="D130" s="9"/>
      <c r="E130" s="9"/>
      <c r="F130" s="11"/>
      <c r="G130" s="11"/>
      <c r="H130" s="23"/>
      <c r="I130" s="23"/>
      <c r="J130" s="21"/>
      <c r="L130" s="77">
        <f t="shared" si="53"/>
        <v>0</v>
      </c>
      <c r="M130" s="26">
        <f t="shared" si="54"/>
        <v>0</v>
      </c>
      <c r="O130" s="24"/>
    </row>
    <row r="131" spans="2:41" ht="15.95" customHeight="1" x14ac:dyDescent="0.25">
      <c r="B131" s="8">
        <f t="shared" si="52"/>
        <v>45078</v>
      </c>
      <c r="C131" s="11"/>
      <c r="D131" s="9"/>
      <c r="E131" s="9"/>
      <c r="F131" s="11"/>
      <c r="G131" s="11"/>
      <c r="H131" s="23"/>
      <c r="I131" s="23"/>
      <c r="J131" s="21"/>
      <c r="L131" s="77">
        <f t="shared" si="53"/>
        <v>0</v>
      </c>
      <c r="M131" s="26">
        <f t="shared" si="54"/>
        <v>0</v>
      </c>
      <c r="O131" s="24"/>
    </row>
    <row r="132" spans="2:41" ht="15.95" customHeight="1" x14ac:dyDescent="0.25">
      <c r="B132" s="8">
        <f t="shared" si="52"/>
        <v>45108</v>
      </c>
      <c r="C132" s="11"/>
      <c r="D132" s="9"/>
      <c r="E132" s="9"/>
      <c r="F132" s="11"/>
      <c r="G132" s="11"/>
      <c r="H132" s="23"/>
      <c r="I132" s="23"/>
      <c r="J132" s="21"/>
      <c r="L132" s="77">
        <f t="shared" si="53"/>
        <v>0</v>
      </c>
      <c r="M132" s="26">
        <f t="shared" si="54"/>
        <v>0</v>
      </c>
      <c r="O132" s="24"/>
    </row>
    <row r="133" spans="2:41" ht="15.95" customHeight="1" x14ac:dyDescent="0.25">
      <c r="B133" s="8">
        <f t="shared" si="52"/>
        <v>45139</v>
      </c>
      <c r="C133" s="11"/>
      <c r="D133" s="9"/>
      <c r="E133" s="9"/>
      <c r="F133" s="11"/>
      <c r="G133" s="11"/>
      <c r="H133" s="23"/>
      <c r="I133" s="23"/>
      <c r="J133" s="21"/>
      <c r="L133" s="77">
        <f t="shared" si="53"/>
        <v>0</v>
      </c>
      <c r="M133" s="26">
        <f t="shared" si="54"/>
        <v>0</v>
      </c>
      <c r="O133" s="24"/>
    </row>
    <row r="134" spans="2:41" ht="15.95" customHeight="1" x14ac:dyDescent="0.25">
      <c r="B134" s="8">
        <f t="shared" si="52"/>
        <v>45170</v>
      </c>
      <c r="C134" s="11"/>
      <c r="D134" s="9"/>
      <c r="E134" s="9"/>
      <c r="F134" s="11"/>
      <c r="G134" s="11"/>
      <c r="H134" s="23"/>
      <c r="I134" s="23"/>
      <c r="J134" s="21"/>
      <c r="L134" s="77">
        <f t="shared" si="53"/>
        <v>0</v>
      </c>
      <c r="M134" s="26">
        <f t="shared" si="54"/>
        <v>0</v>
      </c>
      <c r="O134" s="24"/>
    </row>
    <row r="135" spans="2:41" ht="15.95" customHeight="1" x14ac:dyDescent="0.25">
      <c r="B135" s="8">
        <f t="shared" si="52"/>
        <v>45200</v>
      </c>
      <c r="C135" s="11"/>
      <c r="D135" s="9"/>
      <c r="E135" s="9"/>
      <c r="F135" s="11"/>
      <c r="G135" s="11"/>
      <c r="H135" s="23"/>
      <c r="I135" s="23"/>
      <c r="J135" s="21"/>
      <c r="L135" s="77">
        <f t="shared" si="53"/>
        <v>0</v>
      </c>
      <c r="M135" s="26">
        <f t="shared" si="54"/>
        <v>0</v>
      </c>
      <c r="O135" s="24"/>
      <c r="P135" s="2">
        <f>40*250/100</f>
        <v>100</v>
      </c>
    </row>
    <row r="136" spans="2:41" ht="15.95" customHeight="1" x14ac:dyDescent="0.25">
      <c r="B136" s="8">
        <f t="shared" si="52"/>
        <v>45231</v>
      </c>
      <c r="C136" s="11"/>
      <c r="D136" s="9"/>
      <c r="E136" s="9"/>
      <c r="F136" s="11"/>
      <c r="G136" s="11"/>
      <c r="H136" s="23"/>
      <c r="I136" s="23"/>
      <c r="J136" s="21"/>
      <c r="L136" s="77">
        <f t="shared" si="53"/>
        <v>0</v>
      </c>
      <c r="M136" s="26">
        <f t="shared" si="54"/>
        <v>0</v>
      </c>
    </row>
    <row r="137" spans="2:41" ht="15.95" customHeight="1" x14ac:dyDescent="0.25">
      <c r="B137" s="8">
        <f t="shared" si="52"/>
        <v>45261</v>
      </c>
      <c r="C137" s="11"/>
      <c r="D137" s="9"/>
      <c r="E137" s="9"/>
      <c r="F137" s="11"/>
      <c r="G137" s="11"/>
      <c r="H137" s="23"/>
      <c r="I137" s="23"/>
      <c r="J137" s="21"/>
      <c r="L137" s="77">
        <f t="shared" si="53"/>
        <v>0</v>
      </c>
      <c r="M137" s="26">
        <f t="shared" si="54"/>
        <v>0</v>
      </c>
    </row>
    <row r="138" spans="2:41" ht="15.95" customHeight="1" x14ac:dyDescent="0.25">
      <c r="B138" s="8" t="s">
        <v>5</v>
      </c>
      <c r="C138" s="11">
        <f>+C126</f>
        <v>17.928000000000001</v>
      </c>
      <c r="D138" s="21">
        <f>SUM(D126:D137)</f>
        <v>16.056085319999998</v>
      </c>
      <c r="E138" s="21">
        <f>SUM(E126:E137)</f>
        <v>17.24408532</v>
      </c>
      <c r="F138" s="11">
        <f>+F137</f>
        <v>0</v>
      </c>
      <c r="G138" s="11">
        <f>+G126</f>
        <v>9.3419999999999987</v>
      </c>
      <c r="H138" s="21">
        <f>SUM(H126:H137)</f>
        <v>27.899139999999999</v>
      </c>
      <c r="I138" s="21">
        <f>SUM(I126:I137)</f>
        <v>26.441140000000001</v>
      </c>
      <c r="J138" s="21">
        <f t="shared" ref="J138" si="55">+G138+H138-I138</f>
        <v>10.8</v>
      </c>
      <c r="L138" s="77">
        <f t="shared" si="53"/>
        <v>16.739999999999998</v>
      </c>
      <c r="M138" s="26">
        <f t="shared" si="54"/>
        <v>0</v>
      </c>
      <c r="Q138" s="25"/>
    </row>
    <row r="139" spans="2:41" ht="12.75" thickBot="1" x14ac:dyDescent="0.3">
      <c r="J139" s="26"/>
      <c r="L139" s="19"/>
      <c r="Y139" s="25"/>
      <c r="AC139" s="2" t="s">
        <v>101</v>
      </c>
    </row>
    <row r="140" spans="2:41" ht="15.75" customHeight="1" thickTop="1" x14ac:dyDescent="0.25">
      <c r="B140" s="128" t="s">
        <v>1</v>
      </c>
      <c r="C140" s="3" t="s">
        <v>98</v>
      </c>
      <c r="D140" s="4"/>
      <c r="E140" s="4"/>
      <c r="F140" s="5"/>
      <c r="G140" s="3" t="s">
        <v>96</v>
      </c>
      <c r="H140" s="4"/>
      <c r="I140" s="4"/>
      <c r="J140" s="5"/>
      <c r="K140" s="3" t="s">
        <v>97</v>
      </c>
      <c r="L140" s="4"/>
      <c r="M140" s="4"/>
      <c r="N140" s="5"/>
      <c r="O140"/>
      <c r="AC140" s="139" t="s">
        <v>102</v>
      </c>
      <c r="AD140" s="103"/>
      <c r="AE140" s="139" t="s">
        <v>103</v>
      </c>
      <c r="AF140" s="139" t="s">
        <v>104</v>
      </c>
      <c r="AG140" s="141" t="s">
        <v>100</v>
      </c>
      <c r="AH140" s="139" t="s">
        <v>102</v>
      </c>
      <c r="AI140" s="139" t="s">
        <v>103</v>
      </c>
      <c r="AJ140" s="139" t="s">
        <v>104</v>
      </c>
      <c r="AK140" s="141" t="s">
        <v>100</v>
      </c>
      <c r="AL140" s="139" t="s">
        <v>102</v>
      </c>
      <c r="AM140" s="139" t="s">
        <v>103</v>
      </c>
      <c r="AN140" s="139" t="s">
        <v>104</v>
      </c>
      <c r="AO140" s="141" t="s">
        <v>100</v>
      </c>
    </row>
    <row r="141" spans="2:41" ht="24" x14ac:dyDescent="0.25">
      <c r="B141" s="129"/>
      <c r="C141" s="99" t="s">
        <v>33</v>
      </c>
      <c r="D141" s="100" t="s">
        <v>34</v>
      </c>
      <c r="E141" s="99" t="s">
        <v>9</v>
      </c>
      <c r="F141" s="99" t="s">
        <v>36</v>
      </c>
      <c r="G141" s="99" t="s">
        <v>33</v>
      </c>
      <c r="H141" s="100" t="s">
        <v>34</v>
      </c>
      <c r="I141" s="99" t="s">
        <v>9</v>
      </c>
      <c r="J141" s="99" t="s">
        <v>36</v>
      </c>
      <c r="K141" s="99" t="s">
        <v>33</v>
      </c>
      <c r="L141" s="100" t="s">
        <v>34</v>
      </c>
      <c r="M141" s="99" t="s">
        <v>9</v>
      </c>
      <c r="N141" s="99" t="s">
        <v>36</v>
      </c>
      <c r="O141"/>
      <c r="AB141" s="2">
        <v>15</v>
      </c>
      <c r="AC141" s="140"/>
      <c r="AD141" s="104"/>
      <c r="AE141" s="140"/>
      <c r="AF141" s="140"/>
      <c r="AG141" s="142"/>
      <c r="AH141" s="140"/>
      <c r="AI141" s="140"/>
      <c r="AJ141" s="140"/>
      <c r="AK141" s="142"/>
      <c r="AL141" s="140"/>
      <c r="AM141" s="140"/>
      <c r="AN141" s="140"/>
      <c r="AO141" s="142"/>
    </row>
    <row r="142" spans="2:41" ht="15.95" customHeight="1" x14ac:dyDescent="0.25">
      <c r="B142" s="8">
        <f t="shared" ref="B142:B153" si="56">+B6</f>
        <v>44927</v>
      </c>
      <c r="C142" s="10">
        <f>+'BA-2022'!F154</f>
        <v>980</v>
      </c>
      <c r="D142" s="10"/>
      <c r="E142" s="10"/>
      <c r="F142" s="12">
        <f>+C142+D142-E142</f>
        <v>980</v>
      </c>
      <c r="G142" s="10">
        <f>+'BA-2022'!J154</f>
        <v>193.97999999999996</v>
      </c>
      <c r="H142" s="10">
        <v>0</v>
      </c>
      <c r="I142" s="9">
        <f t="shared" ref="I142:I143" si="57">2*I75/100</f>
        <v>53.44</v>
      </c>
      <c r="J142" s="12">
        <f>+G142+H142-I142</f>
        <v>140.53999999999996</v>
      </c>
      <c r="K142" s="10">
        <f>+'BA-2022'!N154</f>
        <v>680.0100000000001</v>
      </c>
      <c r="L142" s="10">
        <v>0</v>
      </c>
      <c r="M142" s="10">
        <v>0</v>
      </c>
      <c r="N142" s="12">
        <f>+K142+L142-M142</f>
        <v>680.0100000000001</v>
      </c>
      <c r="O142"/>
      <c r="P142" s="13">
        <f t="shared" ref="P142:P148" si="58">+P143+E142</f>
        <v>60</v>
      </c>
      <c r="S142" s="13">
        <f>+S143+I143</f>
        <v>218.2</v>
      </c>
      <c r="T142" s="13"/>
      <c r="U142" s="13"/>
      <c r="W142" s="13">
        <f t="shared" ref="W142:W150" si="59">+W143+M142</f>
        <v>707</v>
      </c>
      <c r="AC142" s="59">
        <f>+E142/20</f>
        <v>0</v>
      </c>
      <c r="AD142" s="59"/>
      <c r="AE142" s="59">
        <f>+AC142</f>
        <v>0</v>
      </c>
      <c r="AF142" s="59">
        <v>0</v>
      </c>
      <c r="AG142" s="59">
        <v>0</v>
      </c>
      <c r="AH142" s="60">
        <f>+I142/20</f>
        <v>2.6719999999999997</v>
      </c>
      <c r="AI142" s="59">
        <f>+AH142</f>
        <v>2.6719999999999997</v>
      </c>
      <c r="AJ142" s="59">
        <v>0</v>
      </c>
      <c r="AK142" s="59">
        <v>0</v>
      </c>
      <c r="AL142" s="61">
        <f>+M142/20</f>
        <v>0</v>
      </c>
      <c r="AM142" s="59">
        <f>+AL142</f>
        <v>0</v>
      </c>
      <c r="AN142" s="59">
        <v>0</v>
      </c>
      <c r="AO142" s="59">
        <v>0</v>
      </c>
    </row>
    <row r="143" spans="2:41" ht="15.95" customHeight="1" x14ac:dyDescent="0.25">
      <c r="B143" s="8">
        <f t="shared" si="56"/>
        <v>44958</v>
      </c>
      <c r="C143" s="12">
        <f>+F142</f>
        <v>980</v>
      </c>
      <c r="D143" s="10"/>
      <c r="E143" s="10"/>
      <c r="F143" s="12">
        <f t="shared" ref="F143:F154" si="60">+C143+D143-E143</f>
        <v>980</v>
      </c>
      <c r="G143" s="12">
        <f>+J142</f>
        <v>140.53999999999996</v>
      </c>
      <c r="H143" s="10">
        <v>0</v>
      </c>
      <c r="I143" s="9">
        <f t="shared" si="57"/>
        <v>38.200000000000003</v>
      </c>
      <c r="J143" s="12">
        <f>+G143+H143-I143</f>
        <v>102.33999999999996</v>
      </c>
      <c r="K143" s="12">
        <f>+N142</f>
        <v>680.0100000000001</v>
      </c>
      <c r="L143" s="10">
        <v>0</v>
      </c>
      <c r="M143" s="10"/>
      <c r="N143" s="12">
        <f t="shared" ref="N143:N154" si="61">+K143+L143-M143</f>
        <v>680.0100000000001</v>
      </c>
      <c r="O143"/>
      <c r="P143" s="13">
        <f t="shared" si="58"/>
        <v>60</v>
      </c>
      <c r="S143" s="13">
        <f t="shared" ref="S143:S148" si="62">+S144+I144</f>
        <v>180</v>
      </c>
      <c r="T143" s="13"/>
      <c r="U143" s="13"/>
      <c r="W143" s="13">
        <f t="shared" si="59"/>
        <v>707</v>
      </c>
      <c r="AC143" s="59">
        <f t="shared" ref="AC143:AC154" si="63">+E143/20</f>
        <v>0</v>
      </c>
      <c r="AD143" s="59"/>
      <c r="AE143" s="59">
        <f t="shared" ref="AE143:AE154" si="64">+AC143</f>
        <v>0</v>
      </c>
      <c r="AF143" s="59">
        <v>0</v>
      </c>
      <c r="AG143" s="59">
        <v>0</v>
      </c>
      <c r="AH143" s="60">
        <f t="shared" ref="AH143:AH154" si="65">+I143/20</f>
        <v>1.9100000000000001</v>
      </c>
      <c r="AI143" s="59">
        <f t="shared" ref="AI143:AI154" si="66">+AH143</f>
        <v>1.9100000000000001</v>
      </c>
      <c r="AJ143" s="59">
        <v>0</v>
      </c>
      <c r="AK143" s="59">
        <v>0</v>
      </c>
      <c r="AL143" s="61">
        <f t="shared" ref="AL143:AL154" si="67">+M143/20</f>
        <v>0</v>
      </c>
      <c r="AM143" s="59">
        <f t="shared" ref="AM143:AM154" si="68">+AL143</f>
        <v>0</v>
      </c>
      <c r="AN143" s="59">
        <v>0</v>
      </c>
      <c r="AO143" s="59">
        <v>0</v>
      </c>
    </row>
    <row r="144" spans="2:41" ht="15.95" customHeight="1" x14ac:dyDescent="0.25">
      <c r="B144" s="8">
        <f t="shared" si="56"/>
        <v>44986</v>
      </c>
      <c r="C144" s="12"/>
      <c r="D144" s="10"/>
      <c r="E144" s="10"/>
      <c r="F144" s="12"/>
      <c r="G144" s="12"/>
      <c r="H144" s="10"/>
      <c r="I144" s="9"/>
      <c r="J144" s="12"/>
      <c r="K144" s="12"/>
      <c r="L144" s="10"/>
      <c r="M144" s="10"/>
      <c r="N144" s="12"/>
      <c r="O144"/>
      <c r="P144" s="13">
        <f t="shared" si="58"/>
        <v>60</v>
      </c>
      <c r="S144" s="13">
        <f t="shared" si="62"/>
        <v>180</v>
      </c>
      <c r="T144" s="13"/>
      <c r="U144" s="13"/>
      <c r="W144" s="13">
        <f t="shared" si="59"/>
        <v>707</v>
      </c>
      <c r="AC144" s="59">
        <f t="shared" si="63"/>
        <v>0</v>
      </c>
      <c r="AD144" s="59"/>
      <c r="AE144" s="59">
        <f t="shared" si="64"/>
        <v>0</v>
      </c>
      <c r="AF144" s="59">
        <v>0</v>
      </c>
      <c r="AG144" s="59">
        <v>0</v>
      </c>
      <c r="AH144" s="60">
        <f t="shared" si="65"/>
        <v>0</v>
      </c>
      <c r="AI144" s="59">
        <f t="shared" si="66"/>
        <v>0</v>
      </c>
      <c r="AJ144" s="59">
        <v>0</v>
      </c>
      <c r="AK144" s="59">
        <v>0</v>
      </c>
      <c r="AL144" s="61">
        <f t="shared" si="67"/>
        <v>0</v>
      </c>
      <c r="AM144" s="59">
        <f t="shared" si="68"/>
        <v>0</v>
      </c>
      <c r="AN144" s="59">
        <v>0</v>
      </c>
      <c r="AO144" s="59">
        <v>0</v>
      </c>
    </row>
    <row r="145" spans="2:41" ht="15.95" customHeight="1" x14ac:dyDescent="0.25">
      <c r="B145" s="8">
        <f t="shared" si="56"/>
        <v>45017</v>
      </c>
      <c r="C145" s="12"/>
      <c r="D145" s="10"/>
      <c r="E145" s="10"/>
      <c r="F145" s="12"/>
      <c r="G145" s="12"/>
      <c r="H145" s="10"/>
      <c r="I145" s="9"/>
      <c r="J145" s="12"/>
      <c r="K145" s="12"/>
      <c r="L145" s="10"/>
      <c r="M145" s="10"/>
      <c r="N145" s="12"/>
      <c r="O145"/>
      <c r="P145" s="13">
        <f t="shared" si="58"/>
        <v>60</v>
      </c>
      <c r="S145" s="13">
        <f t="shared" si="62"/>
        <v>180</v>
      </c>
      <c r="T145" s="13"/>
      <c r="U145" s="13"/>
      <c r="W145" s="13">
        <f t="shared" si="59"/>
        <v>707</v>
      </c>
      <c r="AC145" s="59">
        <f t="shared" si="63"/>
        <v>0</v>
      </c>
      <c r="AD145" s="59"/>
      <c r="AE145" s="59">
        <f t="shared" si="64"/>
        <v>0</v>
      </c>
      <c r="AF145" s="59">
        <v>0</v>
      </c>
      <c r="AG145" s="59">
        <v>0</v>
      </c>
      <c r="AH145" s="60">
        <f t="shared" si="65"/>
        <v>0</v>
      </c>
      <c r="AI145" s="59">
        <f t="shared" si="66"/>
        <v>0</v>
      </c>
      <c r="AJ145" s="59">
        <v>0</v>
      </c>
      <c r="AK145" s="59">
        <v>0</v>
      </c>
      <c r="AL145" s="61">
        <f t="shared" si="67"/>
        <v>0</v>
      </c>
      <c r="AM145" s="59">
        <f t="shared" si="68"/>
        <v>0</v>
      </c>
      <c r="AN145" s="59">
        <v>0</v>
      </c>
      <c r="AO145" s="59">
        <v>0</v>
      </c>
    </row>
    <row r="146" spans="2:41" ht="15.95" customHeight="1" x14ac:dyDescent="0.25">
      <c r="B146" s="8">
        <f t="shared" si="56"/>
        <v>45047</v>
      </c>
      <c r="C146" s="12"/>
      <c r="D146" s="10"/>
      <c r="E146" s="10"/>
      <c r="F146" s="12"/>
      <c r="G146" s="12"/>
      <c r="H146" s="10"/>
      <c r="I146" s="9"/>
      <c r="J146" s="11"/>
      <c r="K146" s="12"/>
      <c r="L146" s="10"/>
      <c r="M146" s="10"/>
      <c r="N146" s="12"/>
      <c r="O146"/>
      <c r="P146" s="13">
        <f t="shared" si="58"/>
        <v>60</v>
      </c>
      <c r="S146" s="13">
        <f t="shared" si="62"/>
        <v>180</v>
      </c>
      <c r="T146" s="13"/>
      <c r="U146" s="13"/>
      <c r="W146" s="13">
        <f t="shared" si="59"/>
        <v>707</v>
      </c>
      <c r="AC146" s="59">
        <f t="shared" si="63"/>
        <v>0</v>
      </c>
      <c r="AD146" s="59"/>
      <c r="AE146" s="59">
        <f t="shared" si="64"/>
        <v>0</v>
      </c>
      <c r="AF146" s="59">
        <v>0</v>
      </c>
      <c r="AG146" s="59">
        <v>0</v>
      </c>
      <c r="AH146" s="60">
        <f t="shared" si="65"/>
        <v>0</v>
      </c>
      <c r="AI146" s="59">
        <f t="shared" si="66"/>
        <v>0</v>
      </c>
      <c r="AJ146" s="59">
        <v>0</v>
      </c>
      <c r="AK146" s="59">
        <v>0</v>
      </c>
      <c r="AL146" s="61">
        <f t="shared" si="67"/>
        <v>0</v>
      </c>
      <c r="AM146" s="59">
        <f t="shared" si="68"/>
        <v>0</v>
      </c>
      <c r="AN146" s="59">
        <v>0</v>
      </c>
      <c r="AO146" s="59">
        <v>0</v>
      </c>
    </row>
    <row r="147" spans="2:41" ht="15.95" customHeight="1" x14ac:dyDescent="0.25">
      <c r="B147" s="8">
        <f t="shared" si="56"/>
        <v>45078</v>
      </c>
      <c r="C147" s="12"/>
      <c r="D147" s="10"/>
      <c r="E147" s="10"/>
      <c r="F147" s="12"/>
      <c r="G147" s="12"/>
      <c r="H147" s="10"/>
      <c r="I147" s="9"/>
      <c r="J147" s="12"/>
      <c r="K147" s="12"/>
      <c r="L147" s="10"/>
      <c r="M147" s="10"/>
      <c r="N147" s="12"/>
      <c r="O147"/>
      <c r="P147" s="13">
        <f t="shared" si="58"/>
        <v>60</v>
      </c>
      <c r="S147" s="13">
        <f t="shared" si="62"/>
        <v>180</v>
      </c>
      <c r="T147" s="13"/>
      <c r="U147" s="13"/>
      <c r="W147" s="13">
        <f t="shared" si="59"/>
        <v>707</v>
      </c>
      <c r="AC147" s="59">
        <f t="shared" si="63"/>
        <v>0</v>
      </c>
      <c r="AD147" s="59"/>
      <c r="AE147" s="59">
        <f t="shared" si="64"/>
        <v>0</v>
      </c>
      <c r="AF147" s="59">
        <v>0</v>
      </c>
      <c r="AG147" s="59">
        <v>0</v>
      </c>
      <c r="AH147" s="60">
        <f t="shared" si="65"/>
        <v>0</v>
      </c>
      <c r="AI147" s="59">
        <f t="shared" si="66"/>
        <v>0</v>
      </c>
      <c r="AJ147" s="59">
        <v>0</v>
      </c>
      <c r="AK147" s="59">
        <v>0</v>
      </c>
      <c r="AL147" s="61">
        <f t="shared" si="67"/>
        <v>0</v>
      </c>
      <c r="AM147" s="59">
        <f t="shared" si="68"/>
        <v>0</v>
      </c>
      <c r="AN147" s="59">
        <v>0</v>
      </c>
      <c r="AO147" s="59">
        <v>0</v>
      </c>
    </row>
    <row r="148" spans="2:41" ht="15.95" customHeight="1" x14ac:dyDescent="0.25">
      <c r="B148" s="8">
        <f t="shared" si="56"/>
        <v>45108</v>
      </c>
      <c r="C148" s="12"/>
      <c r="D148" s="10"/>
      <c r="E148" s="10"/>
      <c r="F148" s="12"/>
      <c r="G148" s="12"/>
      <c r="H148" s="10"/>
      <c r="I148" s="9"/>
      <c r="J148" s="12"/>
      <c r="K148" s="12"/>
      <c r="L148" s="10"/>
      <c r="M148" s="10"/>
      <c r="N148" s="12"/>
      <c r="O148"/>
      <c r="P148" s="13">
        <f t="shared" si="58"/>
        <v>60</v>
      </c>
      <c r="S148" s="13">
        <f t="shared" si="62"/>
        <v>180</v>
      </c>
      <c r="T148" s="13"/>
      <c r="U148" s="13"/>
      <c r="W148" s="13">
        <f t="shared" si="59"/>
        <v>707</v>
      </c>
      <c r="AC148" s="59">
        <f t="shared" si="63"/>
        <v>0</v>
      </c>
      <c r="AD148" s="59"/>
      <c r="AE148" s="59">
        <f t="shared" si="64"/>
        <v>0</v>
      </c>
      <c r="AF148" s="59">
        <v>0</v>
      </c>
      <c r="AG148" s="59">
        <v>0</v>
      </c>
      <c r="AH148" s="60">
        <f t="shared" si="65"/>
        <v>0</v>
      </c>
      <c r="AI148" s="59">
        <f t="shared" si="66"/>
        <v>0</v>
      </c>
      <c r="AJ148" s="59">
        <v>0</v>
      </c>
      <c r="AK148" s="59">
        <v>0</v>
      </c>
      <c r="AL148" s="61">
        <f t="shared" si="67"/>
        <v>0</v>
      </c>
      <c r="AM148" s="59">
        <f t="shared" si="68"/>
        <v>0</v>
      </c>
      <c r="AN148" s="59">
        <v>0</v>
      </c>
      <c r="AO148" s="59">
        <v>0</v>
      </c>
    </row>
    <row r="149" spans="2:41" ht="15.95" customHeight="1" x14ac:dyDescent="0.25">
      <c r="B149" s="8">
        <f t="shared" si="56"/>
        <v>45139</v>
      </c>
      <c r="C149" s="12"/>
      <c r="D149" s="10"/>
      <c r="E149" s="10"/>
      <c r="F149" s="12"/>
      <c r="G149" s="12"/>
      <c r="H149" s="10"/>
      <c r="I149" s="9"/>
      <c r="J149" s="12"/>
      <c r="K149" s="12"/>
      <c r="L149" s="10"/>
      <c r="M149" s="10"/>
      <c r="N149" s="12"/>
      <c r="O149"/>
      <c r="P149" s="13">
        <v>60</v>
      </c>
      <c r="S149" s="13">
        <f>+S150+I150</f>
        <v>180</v>
      </c>
      <c r="T149" s="13"/>
      <c r="U149" s="13"/>
      <c r="W149" s="13">
        <f>+W150+M149</f>
        <v>707</v>
      </c>
      <c r="AC149" s="59">
        <f t="shared" si="63"/>
        <v>0</v>
      </c>
      <c r="AD149" s="59"/>
      <c r="AE149" s="59">
        <f t="shared" si="64"/>
        <v>0</v>
      </c>
      <c r="AF149" s="59">
        <v>0</v>
      </c>
      <c r="AG149" s="59">
        <v>0</v>
      </c>
      <c r="AH149" s="60">
        <f t="shared" si="65"/>
        <v>0</v>
      </c>
      <c r="AI149" s="59">
        <f t="shared" si="66"/>
        <v>0</v>
      </c>
      <c r="AJ149" s="59">
        <v>0</v>
      </c>
      <c r="AK149" s="59">
        <v>0</v>
      </c>
      <c r="AL149" s="61">
        <f t="shared" si="67"/>
        <v>0</v>
      </c>
      <c r="AM149" s="59">
        <f t="shared" si="68"/>
        <v>0</v>
      </c>
      <c r="AN149" s="59">
        <v>0</v>
      </c>
      <c r="AO149" s="59">
        <v>0</v>
      </c>
    </row>
    <row r="150" spans="2:41" ht="15.95" customHeight="1" x14ac:dyDescent="0.25">
      <c r="B150" s="8">
        <f t="shared" si="56"/>
        <v>45170</v>
      </c>
      <c r="C150" s="12"/>
      <c r="D150" s="10"/>
      <c r="E150" s="10"/>
      <c r="F150" s="12"/>
      <c r="G150" s="12"/>
      <c r="H150" s="10"/>
      <c r="I150" s="9"/>
      <c r="J150" s="12"/>
      <c r="K150" s="12"/>
      <c r="L150" s="10"/>
      <c r="M150" s="10"/>
      <c r="N150" s="12"/>
      <c r="O150"/>
      <c r="P150" s="13"/>
      <c r="S150" s="2">
        <v>180</v>
      </c>
      <c r="W150" s="13">
        <f t="shared" si="59"/>
        <v>707</v>
      </c>
      <c r="AC150" s="59">
        <f t="shared" si="63"/>
        <v>0</v>
      </c>
      <c r="AD150" s="59"/>
      <c r="AE150" s="59">
        <f t="shared" si="64"/>
        <v>0</v>
      </c>
      <c r="AF150" s="59">
        <v>0</v>
      </c>
      <c r="AG150" s="59">
        <v>0</v>
      </c>
      <c r="AH150" s="60">
        <f t="shared" si="65"/>
        <v>0</v>
      </c>
      <c r="AI150" s="59">
        <f t="shared" si="66"/>
        <v>0</v>
      </c>
      <c r="AJ150" s="59">
        <v>0</v>
      </c>
      <c r="AK150" s="59">
        <v>0</v>
      </c>
      <c r="AL150" s="61">
        <f t="shared" si="67"/>
        <v>0</v>
      </c>
      <c r="AM150" s="59">
        <f t="shared" si="68"/>
        <v>0</v>
      </c>
      <c r="AN150" s="59">
        <v>0</v>
      </c>
      <c r="AO150" s="59">
        <v>0</v>
      </c>
    </row>
    <row r="151" spans="2:41" ht="15.95" customHeight="1" x14ac:dyDescent="0.25">
      <c r="B151" s="8">
        <f t="shared" si="56"/>
        <v>45200</v>
      </c>
      <c r="C151" s="12"/>
      <c r="D151" s="10"/>
      <c r="E151" s="10"/>
      <c r="F151" s="12"/>
      <c r="G151" s="12"/>
      <c r="H151" s="10"/>
      <c r="I151" s="9"/>
      <c r="J151" s="12"/>
      <c r="K151" s="12"/>
      <c r="L151" s="10"/>
      <c r="M151" s="10"/>
      <c r="N151" s="12"/>
      <c r="O151"/>
      <c r="P151" s="13"/>
      <c r="W151" s="2">
        <f>640+67</f>
        <v>707</v>
      </c>
      <c r="AC151" s="59">
        <f t="shared" si="63"/>
        <v>0</v>
      </c>
      <c r="AD151" s="59"/>
      <c r="AE151" s="59">
        <f t="shared" si="64"/>
        <v>0</v>
      </c>
      <c r="AF151" s="59">
        <v>0</v>
      </c>
      <c r="AG151" s="59">
        <v>0</v>
      </c>
      <c r="AH151" s="60">
        <f t="shared" si="65"/>
        <v>0</v>
      </c>
      <c r="AI151" s="59">
        <f t="shared" si="66"/>
        <v>0</v>
      </c>
      <c r="AJ151" s="59">
        <v>0</v>
      </c>
      <c r="AK151" s="59">
        <v>0</v>
      </c>
      <c r="AL151" s="61">
        <f t="shared" si="67"/>
        <v>0</v>
      </c>
      <c r="AM151" s="59">
        <f t="shared" si="68"/>
        <v>0</v>
      </c>
      <c r="AN151" s="59">
        <v>0</v>
      </c>
      <c r="AO151" s="59">
        <v>0</v>
      </c>
    </row>
    <row r="152" spans="2:41" ht="15.95" customHeight="1" x14ac:dyDescent="0.25">
      <c r="B152" s="8">
        <f t="shared" si="56"/>
        <v>45231</v>
      </c>
      <c r="C152" s="12"/>
      <c r="D152" s="10"/>
      <c r="E152" s="10"/>
      <c r="F152" s="12"/>
      <c r="G152" s="12"/>
      <c r="H152" s="10"/>
      <c r="I152" s="9"/>
      <c r="J152" s="12"/>
      <c r="K152" s="12"/>
      <c r="L152" s="10"/>
      <c r="M152" s="10"/>
      <c r="N152" s="12"/>
      <c r="O152"/>
      <c r="P152" s="13">
        <f>+N152/20</f>
        <v>0</v>
      </c>
      <c r="AC152" s="59">
        <f t="shared" si="63"/>
        <v>0</v>
      </c>
      <c r="AD152" s="59"/>
      <c r="AE152" s="59">
        <f t="shared" si="64"/>
        <v>0</v>
      </c>
      <c r="AF152" s="59">
        <v>0</v>
      </c>
      <c r="AG152" s="59">
        <v>0</v>
      </c>
      <c r="AH152" s="60">
        <f t="shared" si="65"/>
        <v>0</v>
      </c>
      <c r="AI152" s="59">
        <f t="shared" si="66"/>
        <v>0</v>
      </c>
      <c r="AJ152" s="59">
        <v>0</v>
      </c>
      <c r="AK152" s="59">
        <v>0</v>
      </c>
      <c r="AL152" s="61">
        <f t="shared" si="67"/>
        <v>0</v>
      </c>
      <c r="AM152" s="59">
        <f t="shared" si="68"/>
        <v>0</v>
      </c>
      <c r="AN152" s="59">
        <v>0</v>
      </c>
      <c r="AO152" s="59">
        <v>0</v>
      </c>
    </row>
    <row r="153" spans="2:41" ht="15.95" customHeight="1" x14ac:dyDescent="0.25">
      <c r="B153" s="8">
        <f t="shared" si="56"/>
        <v>45261</v>
      </c>
      <c r="C153" s="12"/>
      <c r="D153" s="10"/>
      <c r="E153" s="10"/>
      <c r="F153" s="12"/>
      <c r="G153" s="12"/>
      <c r="H153" s="10"/>
      <c r="I153" s="9"/>
      <c r="J153" s="12"/>
      <c r="K153" s="12"/>
      <c r="L153" s="10"/>
      <c r="M153" s="10"/>
      <c r="N153" s="12"/>
      <c r="O153"/>
      <c r="P153" s="13">
        <f>+C153/20</f>
        <v>0</v>
      </c>
      <c r="Q153" s="97">
        <v>49</v>
      </c>
      <c r="R153" s="13">
        <f>+P153-Q153</f>
        <v>-49</v>
      </c>
      <c r="S153" s="2">
        <f>+R153*20</f>
        <v>-980</v>
      </c>
      <c r="T153" s="2">
        <f>+S153/31</f>
        <v>-31.612903225806452</v>
      </c>
      <c r="U153" s="2">
        <f>+F153/20</f>
        <v>0</v>
      </c>
      <c r="AC153" s="59">
        <f t="shared" si="63"/>
        <v>0</v>
      </c>
      <c r="AD153" s="59"/>
      <c r="AE153" s="59">
        <f t="shared" si="64"/>
        <v>0</v>
      </c>
      <c r="AF153" s="59">
        <v>0</v>
      </c>
      <c r="AG153" s="59">
        <v>0</v>
      </c>
      <c r="AH153" s="60">
        <f t="shared" si="65"/>
        <v>0</v>
      </c>
      <c r="AI153" s="59">
        <f t="shared" si="66"/>
        <v>0</v>
      </c>
      <c r="AJ153" s="59">
        <v>0</v>
      </c>
      <c r="AK153" s="59">
        <v>0</v>
      </c>
      <c r="AL153" s="61">
        <f t="shared" si="67"/>
        <v>0</v>
      </c>
      <c r="AM153" s="59">
        <f t="shared" si="68"/>
        <v>0</v>
      </c>
      <c r="AN153" s="59">
        <v>0</v>
      </c>
      <c r="AO153" s="59">
        <v>0</v>
      </c>
    </row>
    <row r="154" spans="2:41" ht="15.95" customHeight="1" x14ac:dyDescent="0.25">
      <c r="B154" s="8" t="s">
        <v>5</v>
      </c>
      <c r="C154" s="12">
        <f>+C142</f>
        <v>980</v>
      </c>
      <c r="D154" s="12">
        <f>SUM(D142:D153)</f>
        <v>0</v>
      </c>
      <c r="E154" s="12">
        <f>SUM(E142:E153)</f>
        <v>0</v>
      </c>
      <c r="F154" s="12">
        <f t="shared" si="60"/>
        <v>980</v>
      </c>
      <c r="G154" s="12">
        <f>+G142</f>
        <v>193.97999999999996</v>
      </c>
      <c r="H154" s="12">
        <f>SUM(H142:H153)</f>
        <v>0</v>
      </c>
      <c r="I154" s="12">
        <f>SUM(I142:I153)</f>
        <v>91.64</v>
      </c>
      <c r="J154" s="12">
        <f t="shared" ref="J154" si="69">+G154+H154-I154</f>
        <v>102.33999999999996</v>
      </c>
      <c r="K154" s="12">
        <f>+K142</f>
        <v>680.0100000000001</v>
      </c>
      <c r="L154" s="12">
        <f>SUM(L142:L153)</f>
        <v>0</v>
      </c>
      <c r="M154" s="12">
        <f>SUM(M142:M153)</f>
        <v>0</v>
      </c>
      <c r="N154" s="12">
        <f t="shared" si="61"/>
        <v>680.0100000000001</v>
      </c>
      <c r="O154"/>
      <c r="P154" s="13"/>
      <c r="AC154" s="59">
        <f t="shared" si="63"/>
        <v>0</v>
      </c>
      <c r="AD154" s="59"/>
      <c r="AE154" s="59">
        <f t="shared" si="64"/>
        <v>0</v>
      </c>
      <c r="AF154" s="59">
        <v>0</v>
      </c>
      <c r="AG154" s="59">
        <v>0</v>
      </c>
      <c r="AH154" s="60">
        <f t="shared" si="65"/>
        <v>4.5819999999999999</v>
      </c>
      <c r="AI154" s="59">
        <f t="shared" si="66"/>
        <v>4.5819999999999999</v>
      </c>
      <c r="AJ154" s="59">
        <v>0</v>
      </c>
      <c r="AK154" s="59">
        <v>0</v>
      </c>
      <c r="AL154" s="61">
        <f t="shared" si="67"/>
        <v>0</v>
      </c>
      <c r="AM154" s="59">
        <f t="shared" si="68"/>
        <v>0</v>
      </c>
      <c r="AN154" s="59">
        <v>0</v>
      </c>
      <c r="AO154" s="59">
        <v>0</v>
      </c>
    </row>
    <row r="155" spans="2:41" ht="14.1" customHeight="1" x14ac:dyDescent="0.25">
      <c r="O15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  <c r="AB155" s="15"/>
      <c r="AC155"/>
      <c r="AD155"/>
      <c r="AE155"/>
      <c r="AF155"/>
      <c r="AG155"/>
      <c r="AH155" s="15"/>
      <c r="AI155" s="15"/>
      <c r="AJ155" s="15"/>
      <c r="AK155" s="15"/>
      <c r="AL155" s="15"/>
      <c r="AM155" s="15"/>
    </row>
    <row r="156" spans="2:41" ht="14.1" customHeight="1" x14ac:dyDescent="0.25">
      <c r="B156" s="128" t="s">
        <v>1</v>
      </c>
      <c r="C156" s="3" t="s">
        <v>49</v>
      </c>
      <c r="D156" s="4"/>
      <c r="E156" s="4"/>
      <c r="F156" s="4"/>
      <c r="G156" s="5"/>
      <c r="H156" s="3" t="s">
        <v>50</v>
      </c>
      <c r="I156" s="4"/>
      <c r="J156" s="3" t="s">
        <v>51</v>
      </c>
      <c r="K156" s="4"/>
      <c r="L156" s="3" t="s">
        <v>52</v>
      </c>
      <c r="M156" s="4"/>
      <c r="N156" s="5"/>
      <c r="T156" s="19"/>
      <c r="AF156"/>
      <c r="AG156"/>
      <c r="AH156"/>
      <c r="AI156"/>
      <c r="AJ156"/>
    </row>
    <row r="157" spans="2:41" ht="27.75" customHeight="1" x14ac:dyDescent="0.25">
      <c r="B157" s="129"/>
      <c r="C157" s="100" t="s">
        <v>4</v>
      </c>
      <c r="D157" s="100" t="s">
        <v>123</v>
      </c>
      <c r="E157" s="100" t="s">
        <v>124</v>
      </c>
      <c r="F157" s="100" t="s">
        <v>125</v>
      </c>
      <c r="G157" s="100" t="s">
        <v>3</v>
      </c>
      <c r="H157" s="100" t="s">
        <v>53</v>
      </c>
      <c r="I157" s="100" t="s">
        <v>54</v>
      </c>
      <c r="J157" s="99" t="s">
        <v>24</v>
      </c>
      <c r="K157" s="99" t="s">
        <v>25</v>
      </c>
      <c r="L157" s="99" t="s">
        <v>55</v>
      </c>
      <c r="M157" s="99" t="s">
        <v>56</v>
      </c>
      <c r="N157" s="99" t="s">
        <v>57</v>
      </c>
      <c r="S157" s="2">
        <v>100</v>
      </c>
      <c r="T157" s="19">
        <f>1000*1.22</f>
        <v>1220</v>
      </c>
    </row>
    <row r="158" spans="2:41" ht="14.1" customHeight="1" x14ac:dyDescent="0.25">
      <c r="B158" s="8">
        <f t="shared" ref="B158:B169" si="70">+B6</f>
        <v>44927</v>
      </c>
      <c r="C158" s="106">
        <f>'[1]BU-4'!$E$35</f>
        <v>0</v>
      </c>
      <c r="D158" s="106">
        <f>'[1]BU-4'!$F$35</f>
        <v>0</v>
      </c>
      <c r="E158" s="106">
        <f>'[1]BU-4'!$G$35</f>
        <v>0</v>
      </c>
      <c r="F158" s="106">
        <f>'[1]BU-4'!$H$35</f>
        <v>31</v>
      </c>
      <c r="G158" s="9"/>
      <c r="H158" s="10"/>
      <c r="I158" s="10"/>
      <c r="J158" s="10"/>
      <c r="K158" s="10"/>
      <c r="L158" s="10"/>
      <c r="M158" s="10"/>
      <c r="N158" s="10"/>
      <c r="S158" s="2">
        <v>15.9</v>
      </c>
      <c r="T158" s="2">
        <f>+T157*S158/100</f>
        <v>193.98</v>
      </c>
    </row>
    <row r="159" spans="2:41" ht="14.1" customHeight="1" x14ac:dyDescent="0.25">
      <c r="B159" s="8">
        <f t="shared" si="70"/>
        <v>44958</v>
      </c>
      <c r="C159" s="106">
        <f>'[3]BU-4'!$E$35</f>
        <v>0.54166666666666663</v>
      </c>
      <c r="D159" s="106">
        <f>'[3]BU-4'!$F$35</f>
        <v>0</v>
      </c>
      <c r="E159" s="106">
        <f>'[3]BU-4'!$G$35</f>
        <v>0</v>
      </c>
      <c r="F159" s="106">
        <f>'[3]BU-4'!$H$35</f>
        <v>27.458333333333332</v>
      </c>
      <c r="G159" s="10"/>
      <c r="H159" s="10"/>
      <c r="I159" s="10"/>
      <c r="J159" s="10"/>
      <c r="K159" s="10"/>
      <c r="L159" s="10"/>
      <c r="M159" s="10"/>
      <c r="N159" s="10"/>
      <c r="O159" s="13"/>
      <c r="T159" s="77">
        <f>+J152-T158</f>
        <v>-193.98</v>
      </c>
    </row>
    <row r="160" spans="2:41" ht="14.1" customHeight="1" x14ac:dyDescent="0.25">
      <c r="B160" s="8">
        <f t="shared" si="70"/>
        <v>44986</v>
      </c>
      <c r="C160" s="106"/>
      <c r="D160" s="106"/>
      <c r="E160" s="106"/>
      <c r="F160" s="106"/>
      <c r="G160" s="10"/>
      <c r="H160" s="10"/>
      <c r="I160" s="10"/>
      <c r="J160" s="10"/>
      <c r="K160" s="10"/>
      <c r="L160" s="10"/>
      <c r="M160" s="10"/>
      <c r="N160" s="10"/>
    </row>
    <row r="161" spans="2:14" ht="14.1" customHeight="1" x14ac:dyDescent="0.25">
      <c r="B161" s="8">
        <f t="shared" si="70"/>
        <v>45017</v>
      </c>
      <c r="C161" s="106"/>
      <c r="D161" s="106"/>
      <c r="E161" s="106"/>
      <c r="F161" s="106"/>
      <c r="G161" s="10"/>
      <c r="H161" s="10"/>
      <c r="I161" s="10"/>
      <c r="J161" s="10"/>
      <c r="K161" s="10"/>
      <c r="L161" s="10"/>
      <c r="M161" s="10"/>
      <c r="N161" s="10"/>
    </row>
    <row r="162" spans="2:14" ht="14.1" customHeight="1" x14ac:dyDescent="0.25">
      <c r="B162" s="8">
        <f t="shared" si="70"/>
        <v>45047</v>
      </c>
      <c r="C162" s="106"/>
      <c r="D162" s="106"/>
      <c r="E162" s="106"/>
      <c r="F162" s="106"/>
      <c r="G162" s="10"/>
      <c r="H162" s="10"/>
      <c r="I162" s="10"/>
      <c r="J162" s="10"/>
      <c r="K162" s="10"/>
      <c r="L162" s="10"/>
      <c r="M162" s="10"/>
      <c r="N162" s="10"/>
    </row>
    <row r="163" spans="2:14" ht="14.1" customHeight="1" x14ac:dyDescent="0.25">
      <c r="B163" s="8">
        <f t="shared" si="70"/>
        <v>45078</v>
      </c>
      <c r="C163" s="106"/>
      <c r="D163" s="106"/>
      <c r="E163" s="106"/>
      <c r="F163" s="106"/>
      <c r="G163" s="10"/>
      <c r="H163" s="10"/>
      <c r="I163" s="10"/>
      <c r="J163" s="10"/>
      <c r="K163" s="10"/>
      <c r="L163" s="10"/>
      <c r="M163" s="10"/>
      <c r="N163" s="10"/>
    </row>
    <row r="164" spans="2:14" ht="14.1" customHeight="1" x14ac:dyDescent="0.25">
      <c r="B164" s="8">
        <f t="shared" si="70"/>
        <v>45108</v>
      </c>
      <c r="C164" s="106"/>
      <c r="D164" s="106"/>
      <c r="E164" s="106"/>
      <c r="F164" s="106"/>
      <c r="G164" s="10"/>
      <c r="H164" s="10"/>
      <c r="I164" s="10"/>
      <c r="J164" s="10"/>
      <c r="K164" s="10"/>
      <c r="L164" s="10"/>
      <c r="M164" s="10"/>
      <c r="N164" s="10"/>
    </row>
    <row r="165" spans="2:14" ht="14.1" customHeight="1" x14ac:dyDescent="0.25">
      <c r="B165" s="8">
        <f t="shared" si="70"/>
        <v>45139</v>
      </c>
      <c r="C165" s="106"/>
      <c r="D165" s="106"/>
      <c r="E165" s="106"/>
      <c r="F165" s="106"/>
      <c r="G165" s="10"/>
      <c r="H165" s="10"/>
      <c r="I165" s="10"/>
      <c r="J165" s="10"/>
      <c r="K165" s="10"/>
      <c r="L165" s="10"/>
      <c r="M165" s="10"/>
      <c r="N165" s="10"/>
    </row>
    <row r="166" spans="2:14" ht="14.1" customHeight="1" x14ac:dyDescent="0.25">
      <c r="B166" s="8">
        <f t="shared" si="70"/>
        <v>45170</v>
      </c>
      <c r="C166" s="106"/>
      <c r="D166" s="106"/>
      <c r="E166" s="106"/>
      <c r="F166" s="106"/>
      <c r="G166" s="10"/>
      <c r="H166" s="10"/>
      <c r="I166" s="10"/>
      <c r="J166" s="10"/>
      <c r="K166" s="10"/>
      <c r="L166" s="10"/>
      <c r="M166" s="10"/>
      <c r="N166" s="10"/>
    </row>
    <row r="167" spans="2:14" ht="14.1" customHeight="1" x14ac:dyDescent="0.25">
      <c r="B167" s="8">
        <f t="shared" si="70"/>
        <v>45200</v>
      </c>
      <c r="C167" s="106"/>
      <c r="D167" s="106"/>
      <c r="E167" s="106"/>
      <c r="F167" s="106"/>
      <c r="G167" s="10"/>
      <c r="H167" s="10"/>
      <c r="I167" s="10"/>
      <c r="J167" s="10"/>
      <c r="K167" s="10"/>
      <c r="L167" s="10"/>
      <c r="M167" s="10"/>
      <c r="N167" s="10"/>
    </row>
    <row r="168" spans="2:14" ht="14.1" customHeight="1" x14ac:dyDescent="0.25">
      <c r="B168" s="8">
        <f t="shared" si="70"/>
        <v>45231</v>
      </c>
      <c r="C168" s="106"/>
      <c r="D168" s="106"/>
      <c r="E168" s="106"/>
      <c r="F168" s="106"/>
      <c r="G168" s="10"/>
      <c r="H168" s="10"/>
      <c r="I168" s="10"/>
      <c r="J168" s="10"/>
      <c r="K168" s="10"/>
      <c r="L168" s="10"/>
      <c r="M168" s="10"/>
      <c r="N168" s="10"/>
    </row>
    <row r="169" spans="2:14" ht="14.1" customHeight="1" x14ac:dyDescent="0.25">
      <c r="B169" s="8">
        <f t="shared" si="70"/>
        <v>45261</v>
      </c>
      <c r="C169" s="106"/>
      <c r="D169" s="106"/>
      <c r="E169" s="106"/>
      <c r="F169" s="106"/>
      <c r="G169" s="10"/>
      <c r="H169" s="10"/>
      <c r="I169" s="10"/>
      <c r="J169" s="10"/>
      <c r="K169" s="10"/>
      <c r="L169" s="10"/>
      <c r="M169" s="10"/>
      <c r="N169" s="10"/>
    </row>
    <row r="170" spans="2:14" ht="14.1" customHeight="1" x14ac:dyDescent="0.25">
      <c r="B170" s="8" t="s">
        <v>5</v>
      </c>
      <c r="C170" s="107">
        <f>SUM(C158:C169)</f>
        <v>0.54166666666666663</v>
      </c>
      <c r="D170" s="107">
        <f t="shared" ref="D170:K170" si="71">SUM(G158:G169)</f>
        <v>0</v>
      </c>
      <c r="E170" s="107">
        <f t="shared" si="71"/>
        <v>0</v>
      </c>
      <c r="F170" s="107">
        <f t="shared" si="71"/>
        <v>0</v>
      </c>
      <c r="G170" s="12">
        <f t="shared" si="71"/>
        <v>0</v>
      </c>
      <c r="H170" s="12">
        <f t="shared" si="71"/>
        <v>0</v>
      </c>
      <c r="I170" s="12">
        <f t="shared" si="71"/>
        <v>0</v>
      </c>
      <c r="J170" s="12">
        <f t="shared" si="71"/>
        <v>0</v>
      </c>
      <c r="K170" s="12">
        <f t="shared" si="71"/>
        <v>0</v>
      </c>
    </row>
    <row r="171" spans="2:14" ht="9.9499999999999993" customHeight="1" x14ac:dyDescent="0.25"/>
  </sheetData>
  <mergeCells count="57">
    <mergeCell ref="AN140:AN141"/>
    <mergeCell ref="AO140:AO141"/>
    <mergeCell ref="B156:B157"/>
    <mergeCell ref="AH140:AH141"/>
    <mergeCell ref="AI140:AI141"/>
    <mergeCell ref="AJ140:AJ141"/>
    <mergeCell ref="AK140:AK141"/>
    <mergeCell ref="AL140:AL141"/>
    <mergeCell ref="AM140:AM141"/>
    <mergeCell ref="B140:B141"/>
    <mergeCell ref="AC140:AC141"/>
    <mergeCell ref="AE140:AE141"/>
    <mergeCell ref="AF140:AF141"/>
    <mergeCell ref="AG140:AG141"/>
    <mergeCell ref="AJ73:AK73"/>
    <mergeCell ref="B90:B91"/>
    <mergeCell ref="C90:H90"/>
    <mergeCell ref="B108:B109"/>
    <mergeCell ref="B124:B125"/>
    <mergeCell ref="Y71:AG71"/>
    <mergeCell ref="B73:B74"/>
    <mergeCell ref="C73:G73"/>
    <mergeCell ref="H73:M73"/>
    <mergeCell ref="N73:S73"/>
    <mergeCell ref="AA73:AC73"/>
    <mergeCell ref="AD73:AE73"/>
    <mergeCell ref="AG73:AH73"/>
    <mergeCell ref="AO4:AO5"/>
    <mergeCell ref="AP4:AP5"/>
    <mergeCell ref="B39:B40"/>
    <mergeCell ref="I39:M39"/>
    <mergeCell ref="B56:B57"/>
    <mergeCell ref="G56:J56"/>
    <mergeCell ref="L56:L57"/>
    <mergeCell ref="M56:P56"/>
    <mergeCell ref="Q56:V56"/>
    <mergeCell ref="B21:B23"/>
    <mergeCell ref="C21:C23"/>
    <mergeCell ref="G21:L21"/>
    <mergeCell ref="G22:I22"/>
    <mergeCell ref="J22:L22"/>
    <mergeCell ref="E3:T3"/>
    <mergeCell ref="AE3:AK3"/>
    <mergeCell ref="AO3:AR3"/>
    <mergeCell ref="B4:B5"/>
    <mergeCell ref="C4:C5"/>
    <mergeCell ref="D4:D5"/>
    <mergeCell ref="E4:H4"/>
    <mergeCell ref="I4:L4"/>
    <mergeCell ref="M4:P4"/>
    <mergeCell ref="Q4:T4"/>
    <mergeCell ref="AQ4:AQ5"/>
    <mergeCell ref="AR4:AR5"/>
    <mergeCell ref="AE4:AE5"/>
    <mergeCell ref="AF4:AF5"/>
    <mergeCell ref="AG4:AG5"/>
    <mergeCell ref="AH4:AK4"/>
  </mergeCells>
  <printOptions horizontalCentered="1"/>
  <pageMargins left="0" right="0" top="0.19685039370078741" bottom="0.19685039370078741" header="0.51181102362204722" footer="0.51181102362204722"/>
  <pageSetup paperSize="9" scale="84" fitToHeight="4" orientation="landscape" r:id="rId1"/>
  <headerFooter alignWithMargins="0"/>
  <rowBreaks count="3" manualBreakCount="3">
    <brk id="37" min="1" max="21" man="1"/>
    <brk id="71" min="1" max="21" man="1"/>
    <brk id="104" min="1" max="21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5"/>
  </sheetPr>
  <dimension ref="B2:AR171"/>
  <sheetViews>
    <sheetView showGridLines="0" topLeftCell="S1" zoomScaleNormal="100" workbookViewId="0">
      <selection activeCell="H121" sqref="H121"/>
    </sheetView>
  </sheetViews>
  <sheetFormatPr baseColWidth="10" defaultColWidth="8.625" defaultRowHeight="12" x14ac:dyDescent="0.25"/>
  <cols>
    <col min="1" max="1" width="8.625" style="2"/>
    <col min="2" max="2" width="6.625" style="2" customWidth="1"/>
    <col min="3" max="3" width="8.625" style="2" customWidth="1"/>
    <col min="4" max="4" width="7.875" style="2" customWidth="1"/>
    <col min="5" max="5" width="8.875" style="2" customWidth="1"/>
    <col min="6" max="6" width="8" style="2" customWidth="1"/>
    <col min="7" max="7" width="7.75" style="2" customWidth="1"/>
    <col min="8" max="8" width="7.625" style="2" customWidth="1"/>
    <col min="9" max="9" width="10.25" style="2" customWidth="1"/>
    <col min="10" max="10" width="8.75" style="2" customWidth="1"/>
    <col min="11" max="13" width="7.625" style="2" customWidth="1"/>
    <col min="14" max="14" width="7.75" style="2" customWidth="1"/>
    <col min="15" max="15" width="7.625" style="2" customWidth="1"/>
    <col min="16" max="16" width="8.375" style="2" customWidth="1"/>
    <col min="17" max="21" width="6.625" style="2" customWidth="1"/>
    <col min="22" max="23" width="7.625" style="2" customWidth="1"/>
    <col min="24" max="24" width="7.875" style="2" customWidth="1"/>
    <col min="25" max="30" width="6.625" style="2" customWidth="1"/>
    <col min="31" max="31" width="6.375" style="2" customWidth="1"/>
    <col min="32" max="32" width="6.5" style="2" customWidth="1"/>
    <col min="33" max="33" width="4.875" style="2" customWidth="1"/>
    <col min="34" max="40" width="8.625" style="2" customWidth="1"/>
    <col min="41" max="41" width="9" style="2" customWidth="1"/>
    <col min="42" max="50" width="8.625" style="2" customWidth="1"/>
    <col min="51" max="51" width="7.5" style="2" customWidth="1"/>
    <col min="52" max="52" width="6.625" style="2" customWidth="1"/>
    <col min="53" max="54" width="5.625" style="2" customWidth="1"/>
    <col min="55" max="57" width="5.125" style="2" customWidth="1"/>
    <col min="58" max="71" width="5.625" style="2" customWidth="1"/>
    <col min="72" max="73" width="5.125" style="2" customWidth="1"/>
    <col min="74" max="74" width="5.625" style="2" customWidth="1"/>
    <col min="75" max="16384" width="8.625" style="2"/>
  </cols>
  <sheetData>
    <row r="2" spans="2:44" ht="15.75" x14ac:dyDescent="0.25">
      <c r="B2" s="88" t="s">
        <v>0</v>
      </c>
      <c r="C2" s="87"/>
      <c r="Q2" s="2">
        <v>725.34</v>
      </c>
      <c r="R2" s="2">
        <v>990.31</v>
      </c>
      <c r="S2" s="2">
        <v>1387.92</v>
      </c>
      <c r="V2" s="111" t="s">
        <v>126</v>
      </c>
    </row>
    <row r="3" spans="2:44" ht="15.75" x14ac:dyDescent="0.25">
      <c r="E3" s="116" t="s">
        <v>60</v>
      </c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  <c r="U3"/>
      <c r="AE3" s="117" t="s">
        <v>111</v>
      </c>
      <c r="AF3" s="117"/>
      <c r="AG3" s="117"/>
      <c r="AH3" s="117"/>
      <c r="AI3" s="117"/>
      <c r="AJ3" s="117"/>
      <c r="AK3" s="117"/>
      <c r="AL3" s="81"/>
      <c r="AM3" s="81"/>
      <c r="AO3" s="118" t="s">
        <v>112</v>
      </c>
      <c r="AP3" s="118"/>
      <c r="AQ3" s="118"/>
      <c r="AR3" s="118"/>
    </row>
    <row r="4" spans="2:44" ht="22.5" customHeight="1" x14ac:dyDescent="0.25">
      <c r="B4" s="116" t="s">
        <v>1</v>
      </c>
      <c r="C4" s="119" t="s">
        <v>115</v>
      </c>
      <c r="D4" s="119" t="s">
        <v>63</v>
      </c>
      <c r="E4" s="120" t="s">
        <v>120</v>
      </c>
      <c r="F4" s="121"/>
      <c r="G4" s="121"/>
      <c r="H4" s="122"/>
      <c r="I4" s="120" t="s">
        <v>121</v>
      </c>
      <c r="J4" s="121"/>
      <c r="K4" s="121"/>
      <c r="L4" s="122"/>
      <c r="M4" s="120" t="s">
        <v>58</v>
      </c>
      <c r="N4" s="121"/>
      <c r="O4" s="121"/>
      <c r="P4" s="122"/>
      <c r="Q4" s="123" t="s">
        <v>122</v>
      </c>
      <c r="R4" s="124"/>
      <c r="S4" s="124"/>
      <c r="T4" s="125"/>
      <c r="U4"/>
      <c r="AE4" s="116" t="s">
        <v>1</v>
      </c>
      <c r="AF4" s="119" t="s">
        <v>116</v>
      </c>
      <c r="AG4" s="119" t="s">
        <v>63</v>
      </c>
      <c r="AH4" s="116" t="s">
        <v>60</v>
      </c>
      <c r="AI4" s="116"/>
      <c r="AJ4" s="116"/>
      <c r="AK4" s="116"/>
      <c r="AL4" s="82"/>
      <c r="AM4" s="82"/>
      <c r="AO4" s="126" t="s">
        <v>62</v>
      </c>
      <c r="AP4" s="126" t="s">
        <v>63</v>
      </c>
      <c r="AQ4" s="126" t="s">
        <v>113</v>
      </c>
      <c r="AR4" s="126" t="s">
        <v>114</v>
      </c>
    </row>
    <row r="5" spans="2:44" ht="30" customHeight="1" x14ac:dyDescent="0.25">
      <c r="B5" s="116"/>
      <c r="C5" s="116"/>
      <c r="D5" s="116"/>
      <c r="E5" s="84" t="s">
        <v>117</v>
      </c>
      <c r="F5" s="84" t="s">
        <v>118</v>
      </c>
      <c r="G5" s="84" t="s">
        <v>119</v>
      </c>
      <c r="H5" s="7" t="s">
        <v>5</v>
      </c>
      <c r="I5" s="84" t="s">
        <v>117</v>
      </c>
      <c r="J5" s="84" t="s">
        <v>118</v>
      </c>
      <c r="K5" s="84" t="s">
        <v>119</v>
      </c>
      <c r="L5" s="84" t="s">
        <v>5</v>
      </c>
      <c r="M5" s="84" t="s">
        <v>117</v>
      </c>
      <c r="N5" s="84" t="s">
        <v>118</v>
      </c>
      <c r="O5" s="84" t="s">
        <v>119</v>
      </c>
      <c r="P5" s="84" t="s">
        <v>5</v>
      </c>
      <c r="Q5" s="84" t="s">
        <v>117</v>
      </c>
      <c r="R5" s="84" t="s">
        <v>118</v>
      </c>
      <c r="S5" s="84" t="s">
        <v>119</v>
      </c>
      <c r="T5" s="7" t="s">
        <v>59</v>
      </c>
      <c r="U5"/>
      <c r="V5" s="110"/>
      <c r="W5" s="109" t="s">
        <v>117</v>
      </c>
      <c r="X5" s="109" t="s">
        <v>118</v>
      </c>
      <c r="Y5" s="109" t="s">
        <v>119</v>
      </c>
      <c r="Z5" s="109" t="s">
        <v>59</v>
      </c>
      <c r="AE5" s="116"/>
      <c r="AF5" s="116"/>
      <c r="AG5" s="116"/>
      <c r="AH5" s="78" t="s">
        <v>64</v>
      </c>
      <c r="AI5" s="78" t="s">
        <v>65</v>
      </c>
      <c r="AJ5" s="78" t="s">
        <v>58</v>
      </c>
      <c r="AK5" s="78" t="s">
        <v>59</v>
      </c>
      <c r="AL5" s="75"/>
      <c r="AM5" s="75"/>
      <c r="AO5" s="127"/>
      <c r="AP5" s="127"/>
      <c r="AQ5" s="126"/>
      <c r="AR5" s="126"/>
    </row>
    <row r="6" spans="2:44" ht="15.95" customHeight="1" x14ac:dyDescent="0.25">
      <c r="B6" s="8">
        <v>44562</v>
      </c>
      <c r="C6" s="10">
        <f>+'[5]BU-2'!$E$10</f>
        <v>9124</v>
      </c>
      <c r="D6" s="10">
        <f>+'[5]BU-3'!$F$11</f>
        <v>3821.5619999999999</v>
      </c>
      <c r="E6" s="95">
        <f>+'[6]PMP-PR'!$J$16</f>
        <v>310.86637650132525</v>
      </c>
      <c r="F6" s="95">
        <f>+'[6]PMP-PR'!$J$17</f>
        <v>349.26620791842208</v>
      </c>
      <c r="G6" s="95">
        <f>'[6]PMP-PR'!$J$18</f>
        <v>190.25516279810014</v>
      </c>
      <c r="H6" s="96">
        <f>+'[5]BU-2'!$E$28</f>
        <v>850.3877472178475</v>
      </c>
      <c r="I6" s="9">
        <f>'[6]PMP-PR'!$J$12</f>
        <v>1753.1336234986748</v>
      </c>
      <c r="J6" s="9">
        <f>'[6]PMP-PR'!$J$13</f>
        <v>2133.7025420815776</v>
      </c>
      <c r="K6" s="9">
        <f>'[6]PMP-PR'!$J$14</f>
        <v>984.21358720189994</v>
      </c>
      <c r="L6" s="96">
        <f>+'[5]BU-2'!$E$29</f>
        <v>4871.0497527821517</v>
      </c>
      <c r="M6" s="86">
        <f>+I6+E6</f>
        <v>2064</v>
      </c>
      <c r="N6" s="86">
        <f>+J6+F6</f>
        <v>2482.9687499999995</v>
      </c>
      <c r="O6" s="86">
        <f>+K6+G6</f>
        <v>1174.46875</v>
      </c>
      <c r="P6" s="85">
        <f>+L6+H6</f>
        <v>5721.4374999999991</v>
      </c>
      <c r="Q6" s="23">
        <f>+'[6]PMP-PR'!$J$8</f>
        <v>170</v>
      </c>
      <c r="R6" s="23">
        <f>+'[6]PMP-PR'!$J$9</f>
        <v>170</v>
      </c>
      <c r="S6" s="23">
        <f>+'[6]PMP-PR'!$J$10</f>
        <v>79</v>
      </c>
      <c r="T6" s="85">
        <f>+'[5]BU-2'!$E$27</f>
        <v>419</v>
      </c>
      <c r="U6" s="52">
        <f t="shared" ref="U6:U17" si="0">+C6+T6-D6-P6</f>
        <v>5.0000000101135811E-4</v>
      </c>
      <c r="V6" s="111" t="s">
        <v>128</v>
      </c>
      <c r="W6" s="110">
        <v>725.34</v>
      </c>
      <c r="X6" s="110">
        <v>990.31</v>
      </c>
      <c r="Y6" s="110">
        <v>1387.92</v>
      </c>
      <c r="Z6" s="112">
        <f>+Y6+X6+W6</f>
        <v>3103.57</v>
      </c>
      <c r="AA6" s="13"/>
      <c r="AB6" s="13"/>
      <c r="AD6"/>
      <c r="AE6" s="8">
        <v>44562</v>
      </c>
      <c r="AF6" s="10">
        <v>8526</v>
      </c>
      <c r="AG6" s="10">
        <v>7428.6999090909103</v>
      </c>
      <c r="AH6" s="10"/>
      <c r="AI6" s="10"/>
      <c r="AJ6" s="31">
        <v>5326.8484923050573</v>
      </c>
      <c r="AK6" s="10">
        <v>850</v>
      </c>
      <c r="AL6" s="76"/>
      <c r="AM6" s="76"/>
      <c r="AN6" s="8">
        <v>44562</v>
      </c>
      <c r="AO6" s="80">
        <f t="shared" ref="AO6:AO18" si="1">+C6/AF6</f>
        <v>1.0701384001876613</v>
      </c>
      <c r="AP6" s="80">
        <f t="shared" ref="AP6:AP18" si="2">+D6/AG6</f>
        <v>0.51443214112382485</v>
      </c>
      <c r="AQ6" s="80">
        <f t="shared" ref="AQ6:AQ18" si="3">+P6/AJ6</f>
        <v>1.0740755079227331</v>
      </c>
      <c r="AR6" s="80">
        <f t="shared" ref="AR6:AR18" si="4">+T6/AK6</f>
        <v>0.49294117647058822</v>
      </c>
    </row>
    <row r="7" spans="2:44" ht="15.95" customHeight="1" x14ac:dyDescent="0.25">
      <c r="B7" s="8">
        <v>44593</v>
      </c>
      <c r="C7" s="10">
        <f>+'[7]BU-2'!$E$10</f>
        <v>8911</v>
      </c>
      <c r="D7" s="10">
        <f>+'[7]BU-3'!$F$11</f>
        <v>4273.1259999999984</v>
      </c>
      <c r="E7" s="95">
        <f>+'[8]PMP-PR'!$J$16</f>
        <v>285.35187428884842</v>
      </c>
      <c r="F7" s="95">
        <f>+'[8]PMP-PR'!$J$17</f>
        <v>307.74405678771285</v>
      </c>
      <c r="G7" s="95">
        <f>'[8]PMP-PR'!$J$18</f>
        <v>152.57547935453854</v>
      </c>
      <c r="H7" s="96">
        <f>+'[7]BU-2'!$E$28</f>
        <v>745.67141043109984</v>
      </c>
      <c r="I7" s="9">
        <f>'[8]PMP-PR'!$J$12</f>
        <v>1720.6481257111516</v>
      </c>
      <c r="J7" s="9">
        <f>'[8]PMP-PR'!$J$13</f>
        <v>1921.2559432122871</v>
      </c>
      <c r="K7" s="9">
        <f>'[8]PMP-PR'!$J$14</f>
        <v>961.5182706454616</v>
      </c>
      <c r="L7" s="96">
        <f>+'[7]BU-2'!$E$29</f>
        <v>4603.4223395689005</v>
      </c>
      <c r="M7" s="86">
        <f t="shared" ref="M7:M17" si="5">+I7+E7</f>
        <v>2006</v>
      </c>
      <c r="N7" s="86">
        <f t="shared" ref="N7:N17" si="6">+J7+F7</f>
        <v>2229</v>
      </c>
      <c r="O7" s="86">
        <f t="shared" ref="O7:O17" si="7">+K7+G7</f>
        <v>1114.0937500000002</v>
      </c>
      <c r="P7" s="85">
        <f t="shared" ref="P7:P17" si="8">+L7+H7</f>
        <v>5349.09375</v>
      </c>
      <c r="Q7" s="23">
        <f>+'[8]PMP-PR'!$J$8</f>
        <v>281</v>
      </c>
      <c r="R7" s="23">
        <f>+'[8]PMP-PR'!$J$9</f>
        <v>302.22000000000116</v>
      </c>
      <c r="S7" s="23">
        <f>+'[8]PMP-PR'!$J$10</f>
        <v>128</v>
      </c>
      <c r="T7" s="85">
        <f>+'[7]BU-2'!$E$27</f>
        <v>711.22</v>
      </c>
      <c r="U7" s="52">
        <f t="shared" si="0"/>
        <v>2.5000000096042641E-4</v>
      </c>
      <c r="V7" s="111" t="s">
        <v>126</v>
      </c>
      <c r="W7" s="112">
        <f>+Q7</f>
        <v>281</v>
      </c>
      <c r="X7" s="112">
        <f>+R7</f>
        <v>302.22000000000116</v>
      </c>
      <c r="Y7" s="112">
        <f>+S7</f>
        <v>128</v>
      </c>
      <c r="Z7" s="112">
        <f>+Y7+X7+W7</f>
        <v>711.22000000000116</v>
      </c>
      <c r="AA7" s="13"/>
      <c r="AB7" s="13"/>
      <c r="AD7"/>
      <c r="AE7" s="8">
        <v>44593</v>
      </c>
      <c r="AF7" s="10">
        <v>9390.0455860208567</v>
      </c>
      <c r="AG7" s="10">
        <v>4258.444363636364</v>
      </c>
      <c r="AH7" s="10"/>
      <c r="AI7" s="10"/>
      <c r="AJ7" s="31">
        <v>6443.5430206721157</v>
      </c>
      <c r="AK7" s="10">
        <v>650</v>
      </c>
      <c r="AL7" s="76"/>
      <c r="AM7" s="76"/>
      <c r="AN7" s="8">
        <v>44593</v>
      </c>
      <c r="AO7" s="79">
        <f t="shared" si="1"/>
        <v>0.94898367833974939</v>
      </c>
      <c r="AP7" s="79">
        <f t="shared" si="2"/>
        <v>1.0034476525016984</v>
      </c>
      <c r="AQ7" s="79">
        <f t="shared" si="3"/>
        <v>0.83014790664686899</v>
      </c>
      <c r="AR7" s="79">
        <f t="shared" si="4"/>
        <v>1.0941846153846155</v>
      </c>
    </row>
    <row r="8" spans="2:44" ht="15.95" customHeight="1" x14ac:dyDescent="0.25">
      <c r="B8" s="8">
        <v>44621</v>
      </c>
      <c r="C8" s="10">
        <f>+'[9]BU-2'!$E$10</f>
        <v>20091</v>
      </c>
      <c r="D8" s="10">
        <f>+'[9]BU-3'!$F$11</f>
        <v>6952.619999999999</v>
      </c>
      <c r="E8" s="95">
        <f>+'[10]PMP-PR'!$J$16</f>
        <v>1087.2550403177117</v>
      </c>
      <c r="F8" s="95">
        <f>+'[10]PMP-PR'!$J$17</f>
        <v>1345.3901653470064</v>
      </c>
      <c r="G8" s="95">
        <f>'[10]PMP-PR'!$J$18</f>
        <v>654.17921326052158</v>
      </c>
      <c r="H8" s="96">
        <f>+'[9]BU-2'!$E$28</f>
        <v>3086.82441892524</v>
      </c>
      <c r="I8" s="9">
        <f>'[10]PMP-PR'!$J$12</f>
        <v>3874.744959682288</v>
      </c>
      <c r="J8" s="9">
        <f>'[10]PMP-PR'!$J$13</f>
        <v>4152.5785846529943</v>
      </c>
      <c r="K8" s="9">
        <f>'[10]PMP-PR'!$J$14</f>
        <v>2186.0864117394781</v>
      </c>
      <c r="L8" s="96">
        <f>+'[9]BU-2'!$E$29</f>
        <v>10213.40995607476</v>
      </c>
      <c r="M8" s="86">
        <f t="shared" si="5"/>
        <v>4962</v>
      </c>
      <c r="N8" s="86">
        <f t="shared" si="6"/>
        <v>5497.9687500000009</v>
      </c>
      <c r="O8" s="86">
        <f t="shared" si="7"/>
        <v>2840.2656249999995</v>
      </c>
      <c r="P8" s="85">
        <f t="shared" si="8"/>
        <v>13300.234375</v>
      </c>
      <c r="Q8" s="23">
        <f>+'[10]PMP-PR'!$J$8</f>
        <v>36</v>
      </c>
      <c r="R8" s="23">
        <f>+'[10]PMP-PR'!$J$9</f>
        <v>103.77999999999884</v>
      </c>
      <c r="S8" s="23">
        <f>+'[10]PMP-PR'!$J$10</f>
        <v>22</v>
      </c>
      <c r="T8" s="85">
        <f>+'[9]BU-2'!$E$27</f>
        <v>161.77999999999884</v>
      </c>
      <c r="U8" s="52">
        <f t="shared" si="0"/>
        <v>-7.4375000000145519E-2</v>
      </c>
      <c r="V8" s="111" t="s">
        <v>127</v>
      </c>
      <c r="W8" s="113">
        <f>+Q7*Q2</f>
        <v>203820.54</v>
      </c>
      <c r="X8" s="113">
        <f>+R7*R2</f>
        <v>299291.48820000113</v>
      </c>
      <c r="Y8" s="113">
        <f>+S7*S2</f>
        <v>177653.76000000001</v>
      </c>
      <c r="Z8" s="113">
        <f>+Y8+X8+W8</f>
        <v>680765.78820000112</v>
      </c>
      <c r="AA8" s="13"/>
      <c r="AB8" s="13"/>
      <c r="AD8"/>
      <c r="AE8" s="8">
        <v>44621</v>
      </c>
      <c r="AF8" s="10">
        <v>19406.094211109768</v>
      </c>
      <c r="AG8" s="10">
        <v>4313.8238181818188</v>
      </c>
      <c r="AH8" s="10"/>
      <c r="AI8" s="10"/>
      <c r="AJ8" s="31">
        <v>12075.874801213824</v>
      </c>
      <c r="AK8" s="10">
        <v>100</v>
      </c>
      <c r="AL8" s="76"/>
      <c r="AM8" s="76"/>
      <c r="AN8" s="8">
        <v>44621</v>
      </c>
      <c r="AO8" s="80">
        <f t="shared" si="1"/>
        <v>1.0352933352502294</v>
      </c>
      <c r="AP8" s="80">
        <f t="shared" si="2"/>
        <v>1.6117069896772869</v>
      </c>
      <c r="AQ8" s="80">
        <f t="shared" si="3"/>
        <v>1.1013888926426356</v>
      </c>
      <c r="AR8" s="80">
        <f t="shared" si="4"/>
        <v>1.6177999999999884</v>
      </c>
    </row>
    <row r="9" spans="2:44" ht="15.95" customHeight="1" x14ac:dyDescent="0.15">
      <c r="B9" s="8">
        <v>44652</v>
      </c>
      <c r="C9" s="10">
        <f>+'[11]BU-2'!$E$10</f>
        <v>19710</v>
      </c>
      <c r="D9" s="10">
        <f>+'[11]BU-3'!$F$11</f>
        <v>6731.125</v>
      </c>
      <c r="E9" s="95">
        <f>+'[12]PMP-PR'!$J$16</f>
        <v>1627.9815484110893</v>
      </c>
      <c r="F9" s="95">
        <f>+'[12]PMP-PR'!$J$17</f>
        <v>2374.0024145644988</v>
      </c>
      <c r="G9" s="95">
        <f>'[12]PMP-PR'!$J$18</f>
        <v>1101.9878667780588</v>
      </c>
      <c r="H9" s="96">
        <f>+'[11]BU-2'!$E$28</f>
        <v>5103.9718297536474</v>
      </c>
      <c r="I9" s="9">
        <f>'[12]PMP-PR'!$J$12</f>
        <v>2769.0184515889105</v>
      </c>
      <c r="J9" s="9">
        <f>'[12]PMP-PR'!$J$13</f>
        <v>3715.3100854355012</v>
      </c>
      <c r="K9" s="9">
        <f>'[12]PMP-PR'!$J$14</f>
        <v>1638.5746332219412</v>
      </c>
      <c r="L9" s="96">
        <f>+'[11]BU-2'!$E$29</f>
        <v>8122.9031702463526</v>
      </c>
      <c r="M9" s="86">
        <f t="shared" si="5"/>
        <v>4397</v>
      </c>
      <c r="N9" s="86">
        <f t="shared" si="6"/>
        <v>6089.3125</v>
      </c>
      <c r="O9" s="86">
        <f t="shared" si="7"/>
        <v>2740.5625</v>
      </c>
      <c r="P9" s="85">
        <f t="shared" si="8"/>
        <v>13226.875</v>
      </c>
      <c r="Q9" s="23">
        <f>+'[12]PMP-PR'!$J$8</f>
        <v>90</v>
      </c>
      <c r="R9" s="23">
        <f>+'[12]PMP-PR'!$J$9</f>
        <v>116</v>
      </c>
      <c r="S9" s="23">
        <f>+'[12]PMP-PR'!$J$10</f>
        <v>42</v>
      </c>
      <c r="T9" s="85">
        <f>+'[11]BU-2'!$E$27</f>
        <v>248</v>
      </c>
      <c r="U9" s="52">
        <f t="shared" si="0"/>
        <v>0</v>
      </c>
      <c r="V9" s="13"/>
      <c r="AA9" s="13"/>
      <c r="AB9" s="13"/>
      <c r="AE9" s="8">
        <v>44652</v>
      </c>
      <c r="AF9" s="10">
        <v>18780.091172041713</v>
      </c>
      <c r="AG9" s="10">
        <v>7086.8805454545454</v>
      </c>
      <c r="AH9" s="10"/>
      <c r="AI9" s="10"/>
      <c r="AJ9" s="31">
        <v>11687.177226981123</v>
      </c>
      <c r="AK9" s="10">
        <v>100</v>
      </c>
      <c r="AL9" s="76"/>
      <c r="AM9" s="76"/>
      <c r="AN9" s="8">
        <v>44652</v>
      </c>
      <c r="AO9" s="79">
        <f t="shared" si="1"/>
        <v>1.0495156716460812</v>
      </c>
      <c r="AP9" s="79">
        <f t="shared" si="2"/>
        <v>0.94980082658755638</v>
      </c>
      <c r="AQ9" s="79">
        <f t="shared" si="3"/>
        <v>1.131742485213993</v>
      </c>
      <c r="AR9" s="79">
        <f t="shared" si="4"/>
        <v>2.48</v>
      </c>
    </row>
    <row r="10" spans="2:44" ht="15.95" customHeight="1" x14ac:dyDescent="0.15">
      <c r="B10" s="8">
        <v>44682</v>
      </c>
      <c r="C10" s="10">
        <f>+'[13]BU-2'!$E$10</f>
        <v>20541</v>
      </c>
      <c r="D10" s="10">
        <f>+'[13]BU-3'!$F$11</f>
        <v>6969.15625</v>
      </c>
      <c r="E10" s="95">
        <f>+'[14]PMP-PR'!$J$16</f>
        <v>1249.9287957426238</v>
      </c>
      <c r="F10" s="95">
        <f>+'[14]PMP-PR'!$J$17</f>
        <v>2110.8035658135827</v>
      </c>
      <c r="G10" s="95">
        <f>'[14]PMP-PR'!$J$18</f>
        <v>832.33873619840847</v>
      </c>
      <c r="H10" s="96">
        <f>+'[13]BU-2'!$E$28</f>
        <v>4193.071097754615</v>
      </c>
      <c r="I10" s="9">
        <f>'[14]PMP-PR'!$J$12</f>
        <v>3223.071204257375</v>
      </c>
      <c r="J10" s="9">
        <f>'[14]PMP-PR'!$J$13</f>
        <v>4154.2901841864177</v>
      </c>
      <c r="K10" s="9">
        <f>'[14]PMP-PR'!$J$14</f>
        <v>2001.4112638015918</v>
      </c>
      <c r="L10" s="96">
        <f>+'[13]BU-2'!$E$29</f>
        <v>9378.772652245385</v>
      </c>
      <c r="M10" s="86">
        <f t="shared" si="5"/>
        <v>4472.9999999999991</v>
      </c>
      <c r="N10" s="86">
        <f t="shared" si="6"/>
        <v>6265.09375</v>
      </c>
      <c r="O10" s="86">
        <f t="shared" si="7"/>
        <v>2833.75</v>
      </c>
      <c r="P10" s="85">
        <f t="shared" si="8"/>
        <v>13571.84375</v>
      </c>
      <c r="Q10" s="23">
        <f>+'[14]PMP-PR'!$J$8</f>
        <v>0</v>
      </c>
      <c r="R10" s="23">
        <f>+'[14]PMP-PR'!$J$9</f>
        <v>0</v>
      </c>
      <c r="S10" s="23">
        <f>+'[14]PMP-PR'!$J$10</f>
        <v>0</v>
      </c>
      <c r="T10" s="85">
        <f>+'[13]BU-2'!$E$27</f>
        <v>0</v>
      </c>
      <c r="U10" s="52">
        <f t="shared" si="0"/>
        <v>0</v>
      </c>
      <c r="V10" s="13"/>
      <c r="W10" s="13"/>
      <c r="X10" s="13"/>
      <c r="Y10" s="13"/>
      <c r="Z10" s="13"/>
      <c r="AA10" s="13"/>
      <c r="AB10" s="13"/>
      <c r="AE10" s="8">
        <v>44682</v>
      </c>
      <c r="AF10" s="10">
        <v>19406.094211109768</v>
      </c>
      <c r="AG10" s="10">
        <v>7328.6999090909094</v>
      </c>
      <c r="AH10" s="10"/>
      <c r="AI10" s="10"/>
      <c r="AJ10" s="31">
        <v>12075.874801213824</v>
      </c>
      <c r="AK10" s="10">
        <v>100</v>
      </c>
      <c r="AL10" s="76"/>
      <c r="AM10" s="76"/>
      <c r="AN10" s="8">
        <v>44682</v>
      </c>
      <c r="AO10" s="80">
        <f t="shared" si="1"/>
        <v>1.0584819271999881</v>
      </c>
      <c r="AP10" s="80">
        <f t="shared" si="2"/>
        <v>0.95094032181002364</v>
      </c>
      <c r="AQ10" s="80">
        <f t="shared" si="3"/>
        <v>1.1238807931857497</v>
      </c>
      <c r="AR10" s="80">
        <f t="shared" si="4"/>
        <v>0</v>
      </c>
    </row>
    <row r="11" spans="2:44" ht="15.95" customHeight="1" x14ac:dyDescent="0.15">
      <c r="B11" s="8">
        <v>44713</v>
      </c>
      <c r="C11" s="10">
        <f>+'[15]BU-2'!$E$10</f>
        <v>19755</v>
      </c>
      <c r="D11" s="10">
        <f>+'[15]BU-3'!$F$11</f>
        <v>6768.5468749999982</v>
      </c>
      <c r="E11" s="95">
        <f>+'[16]PMP-PR'!$J$16</f>
        <v>909.12578937546709</v>
      </c>
      <c r="F11" s="95">
        <f>+'[16]PMP-PR'!$J$17</f>
        <v>1401.7152706489878</v>
      </c>
      <c r="G11" s="95">
        <f>'[16]PMP-PR'!$J$18</f>
        <v>592.23131967495442</v>
      </c>
      <c r="H11" s="96">
        <f>+'[15]BU-2'!$E$28</f>
        <v>2903.0723796994093</v>
      </c>
      <c r="I11" s="9">
        <f>'[16]PMP-PR'!$J$12</f>
        <v>3418.8742106245327</v>
      </c>
      <c r="J11" s="9">
        <f>'[16]PMP-PR'!$J$13</f>
        <v>4581.378479351014</v>
      </c>
      <c r="K11" s="9">
        <f>'[16]PMP-PR'!$J$14</f>
        <v>2124.1280553250454</v>
      </c>
      <c r="L11" s="96">
        <f>+'[15]BU-2'!$E$29</f>
        <v>10124.380745300592</v>
      </c>
      <c r="M11" s="86">
        <f t="shared" si="5"/>
        <v>4328</v>
      </c>
      <c r="N11" s="86">
        <f t="shared" si="6"/>
        <v>5983.0937500000018</v>
      </c>
      <c r="O11" s="86">
        <f t="shared" si="7"/>
        <v>2716.359375</v>
      </c>
      <c r="P11" s="85">
        <f t="shared" si="8"/>
        <v>13027.453125000002</v>
      </c>
      <c r="Q11" s="23">
        <f>+'[16]PMP-PR'!$J$8</f>
        <v>0</v>
      </c>
      <c r="R11" s="23">
        <f>+'[16]PMP-PR'!$J$9</f>
        <v>41</v>
      </c>
      <c r="S11" s="23">
        <f>+'[16]PMP-PR'!$J$10</f>
        <v>0</v>
      </c>
      <c r="T11" s="85">
        <f>+'[15]BU-2'!$E$27</f>
        <v>41</v>
      </c>
      <c r="U11" s="52">
        <f t="shared" si="0"/>
        <v>0</v>
      </c>
      <c r="V11" s="13"/>
      <c r="W11" s="13"/>
      <c r="X11" s="13"/>
      <c r="Y11" s="13"/>
      <c r="Z11" s="13"/>
      <c r="AA11" s="13"/>
      <c r="AB11" s="13"/>
      <c r="AE11" s="8">
        <v>44713</v>
      </c>
      <c r="AF11" s="10">
        <v>18780.091172041713</v>
      </c>
      <c r="AG11" s="10">
        <v>7086.8805454545454</v>
      </c>
      <c r="AH11" s="10"/>
      <c r="AI11" s="10"/>
      <c r="AJ11" s="31">
        <v>11687.177226981123</v>
      </c>
      <c r="AK11" s="10">
        <v>100</v>
      </c>
      <c r="AL11" s="76"/>
      <c r="AM11" s="76"/>
      <c r="AN11" s="8">
        <v>44713</v>
      </c>
      <c r="AO11" s="79">
        <f t="shared" si="1"/>
        <v>1.0519118261475564</v>
      </c>
      <c r="AP11" s="79">
        <f t="shared" si="2"/>
        <v>0.95508127046691604</v>
      </c>
      <c r="AQ11" s="79">
        <f t="shared" si="3"/>
        <v>1.1146791797530635</v>
      </c>
      <c r="AR11" s="79">
        <f t="shared" si="4"/>
        <v>0.41</v>
      </c>
    </row>
    <row r="12" spans="2:44" ht="15.95" customHeight="1" x14ac:dyDescent="0.15">
      <c r="B12" s="8">
        <v>44743</v>
      </c>
      <c r="C12" s="10">
        <f>+'[17]BU-2'!$E$10</f>
        <v>16498</v>
      </c>
      <c r="D12" s="10">
        <f>+'[17]BU-3'!$F$11</f>
        <v>6533.1875</v>
      </c>
      <c r="E12" s="95">
        <f>+'[18]PMP-PR'!$J$16</f>
        <v>1403.6469982941742</v>
      </c>
      <c r="F12" s="95">
        <f>+'[18]PMP-PR'!$J$17</f>
        <v>1975.4283916133172</v>
      </c>
      <c r="G12" s="95">
        <f>'[18]PMP-PR'!$J$18</f>
        <v>908.41498695367954</v>
      </c>
      <c r="H12" s="96">
        <f>+'[17]BU-2'!$E$28</f>
        <v>4287.4903768611712</v>
      </c>
      <c r="I12" s="9">
        <f>'[18]PMP-PR'!$J$12</f>
        <v>1921.3530017058256</v>
      </c>
      <c r="J12" s="9">
        <f>'[18]PMP-PR'!$J$13</f>
        <v>2743.1341083866823</v>
      </c>
      <c r="K12" s="9">
        <f>'[18]PMP-PR'!$J$14</f>
        <v>1249.8350130463207</v>
      </c>
      <c r="L12" s="96">
        <f>+'[17]BU-2'!$E$29</f>
        <v>5914.3221231388288</v>
      </c>
      <c r="M12" s="86">
        <f t="shared" si="5"/>
        <v>3325</v>
      </c>
      <c r="N12" s="86">
        <f t="shared" si="6"/>
        <v>4718.5625</v>
      </c>
      <c r="O12" s="86">
        <f t="shared" si="7"/>
        <v>2158.25</v>
      </c>
      <c r="P12" s="85">
        <f t="shared" si="8"/>
        <v>10201.8125</v>
      </c>
      <c r="Q12" s="23">
        <f>+'[18]PMP-PR'!$J$8</f>
        <v>62</v>
      </c>
      <c r="R12" s="23">
        <f>+'[18]PMP-PR'!$J$9</f>
        <v>155</v>
      </c>
      <c r="S12" s="23">
        <f>+'[18]PMP-PR'!$J$10</f>
        <v>20</v>
      </c>
      <c r="T12" s="85">
        <f>+'[17]BU-2'!$E$27</f>
        <v>237</v>
      </c>
      <c r="U12" s="52">
        <f t="shared" si="0"/>
        <v>0</v>
      </c>
      <c r="V12" s="13"/>
      <c r="W12" s="13"/>
      <c r="X12" s="13"/>
      <c r="Y12" s="13"/>
      <c r="Z12" s="13"/>
      <c r="AA12" s="13"/>
      <c r="AB12" s="13"/>
      <c r="AE12" s="8">
        <v>44743</v>
      </c>
      <c r="AF12" s="10">
        <v>19406.094211109768</v>
      </c>
      <c r="AG12" s="10">
        <v>7328.6999090909094</v>
      </c>
      <c r="AH12" s="10"/>
      <c r="AI12" s="10"/>
      <c r="AJ12" s="31">
        <v>12075.874801213824</v>
      </c>
      <c r="AK12" s="10">
        <v>100</v>
      </c>
      <c r="AL12" s="76"/>
      <c r="AM12" s="76"/>
      <c r="AN12" s="8">
        <v>44743</v>
      </c>
      <c r="AO12" s="80">
        <f t="shared" si="1"/>
        <v>0.85014531108248881</v>
      </c>
      <c r="AP12" s="80">
        <f t="shared" si="2"/>
        <v>0.89145245146357899</v>
      </c>
      <c r="AQ12" s="80">
        <f t="shared" si="3"/>
        <v>0.84480939624966545</v>
      </c>
      <c r="AR12" s="80">
        <f t="shared" si="4"/>
        <v>2.37</v>
      </c>
    </row>
    <row r="13" spans="2:44" ht="15.95" customHeight="1" x14ac:dyDescent="0.15">
      <c r="B13" s="8">
        <v>44774</v>
      </c>
      <c r="C13" s="10">
        <f>+'[19]BU-2'!$E$10</f>
        <v>16274</v>
      </c>
      <c r="D13" s="10">
        <f>+'[19]BU-3'!$F$11</f>
        <v>6639.984375</v>
      </c>
      <c r="E13" s="95">
        <f>+'[20]PMP-PR'!$J$16</f>
        <v>1033.0000739553482</v>
      </c>
      <c r="F13" s="95">
        <f>+'[20]PMP-PR'!$J$17</f>
        <v>1494.3327711431136</v>
      </c>
      <c r="G13" s="95">
        <f>'[20]PMP-PR'!$J$18</f>
        <v>676.32918092799957</v>
      </c>
      <c r="H13" s="96">
        <f>+'[19]BU-2'!$E$28</f>
        <v>3203.6620260264617</v>
      </c>
      <c r="I13" s="9">
        <f>'[20]PMP-PR'!$J$12</f>
        <v>2290.9999260446521</v>
      </c>
      <c r="J13" s="9">
        <f>'[20]PMP-PR'!$J$13</f>
        <v>2934.4484788568861</v>
      </c>
      <c r="K13" s="9">
        <f>'[20]PMP-PR'!$J$14</f>
        <v>1448.9051940720005</v>
      </c>
      <c r="L13" s="96">
        <f>+'[19]BU-2'!$E$29</f>
        <v>6674.3535989735383</v>
      </c>
      <c r="M13" s="86">
        <f t="shared" si="5"/>
        <v>3324</v>
      </c>
      <c r="N13" s="86">
        <f t="shared" si="6"/>
        <v>4428.78125</v>
      </c>
      <c r="O13" s="86">
        <f t="shared" si="7"/>
        <v>2125.234375</v>
      </c>
      <c r="P13" s="85">
        <f t="shared" si="8"/>
        <v>9878.015625</v>
      </c>
      <c r="Q13" s="23">
        <f>+'[20]PMP-PR'!$J$8</f>
        <v>55</v>
      </c>
      <c r="R13" s="23">
        <f>+'[20]PMP-PR'!$J$9</f>
        <v>169</v>
      </c>
      <c r="S13" s="23">
        <f>+'[20]PMP-PR'!$J$10</f>
        <v>20</v>
      </c>
      <c r="T13" s="85">
        <f>+'[19]BU-2'!$E$27</f>
        <v>244</v>
      </c>
      <c r="U13" s="52">
        <f t="shared" si="0"/>
        <v>0</v>
      </c>
      <c r="V13" s="13"/>
      <c r="W13" s="13"/>
      <c r="X13" s="13"/>
      <c r="Y13" s="13"/>
      <c r="Z13" s="13"/>
      <c r="AA13" s="13"/>
      <c r="AB13" s="13"/>
      <c r="AE13" s="8">
        <v>44774</v>
      </c>
      <c r="AF13" s="10">
        <v>19406.094211109768</v>
      </c>
      <c r="AG13" s="10">
        <v>7328.6999090909094</v>
      </c>
      <c r="AH13" s="10"/>
      <c r="AI13" s="10"/>
      <c r="AJ13" s="31">
        <v>12075.874801213824</v>
      </c>
      <c r="AK13" s="10">
        <v>100</v>
      </c>
      <c r="AL13" s="76"/>
      <c r="AM13" s="76"/>
      <c r="AN13" s="8">
        <v>44774</v>
      </c>
      <c r="AO13" s="79">
        <f t="shared" si="1"/>
        <v>0.83860254531194223</v>
      </c>
      <c r="AP13" s="79">
        <f t="shared" si="2"/>
        <v>0.90602486898984769</v>
      </c>
      <c r="AQ13" s="79">
        <f t="shared" si="3"/>
        <v>0.81799586262745094</v>
      </c>
      <c r="AR13" s="79">
        <f t="shared" si="4"/>
        <v>2.44</v>
      </c>
    </row>
    <row r="14" spans="2:44" ht="15.95" customHeight="1" x14ac:dyDescent="0.15">
      <c r="B14" s="8">
        <v>44805</v>
      </c>
      <c r="C14" s="10">
        <f>+'[21]BU-2'!$E$10</f>
        <v>18377</v>
      </c>
      <c r="D14" s="10">
        <f>+'[21]BU-3'!$F$11</f>
        <v>6699.375</v>
      </c>
      <c r="E14" s="95">
        <f>+'[22]PMP-PR'!$J$16</f>
        <v>1090.8143236915371</v>
      </c>
      <c r="F14" s="95">
        <f>+'[22]PMP-PR'!$J$17</f>
        <v>1522.9344888356441</v>
      </c>
      <c r="G14" s="95">
        <f>'[22]PMP-PR'!$J$18</f>
        <v>624.19753166661872</v>
      </c>
      <c r="H14" s="96">
        <f>+'[21]BU-2'!$E$28</f>
        <v>3237.9463441938001</v>
      </c>
      <c r="I14" s="9">
        <f>'[22]PMP-PR'!$J$12</f>
        <v>2743.1856763084625</v>
      </c>
      <c r="J14" s="9">
        <f>'[22]PMP-PR'!$J$13</f>
        <v>3920.2217611643555</v>
      </c>
      <c r="K14" s="9">
        <f>'[22]PMP-PR'!$J$14</f>
        <v>1776.2712183333817</v>
      </c>
      <c r="L14" s="96">
        <f>+'[21]BU-2'!$E$29</f>
        <v>8439.6786558061995</v>
      </c>
      <c r="M14" s="86">
        <f t="shared" si="5"/>
        <v>3833.9999999999995</v>
      </c>
      <c r="N14" s="86">
        <f t="shared" si="6"/>
        <v>5443.15625</v>
      </c>
      <c r="O14" s="86">
        <f t="shared" si="7"/>
        <v>2400.4687500000005</v>
      </c>
      <c r="P14" s="85">
        <f t="shared" si="8"/>
        <v>11677.625</v>
      </c>
      <c r="Q14" s="23">
        <f>+'[22]PMP-PR'!$J$8</f>
        <v>0</v>
      </c>
      <c r="R14" s="23">
        <f>+'[22]PMP-PR'!$J$9</f>
        <v>0</v>
      </c>
      <c r="S14" s="23">
        <f>+'[22]PMP-PR'!$J$10</f>
        <v>0</v>
      </c>
      <c r="T14" s="85">
        <f>+'[21]BU-2'!$E$27</f>
        <v>0</v>
      </c>
      <c r="U14" s="52">
        <f t="shared" si="0"/>
        <v>0</v>
      </c>
      <c r="V14" s="13"/>
      <c r="W14" s="13"/>
      <c r="X14" s="13"/>
      <c r="Y14" s="13"/>
      <c r="Z14" s="13"/>
      <c r="AA14" s="13"/>
      <c r="AB14" s="13"/>
      <c r="AE14" s="8">
        <v>44805</v>
      </c>
      <c r="AF14" s="10">
        <v>18780.091172041713</v>
      </c>
      <c r="AG14" s="10">
        <v>7086.8805454545454</v>
      </c>
      <c r="AH14" s="10"/>
      <c r="AI14" s="10"/>
      <c r="AJ14" s="31">
        <v>11687.177226981123</v>
      </c>
      <c r="AK14" s="10">
        <v>100</v>
      </c>
      <c r="AL14" s="76"/>
      <c r="AM14" s="76"/>
      <c r="AN14" s="8">
        <v>44805</v>
      </c>
      <c r="AO14" s="80">
        <f t="shared" si="1"/>
        <v>0.97853625052460858</v>
      </c>
      <c r="AP14" s="80">
        <f t="shared" si="2"/>
        <v>0.94532071720849198</v>
      </c>
      <c r="AQ14" s="80">
        <f t="shared" si="3"/>
        <v>0.99918267458466614</v>
      </c>
      <c r="AR14" s="80">
        <f t="shared" si="4"/>
        <v>0</v>
      </c>
    </row>
    <row r="15" spans="2:44" ht="15.95" customHeight="1" x14ac:dyDescent="0.15">
      <c r="B15" s="8">
        <v>44835</v>
      </c>
      <c r="C15" s="10">
        <f>+'[23]BU-2'!$E$10</f>
        <v>19019</v>
      </c>
      <c r="D15" s="10">
        <f>+'[23]BU-3'!$F$11</f>
        <v>6877.5629999999983</v>
      </c>
      <c r="E15" s="95">
        <f>+'[24]PMP-PR'!$J$16</f>
        <v>1215.547</v>
      </c>
      <c r="F15" s="95">
        <f>+'[24]PMP-PR'!$J$17</f>
        <v>1404.1880000000001</v>
      </c>
      <c r="G15" s="95">
        <f>'[24]PMP-PR'!$J$18</f>
        <v>622.99199999999996</v>
      </c>
      <c r="H15" s="96">
        <f>+'[23]BU-2'!$E$28</f>
        <v>3242.7269999999999</v>
      </c>
      <c r="I15" s="9">
        <f>'[24]PMP-PR'!$J$12</f>
        <v>3274.453</v>
      </c>
      <c r="J15" s="9">
        <f>'[24]PMP-PR'!$J$13</f>
        <v>3718.28</v>
      </c>
      <c r="K15" s="9">
        <f>'[24]PMP-PR'!$J$14</f>
        <v>1905.9770000000001</v>
      </c>
      <c r="L15" s="96">
        <f>+'[23]BU-2'!$E$29</f>
        <v>8898.7100000000009</v>
      </c>
      <c r="M15" s="86">
        <f>+I15+E15</f>
        <v>4490</v>
      </c>
      <c r="N15" s="86">
        <f>+J15+F15</f>
        <v>5122.4680000000008</v>
      </c>
      <c r="O15" s="86">
        <f>+K15+G15</f>
        <v>2528.9690000000001</v>
      </c>
      <c r="P15" s="85">
        <f>+L15+H15</f>
        <v>12141.437000000002</v>
      </c>
      <c r="Q15" s="23">
        <f>+'[24]PMP-PR'!$J$8</f>
        <v>0</v>
      </c>
      <c r="R15" s="23">
        <f>+'[24]PMP-PR'!$J$9</f>
        <v>0</v>
      </c>
      <c r="S15" s="23">
        <f>+'[24]PMP-PR'!$J$10</f>
        <v>0</v>
      </c>
      <c r="T15" s="85">
        <f>+'[23]BU-2'!$E$27</f>
        <v>0</v>
      </c>
      <c r="U15" s="52">
        <f t="shared" si="0"/>
        <v>0</v>
      </c>
      <c r="V15" s="13"/>
      <c r="W15" s="13"/>
      <c r="X15" s="13"/>
      <c r="Y15" s="13"/>
      <c r="Z15" s="13"/>
      <c r="AA15" s="13"/>
      <c r="AB15" s="13"/>
      <c r="AE15" s="8">
        <v>44835</v>
      </c>
      <c r="AF15" s="10">
        <v>19406.094211109768</v>
      </c>
      <c r="AG15" s="10">
        <v>7328.6999090909094</v>
      </c>
      <c r="AH15" s="10"/>
      <c r="AI15" s="10"/>
      <c r="AJ15" s="31">
        <v>12075.874801213824</v>
      </c>
      <c r="AK15" s="12">
        <v>100</v>
      </c>
      <c r="AL15" s="39"/>
      <c r="AM15" s="39"/>
      <c r="AN15" s="8">
        <v>44835</v>
      </c>
      <c r="AO15" s="79">
        <f t="shared" si="1"/>
        <v>0.98005295620547073</v>
      </c>
      <c r="AP15" s="79">
        <f t="shared" si="2"/>
        <v>0.93844243662763471</v>
      </c>
      <c r="AQ15" s="79">
        <f t="shared" si="3"/>
        <v>1.0054291883499478</v>
      </c>
      <c r="AR15" s="79">
        <f t="shared" si="4"/>
        <v>0</v>
      </c>
    </row>
    <row r="16" spans="2:44" ht="15.95" customHeight="1" x14ac:dyDescent="0.15">
      <c r="B16" s="8">
        <v>44866</v>
      </c>
      <c r="C16" s="10">
        <f>+'[25]BU-2'!$E$10</f>
        <v>16460</v>
      </c>
      <c r="D16" s="10">
        <f>+'[25]BU-3'!$F$11</f>
        <v>6462.25</v>
      </c>
      <c r="E16" s="95">
        <f>+'[26]PMP-PR'!$J$16</f>
        <v>1470.382622244736</v>
      </c>
      <c r="F16" s="95">
        <f>+'[26]PMP-PR'!$J$17</f>
        <v>1719.1370073562161</v>
      </c>
      <c r="G16" s="95">
        <f>'[26]PMP-PR'!$J$18</f>
        <v>780.51524699938579</v>
      </c>
      <c r="H16" s="96">
        <f>+'[25]BU-2'!$E$28</f>
        <v>3970.0348766003381</v>
      </c>
      <c r="I16" s="9">
        <f>'[26]PMP-PR'!$J$12</f>
        <v>2211.6173777552635</v>
      </c>
      <c r="J16" s="9">
        <f>'[26]PMP-PR'!$J$13</f>
        <v>2566.7067426437848</v>
      </c>
      <c r="K16" s="9">
        <f>'[26]PMP-PR'!$J$14</f>
        <v>1254.3910030006145</v>
      </c>
      <c r="L16" s="96">
        <f>+'[25]BU-2'!$E$29</f>
        <v>6032.7151233996628</v>
      </c>
      <c r="M16" s="86">
        <f t="shared" si="5"/>
        <v>3681.9999999999995</v>
      </c>
      <c r="N16" s="86">
        <f t="shared" si="6"/>
        <v>4285.8437500000009</v>
      </c>
      <c r="O16" s="86">
        <f t="shared" si="7"/>
        <v>2034.9062500000005</v>
      </c>
      <c r="P16" s="85">
        <f t="shared" si="8"/>
        <v>10002.75</v>
      </c>
      <c r="Q16" s="23">
        <f>+'[26]PMP-PR'!$J$8</f>
        <v>0</v>
      </c>
      <c r="R16" s="23">
        <f>+'[26]PMP-PR'!$J$9</f>
        <v>5</v>
      </c>
      <c r="S16" s="23">
        <f>+'[26]PMP-PR'!$J$10</f>
        <v>0</v>
      </c>
      <c r="T16" s="85">
        <f>+'[25]BU-2'!$E$27</f>
        <v>5</v>
      </c>
      <c r="U16" s="52">
        <f t="shared" si="0"/>
        <v>0</v>
      </c>
      <c r="V16" s="13"/>
      <c r="W16" s="13"/>
      <c r="X16" s="13"/>
      <c r="Y16" s="13"/>
      <c r="Z16" s="13"/>
      <c r="AA16" s="13"/>
      <c r="AB16" s="13"/>
      <c r="AE16" s="8">
        <v>44866</v>
      </c>
      <c r="AF16" s="10">
        <v>18780.091172041713</v>
      </c>
      <c r="AG16" s="10">
        <v>7086.8805454545454</v>
      </c>
      <c r="AH16" s="10"/>
      <c r="AI16" s="10"/>
      <c r="AJ16" s="31">
        <v>11687.177226981123</v>
      </c>
      <c r="AK16" s="12">
        <v>100</v>
      </c>
      <c r="AL16" s="39"/>
      <c r="AM16" s="39"/>
      <c r="AN16" s="8">
        <v>44866</v>
      </c>
      <c r="AO16" s="80">
        <f t="shared" si="1"/>
        <v>0.87646006876177052</v>
      </c>
      <c r="AP16" s="80">
        <f t="shared" si="2"/>
        <v>0.91186100267272363</v>
      </c>
      <c r="AQ16" s="80">
        <f t="shared" si="3"/>
        <v>0.85587390400032282</v>
      </c>
      <c r="AR16" s="80">
        <f t="shared" si="4"/>
        <v>0.05</v>
      </c>
    </row>
    <row r="17" spans="2:44" ht="15.95" customHeight="1" x14ac:dyDescent="0.15">
      <c r="B17" s="8">
        <v>44896</v>
      </c>
      <c r="C17" s="10">
        <f>+'[27]BU-2'!$E$10</f>
        <v>9319</v>
      </c>
      <c r="D17" s="10">
        <f>+'[27]BU-3'!$F$11</f>
        <v>4641.25</v>
      </c>
      <c r="E17" s="95">
        <f>+'[28]PMP-PR'!$J$16</f>
        <v>792.59822594378522</v>
      </c>
      <c r="F17" s="95">
        <f>+'[28]PMP-PR'!$J$17</f>
        <v>780.05415118310407</v>
      </c>
      <c r="G17" s="95">
        <f>'[28]PMP-PR'!$J$18</f>
        <v>399.81155215461803</v>
      </c>
      <c r="H17" s="96">
        <f>+'[27]BU-2'!$E$28</f>
        <v>1972.4639292815073</v>
      </c>
      <c r="I17" s="9">
        <f>'[28]PMP-PR'!$J$12</f>
        <v>1183.4017740562147</v>
      </c>
      <c r="J17" s="9">
        <f>'[28]PMP-PR'!$J$13</f>
        <v>1335.0395988168962</v>
      </c>
      <c r="K17" s="9">
        <f>'[28]PMP-PR'!$J$14</f>
        <v>689.84469784538203</v>
      </c>
      <c r="L17" s="96">
        <f>+'[27]BU-2'!$E$29</f>
        <v>3208.2860707184927</v>
      </c>
      <c r="M17" s="86">
        <f t="shared" si="5"/>
        <v>1976</v>
      </c>
      <c r="N17" s="86">
        <f t="shared" si="6"/>
        <v>2115.09375</v>
      </c>
      <c r="O17" s="86">
        <f t="shared" si="7"/>
        <v>1089.65625</v>
      </c>
      <c r="P17" s="85">
        <f t="shared" si="8"/>
        <v>5180.75</v>
      </c>
      <c r="Q17" s="23">
        <f>+'[28]PMP-PR'!$J$8</f>
        <v>134</v>
      </c>
      <c r="R17" s="23">
        <f>+'[28]PMP-PR'!$J$9</f>
        <v>279</v>
      </c>
      <c r="S17" s="23">
        <f>+'[28]PMP-PR'!$J$10</f>
        <v>90</v>
      </c>
      <c r="T17" s="85">
        <f>+'[27]BU-2'!$E$27</f>
        <v>503</v>
      </c>
      <c r="U17" s="52">
        <f t="shared" si="0"/>
        <v>0</v>
      </c>
      <c r="V17" s="13"/>
      <c r="W17" s="13"/>
      <c r="X17" s="13"/>
      <c r="Y17" s="13"/>
      <c r="Z17" s="13"/>
      <c r="AA17" s="13"/>
      <c r="AB17" s="13"/>
      <c r="AE17" s="8">
        <v>44896</v>
      </c>
      <c r="AF17" s="10">
        <v>19406.094211109768</v>
      </c>
      <c r="AG17" s="10">
        <v>7328.6999090909094</v>
      </c>
      <c r="AH17" s="10"/>
      <c r="AI17" s="10"/>
      <c r="AJ17" s="31">
        <v>12075.874801213824</v>
      </c>
      <c r="AK17" s="12">
        <v>100</v>
      </c>
      <c r="AL17" s="39"/>
      <c r="AM17" s="39"/>
      <c r="AN17" s="8">
        <v>44896</v>
      </c>
      <c r="AO17" s="79">
        <f t="shared" si="1"/>
        <v>0.48020997417733746</v>
      </c>
      <c r="AP17" s="79">
        <f t="shared" si="2"/>
        <v>0.63329786422865353</v>
      </c>
      <c r="AQ17" s="79">
        <f t="shared" si="3"/>
        <v>0.42901653795543238</v>
      </c>
      <c r="AR17" s="79">
        <f t="shared" si="4"/>
        <v>5.03</v>
      </c>
    </row>
    <row r="18" spans="2:44" ht="15.95" customHeight="1" x14ac:dyDescent="0.25">
      <c r="B18" s="30" t="s">
        <v>5</v>
      </c>
      <c r="C18" s="31">
        <f>SUM(C6:C17)</f>
        <v>194079</v>
      </c>
      <c r="D18" s="31">
        <f>SUM(D6:D17)</f>
        <v>73369.745999999999</v>
      </c>
      <c r="E18" s="85">
        <f t="shared" ref="E18:G18" si="9">SUM(E6:E17)</f>
        <v>12476.498668766648</v>
      </c>
      <c r="F18" s="85">
        <f t="shared" si="9"/>
        <v>16784.996491211605</v>
      </c>
      <c r="G18" s="85">
        <f t="shared" si="9"/>
        <v>7535.8282767668834</v>
      </c>
      <c r="H18" s="85">
        <f>SUM(H6:H17)</f>
        <v>36797.32343674513</v>
      </c>
      <c r="I18" s="85">
        <f t="shared" ref="I18:K18" si="10">SUM(I6:I17)</f>
        <v>30384.501331233358</v>
      </c>
      <c r="J18" s="85">
        <f t="shared" si="10"/>
        <v>37876.346508788396</v>
      </c>
      <c r="K18" s="85">
        <f t="shared" si="10"/>
        <v>18221.156348233118</v>
      </c>
      <c r="L18" s="85">
        <f>SUM(L6:L17)</f>
        <v>86482.004188254854</v>
      </c>
      <c r="M18" s="85">
        <f t="shared" ref="M18:O18" si="11">SUM(M6:M17)</f>
        <v>42861</v>
      </c>
      <c r="N18" s="85">
        <f t="shared" si="11"/>
        <v>54661.343000000001</v>
      </c>
      <c r="O18" s="85">
        <f t="shared" si="11"/>
        <v>25756.984625000001</v>
      </c>
      <c r="P18" s="85">
        <f>SUM(P6:P17)</f>
        <v>123279.32762500001</v>
      </c>
      <c r="Q18" s="85">
        <f t="shared" ref="Q18:S18" si="12">SUM(Q6:Q17)</f>
        <v>828</v>
      </c>
      <c r="R18" s="85">
        <f t="shared" si="12"/>
        <v>1341</v>
      </c>
      <c r="S18" s="85">
        <f t="shared" si="12"/>
        <v>401</v>
      </c>
      <c r="T18" s="85">
        <f>SUM(T6:T17)</f>
        <v>2569.9999999999991</v>
      </c>
      <c r="U18"/>
      <c r="V18" s="13"/>
      <c r="W18" s="13"/>
      <c r="X18" s="13"/>
      <c r="Y18" s="13"/>
      <c r="Z18" s="13"/>
      <c r="AA18" s="13"/>
      <c r="AB18" s="13"/>
      <c r="AE18" s="30" t="s">
        <v>5</v>
      </c>
      <c r="AF18" s="31">
        <f>SUM(AF6:AF17)</f>
        <v>209472.97554084635</v>
      </c>
      <c r="AG18" s="31">
        <v>80991.989818181828</v>
      </c>
      <c r="AH18" s="31">
        <f t="shared" ref="AH18:AK18" si="13">SUM(AH6:AH17)</f>
        <v>0</v>
      </c>
      <c r="AI18" s="31">
        <f t="shared" si="13"/>
        <v>0</v>
      </c>
      <c r="AJ18" s="31">
        <f t="shared" si="13"/>
        <v>130974.3492281846</v>
      </c>
      <c r="AK18" s="31">
        <f t="shared" si="13"/>
        <v>2500</v>
      </c>
      <c r="AL18" s="83"/>
      <c r="AM18" s="83"/>
      <c r="AN18" s="30" t="s">
        <v>5</v>
      </c>
      <c r="AO18" s="80">
        <f t="shared" si="1"/>
        <v>0.92651092342055075</v>
      </c>
      <c r="AP18" s="80">
        <f t="shared" si="2"/>
        <v>0.90588891771528357</v>
      </c>
      <c r="AQ18" s="80">
        <f t="shared" si="3"/>
        <v>0.94124787297260581</v>
      </c>
      <c r="AR18" s="80">
        <f t="shared" si="4"/>
        <v>1.0279999999999996</v>
      </c>
    </row>
    <row r="19" spans="2:44" x14ac:dyDescent="0.25">
      <c r="B19" s="14"/>
    </row>
    <row r="20" spans="2:44" ht="15.95" customHeight="1" x14ac:dyDescent="0.25">
      <c r="B20" s="88" t="s">
        <v>10</v>
      </c>
      <c r="C20" s="89"/>
      <c r="D20" s="89"/>
      <c r="E20" s="89"/>
      <c r="F20" s="89"/>
      <c r="G20" s="89"/>
      <c r="H20" s="89"/>
      <c r="I20" s="89"/>
      <c r="J20" s="89"/>
      <c r="K20" s="89"/>
      <c r="L20" s="89"/>
    </row>
    <row r="21" spans="2:44" ht="15.95" customHeight="1" x14ac:dyDescent="0.25">
      <c r="B21" s="128" t="s">
        <v>1</v>
      </c>
      <c r="C21" s="131" t="s">
        <v>67</v>
      </c>
      <c r="D21" s="45" t="s">
        <v>2</v>
      </c>
      <c r="E21" s="46"/>
      <c r="F21" s="47"/>
      <c r="G21" s="123" t="s">
        <v>69</v>
      </c>
      <c r="H21" s="124"/>
      <c r="I21" s="124"/>
      <c r="J21" s="124"/>
      <c r="K21" s="124"/>
      <c r="L21" s="125"/>
    </row>
    <row r="22" spans="2:44" ht="15.95" customHeight="1" x14ac:dyDescent="0.25">
      <c r="B22" s="130"/>
      <c r="C22" s="132"/>
      <c r="D22" s="48"/>
      <c r="E22" s="49"/>
      <c r="F22" s="50"/>
      <c r="G22" s="123" t="s">
        <v>70</v>
      </c>
      <c r="H22" s="124"/>
      <c r="I22" s="125"/>
      <c r="J22" s="123" t="s">
        <v>73</v>
      </c>
      <c r="K22" s="124"/>
      <c r="L22" s="125"/>
    </row>
    <row r="23" spans="2:44" x14ac:dyDescent="0.25">
      <c r="B23" s="129"/>
      <c r="C23" s="133"/>
      <c r="D23" s="28" t="s">
        <v>61</v>
      </c>
      <c r="E23" s="28" t="s">
        <v>68</v>
      </c>
      <c r="F23" s="32" t="s">
        <v>5</v>
      </c>
      <c r="G23" s="28" t="s">
        <v>72</v>
      </c>
      <c r="H23" s="16" t="s">
        <v>71</v>
      </c>
      <c r="I23" s="34" t="s">
        <v>5</v>
      </c>
      <c r="J23" s="28" t="s">
        <v>72</v>
      </c>
      <c r="K23" s="16" t="s">
        <v>71</v>
      </c>
      <c r="L23" s="35" t="s">
        <v>5</v>
      </c>
    </row>
    <row r="24" spans="2:44" ht="15.95" customHeight="1" x14ac:dyDescent="0.25">
      <c r="B24" s="8">
        <f t="shared" ref="B24:B35" si="14">+B6</f>
        <v>44562</v>
      </c>
      <c r="C24" s="10">
        <f>'[5]BU-2'!$E$11</f>
        <v>49642.1</v>
      </c>
      <c r="D24" s="10">
        <f>'[5]BU-3'!$F$37</f>
        <v>50980.1</v>
      </c>
      <c r="E24" s="12">
        <f>'[5]BU-3'!$F$38</f>
        <v>1274</v>
      </c>
      <c r="F24" s="33">
        <f>D24+E24</f>
        <v>52254.1</v>
      </c>
      <c r="G24" s="12">
        <f>'[5]BU-2'!$E$30</f>
        <v>0</v>
      </c>
      <c r="H24" s="10">
        <f>'[5]BU-2'!$E$31</f>
        <v>172</v>
      </c>
      <c r="I24" s="33">
        <f>+H24+G24</f>
        <v>172</v>
      </c>
      <c r="J24" s="10">
        <f>'[5]BU-2'!$E$32</f>
        <v>2784</v>
      </c>
      <c r="K24" s="10">
        <f>'[5]BU-2'!$E$33</f>
        <v>0</v>
      </c>
      <c r="L24" s="33">
        <f>+K24+J24</f>
        <v>2784</v>
      </c>
      <c r="N24" s="13">
        <f>+C24+L24-F24-I24</f>
        <v>0</v>
      </c>
    </row>
    <row r="25" spans="2:44" ht="15.95" customHeight="1" x14ac:dyDescent="0.25">
      <c r="B25" s="8">
        <f t="shared" si="14"/>
        <v>44593</v>
      </c>
      <c r="C25" s="10">
        <f>'[7]BU-2'!$E$11</f>
        <v>51265</v>
      </c>
      <c r="D25" s="10">
        <f>'[7]BU-3'!$F$37</f>
        <v>47936.800000000003</v>
      </c>
      <c r="E25" s="12">
        <f>'[7]BU-3'!$F$38</f>
        <v>3574</v>
      </c>
      <c r="F25" s="33">
        <f t="shared" ref="F25:F35" si="15">D25+E25</f>
        <v>51510.8</v>
      </c>
      <c r="G25" s="12">
        <f>'[7]BU-2'!$E$30</f>
        <v>1169</v>
      </c>
      <c r="H25" s="10">
        <f>'[7]BU-2'!$E$31</f>
        <v>2229</v>
      </c>
      <c r="I25" s="33">
        <f t="shared" ref="I25:I35" si="16">+H25+G25</f>
        <v>3398</v>
      </c>
      <c r="J25" s="10">
        <f>'[7]BU-2'!$E$32</f>
        <v>3643.8</v>
      </c>
      <c r="K25" s="10">
        <f>'[7]BU-2'!$E$33</f>
        <v>0</v>
      </c>
      <c r="L25" s="33">
        <f t="shared" ref="L25:L35" si="17">+K25+J25</f>
        <v>3643.8</v>
      </c>
      <c r="N25" s="13">
        <f>+C25+L25-F25-I25</f>
        <v>0</v>
      </c>
    </row>
    <row r="26" spans="2:44" ht="15.95" customHeight="1" x14ac:dyDescent="0.25">
      <c r="B26" s="8">
        <f t="shared" si="14"/>
        <v>44621</v>
      </c>
      <c r="C26" s="10">
        <f>'[9]BU-2'!$E$11</f>
        <v>101411</v>
      </c>
      <c r="D26" s="10">
        <f>'[9]BU-3'!$F$37</f>
        <v>97334</v>
      </c>
      <c r="E26" s="12">
        <f>'[9]BU-3'!$F$38</f>
        <v>1860</v>
      </c>
      <c r="F26" s="33">
        <f>D26+E26</f>
        <v>99194</v>
      </c>
      <c r="G26" s="12">
        <f>'[9]BU-2'!$E$30</f>
        <v>595</v>
      </c>
      <c r="H26" s="10">
        <f>'[9]BU-2'!$E$31</f>
        <v>1622</v>
      </c>
      <c r="I26" s="33">
        <f t="shared" si="16"/>
        <v>2217</v>
      </c>
      <c r="J26" s="10">
        <f>'[9]BU-2'!$E$32</f>
        <v>0</v>
      </c>
      <c r="K26" s="10">
        <f>'[9]BU-2'!$E$33</f>
        <v>0</v>
      </c>
      <c r="L26" s="33">
        <f t="shared" si="17"/>
        <v>0</v>
      </c>
      <c r="N26" s="13">
        <f>+C26+L26-F26-I26</f>
        <v>0</v>
      </c>
    </row>
    <row r="27" spans="2:44" ht="15.95" customHeight="1" x14ac:dyDescent="0.25">
      <c r="B27" s="8">
        <f t="shared" si="14"/>
        <v>44652</v>
      </c>
      <c r="C27" s="10">
        <f>'[11]BU-2'!$E$11</f>
        <v>102718</v>
      </c>
      <c r="D27" s="10">
        <f>'[11]BU-3'!$F$37</f>
        <v>100905</v>
      </c>
      <c r="E27" s="12">
        <f>'[11]BU-3'!$F$38</f>
        <v>1800</v>
      </c>
      <c r="F27" s="33">
        <f t="shared" si="15"/>
        <v>102705</v>
      </c>
      <c r="G27" s="12">
        <f>'[11]BU-2'!$E$30</f>
        <v>0</v>
      </c>
      <c r="H27" s="10">
        <f>'[11]BU-2'!$E$31</f>
        <v>702</v>
      </c>
      <c r="I27" s="33">
        <f t="shared" si="16"/>
        <v>702</v>
      </c>
      <c r="J27" s="10">
        <f>'[11]BU-2'!$E$32</f>
        <v>689</v>
      </c>
      <c r="K27" s="10">
        <f>'[11]BU-2'!$E$33</f>
        <v>0</v>
      </c>
      <c r="L27" s="33">
        <f t="shared" si="17"/>
        <v>689</v>
      </c>
      <c r="N27" s="13">
        <f t="shared" ref="N27:N34" si="18">+C27+L27-F27-I27</f>
        <v>0</v>
      </c>
      <c r="O27" s="13"/>
    </row>
    <row r="28" spans="2:44" ht="15.95" customHeight="1" x14ac:dyDescent="0.25">
      <c r="B28" s="8">
        <f t="shared" si="14"/>
        <v>44682</v>
      </c>
      <c r="C28" s="10">
        <f>'[13]BU-2'!$E$11</f>
        <v>105856</v>
      </c>
      <c r="D28" s="10">
        <f>'[13]BU-3'!$F$37</f>
        <v>101379</v>
      </c>
      <c r="E28" s="12">
        <f>'[13]BU-3'!$F$38</f>
        <v>1860</v>
      </c>
      <c r="F28" s="33">
        <f t="shared" si="15"/>
        <v>103239</v>
      </c>
      <c r="G28" s="12">
        <f>'[13]BU-2'!$E$30</f>
        <v>951</v>
      </c>
      <c r="H28" s="10">
        <f>'[13]BU-2'!$E$31</f>
        <v>1666</v>
      </c>
      <c r="I28" s="33">
        <f t="shared" si="16"/>
        <v>2617</v>
      </c>
      <c r="J28" s="10">
        <f>'[13]BU-2'!$E$32</f>
        <v>0</v>
      </c>
      <c r="K28" s="10">
        <f>'[13]BU-2'!$E$33</f>
        <v>0</v>
      </c>
      <c r="L28" s="33">
        <f t="shared" si="17"/>
        <v>0</v>
      </c>
      <c r="N28" s="13">
        <f t="shared" si="18"/>
        <v>0</v>
      </c>
    </row>
    <row r="29" spans="2:44" ht="15.95" customHeight="1" x14ac:dyDescent="0.25">
      <c r="B29" s="8">
        <f t="shared" si="14"/>
        <v>44713</v>
      </c>
      <c r="C29" s="10">
        <f>'[15]BU-2'!$E$11</f>
        <v>105746</v>
      </c>
      <c r="D29" s="10">
        <f>'[15]BU-3'!$F$37</f>
        <v>100232</v>
      </c>
      <c r="E29" s="12">
        <f>'[15]BU-3'!$F$38</f>
        <v>1800</v>
      </c>
      <c r="F29" s="33">
        <f t="shared" si="15"/>
        <v>102032</v>
      </c>
      <c r="G29" s="12">
        <f>'[15]BU-2'!$E$30</f>
        <v>3122</v>
      </c>
      <c r="H29" s="10">
        <f>'[15]BU-2'!$E$31</f>
        <v>592</v>
      </c>
      <c r="I29" s="33">
        <f>+H29+G29</f>
        <v>3714</v>
      </c>
      <c r="J29" s="10">
        <f>'[15]BU-2'!$E$32</f>
        <v>0</v>
      </c>
      <c r="K29" s="10">
        <f>'[15]BU-2'!$E$33</f>
        <v>0</v>
      </c>
      <c r="L29" s="33">
        <f>+K29+J29</f>
        <v>0</v>
      </c>
      <c r="N29" s="13">
        <f t="shared" si="18"/>
        <v>0</v>
      </c>
    </row>
    <row r="30" spans="2:44" ht="15.95" customHeight="1" x14ac:dyDescent="0.25">
      <c r="B30" s="8">
        <f t="shared" si="14"/>
        <v>44743</v>
      </c>
      <c r="C30" s="10">
        <f>'[17]BU-2'!$E$11</f>
        <v>91491</v>
      </c>
      <c r="D30" s="10">
        <f>'[17]BU-3'!$F$37</f>
        <v>89101</v>
      </c>
      <c r="E30" s="12">
        <f>'[17]BU-3'!$F$38</f>
        <v>1860</v>
      </c>
      <c r="F30" s="33">
        <f t="shared" ref="F30" si="19">D30+E30</f>
        <v>90961</v>
      </c>
      <c r="G30" s="12">
        <f>'[17]BU-2'!$E$30</f>
        <v>179</v>
      </c>
      <c r="H30" s="10">
        <f>'[17]BU-2'!$E$31</f>
        <v>724</v>
      </c>
      <c r="I30" s="33">
        <f>+H30+G30</f>
        <v>903</v>
      </c>
      <c r="J30" s="10">
        <f>'[17]BU-2'!$E$32</f>
        <v>373</v>
      </c>
      <c r="K30" s="10">
        <f>'[17]BU-2'!$E$33</f>
        <v>0</v>
      </c>
      <c r="L30" s="33">
        <f>+K30+J30</f>
        <v>373</v>
      </c>
      <c r="N30" s="13">
        <f t="shared" si="18"/>
        <v>0</v>
      </c>
    </row>
    <row r="31" spans="2:44" ht="15.95" customHeight="1" x14ac:dyDescent="0.25">
      <c r="B31" s="8">
        <f t="shared" si="14"/>
        <v>44774</v>
      </c>
      <c r="C31" s="10">
        <f>'[19]BU-2'!$E$11</f>
        <v>93610</v>
      </c>
      <c r="D31" s="10">
        <f>'[19]BU-3'!$F$37</f>
        <v>91932.542000000001</v>
      </c>
      <c r="E31" s="12">
        <f>'[19]BU-3'!$F$38</f>
        <v>1480</v>
      </c>
      <c r="F31" s="33">
        <f>D31+E31</f>
        <v>93412.542000000001</v>
      </c>
      <c r="G31" s="12">
        <f>'[19]BU-2'!$E$30</f>
        <v>70</v>
      </c>
      <c r="H31" s="10">
        <f>'[19]BU-2'!$E$31</f>
        <v>478</v>
      </c>
      <c r="I31" s="33">
        <f>+H31+G31</f>
        <v>548</v>
      </c>
      <c r="J31" s="10">
        <f>'[19]BU-2'!$E$32</f>
        <v>351</v>
      </c>
      <c r="K31" s="10">
        <f>'[19]BU-2'!$E$33</f>
        <v>0</v>
      </c>
      <c r="L31" s="33">
        <f>+K31+J31</f>
        <v>351</v>
      </c>
      <c r="N31" s="13">
        <f>+C31+L31-F31-I31</f>
        <v>0.45799999999871943</v>
      </c>
    </row>
    <row r="32" spans="2:44" ht="15.95" customHeight="1" x14ac:dyDescent="0.25">
      <c r="B32" s="8">
        <f t="shared" si="14"/>
        <v>44805</v>
      </c>
      <c r="C32" s="10">
        <f>'[21]BU-2'!$E$11</f>
        <v>101392</v>
      </c>
      <c r="D32" s="10">
        <f>'[21]BU-3'!$F$37</f>
        <v>97763</v>
      </c>
      <c r="E32" s="12">
        <f>'[21]BU-3'!$F$38</f>
        <v>1740</v>
      </c>
      <c r="F32" s="33">
        <f t="shared" si="15"/>
        <v>99503</v>
      </c>
      <c r="G32" s="12">
        <f>'[21]BU-2'!$E$30</f>
        <v>0</v>
      </c>
      <c r="H32" s="10">
        <f>'[21]BU-2'!$E$31</f>
        <v>1889</v>
      </c>
      <c r="I32" s="33">
        <f t="shared" si="16"/>
        <v>1889</v>
      </c>
      <c r="J32" s="10">
        <f>'[21]BU-2'!$E$32</f>
        <v>0</v>
      </c>
      <c r="K32" s="10">
        <f>'[21]BU-2'!$E$33</f>
        <v>0</v>
      </c>
      <c r="L32" s="33">
        <f t="shared" si="17"/>
        <v>0</v>
      </c>
      <c r="N32" s="13">
        <f t="shared" si="18"/>
        <v>0</v>
      </c>
    </row>
    <row r="33" spans="2:15" ht="15.95" customHeight="1" x14ac:dyDescent="0.25">
      <c r="B33" s="8">
        <f t="shared" si="14"/>
        <v>44835</v>
      </c>
      <c r="C33" s="10">
        <f>'[23]BU-2'!$E$11</f>
        <v>105093</v>
      </c>
      <c r="D33" s="10">
        <f>'[23]BU-3'!$F$37</f>
        <v>102091</v>
      </c>
      <c r="E33" s="12">
        <f>'[23]BU-3'!$F$38</f>
        <v>1907</v>
      </c>
      <c r="F33" s="33">
        <f>D33+E33</f>
        <v>103998</v>
      </c>
      <c r="G33" s="12">
        <f>'[23]BU-2'!$E$30</f>
        <v>114</v>
      </c>
      <c r="H33" s="10">
        <f>'[23]BU-2'!$E$31</f>
        <v>981</v>
      </c>
      <c r="I33" s="33">
        <f>+H33+G33</f>
        <v>1095</v>
      </c>
      <c r="J33" s="10">
        <f>'[23]BU-2'!$E$32</f>
        <v>0</v>
      </c>
      <c r="K33" s="10">
        <f>'[23]BU-2'!$E$33</f>
        <v>0</v>
      </c>
      <c r="L33" s="33">
        <f>+K33+J33</f>
        <v>0</v>
      </c>
      <c r="N33" s="13">
        <f>+C33+L33-F33-I33</f>
        <v>0</v>
      </c>
    </row>
    <row r="34" spans="2:15" ht="15.95" customHeight="1" x14ac:dyDescent="0.25">
      <c r="B34" s="8">
        <f t="shared" si="14"/>
        <v>44866</v>
      </c>
      <c r="C34" s="10">
        <f>'[25]BU-2'!$E$11</f>
        <v>92362</v>
      </c>
      <c r="D34" s="10">
        <f>'[25]BU-3'!$F$37</f>
        <v>89985</v>
      </c>
      <c r="E34" s="12">
        <f>'[25]BU-3'!$F$38</f>
        <v>1800</v>
      </c>
      <c r="F34" s="33">
        <f>D34+E34</f>
        <v>91785</v>
      </c>
      <c r="G34" s="12">
        <f>'[25]BU-2'!$E$30</f>
        <v>0</v>
      </c>
      <c r="H34" s="10">
        <f>'[25]BU-2'!$E$31</f>
        <v>577</v>
      </c>
      <c r="I34" s="33">
        <f t="shared" si="16"/>
        <v>577</v>
      </c>
      <c r="J34" s="10">
        <f>'[25]BU-2'!$E$32</f>
        <v>0</v>
      </c>
      <c r="K34" s="10">
        <f>'[25]BU-2'!$E$33</f>
        <v>0</v>
      </c>
      <c r="L34" s="33">
        <f>+K34+J34</f>
        <v>0</v>
      </c>
      <c r="N34" s="13">
        <f t="shared" si="18"/>
        <v>0</v>
      </c>
    </row>
    <row r="35" spans="2:15" ht="15.95" customHeight="1" x14ac:dyDescent="0.25">
      <c r="B35" s="8">
        <f t="shared" si="14"/>
        <v>44896</v>
      </c>
      <c r="C35" s="10">
        <f>'[27]BU-2'!$E$11</f>
        <v>52581</v>
      </c>
      <c r="D35" s="10">
        <f>'[27]BU-3'!$F$37</f>
        <v>52378</v>
      </c>
      <c r="E35" s="12">
        <f>'[27]BU-3'!$F$38</f>
        <v>2184</v>
      </c>
      <c r="F35" s="33">
        <f t="shared" si="15"/>
        <v>54562</v>
      </c>
      <c r="G35" s="12">
        <f>'[27]BU-2'!$E$30</f>
        <v>0</v>
      </c>
      <c r="H35" s="10">
        <f>'[27]BU-2'!$E$31</f>
        <v>0</v>
      </c>
      <c r="I35" s="33">
        <f t="shared" si="16"/>
        <v>0</v>
      </c>
      <c r="J35" s="10">
        <f>'[27]BU-2'!$E$32</f>
        <v>1981</v>
      </c>
      <c r="K35" s="10">
        <f>'[27]BU-2'!$E$33</f>
        <v>0</v>
      </c>
      <c r="L35" s="33">
        <f t="shared" si="17"/>
        <v>1981</v>
      </c>
      <c r="N35" s="13">
        <f>+C35+L35-F35-I35</f>
        <v>0</v>
      </c>
    </row>
    <row r="36" spans="2:15" ht="15.95" customHeight="1" x14ac:dyDescent="0.25">
      <c r="B36" s="8" t="s">
        <v>5</v>
      </c>
      <c r="C36" s="31">
        <f>SUM(C24:C35)</f>
        <v>1053167.1000000001</v>
      </c>
      <c r="D36" s="31">
        <f t="shared" ref="D36:F36" si="20">SUM(D24:D35)</f>
        <v>1022017.442</v>
      </c>
      <c r="E36" s="31">
        <f t="shared" si="20"/>
        <v>23139</v>
      </c>
      <c r="F36" s="31">
        <f t="shared" si="20"/>
        <v>1045156.442</v>
      </c>
      <c r="G36" s="31">
        <f t="shared" ref="G36" si="21">SUM(G24:G35)</f>
        <v>6200</v>
      </c>
      <c r="H36" s="31">
        <f t="shared" ref="H36" si="22">SUM(H24:H35)</f>
        <v>11632</v>
      </c>
      <c r="I36" s="31">
        <f t="shared" ref="I36" si="23">SUM(I24:I35)</f>
        <v>17832</v>
      </c>
      <c r="J36" s="31">
        <f t="shared" ref="J36" si="24">SUM(J24:J35)</f>
        <v>9821.7999999999993</v>
      </c>
      <c r="K36" s="31">
        <f t="shared" ref="K36" si="25">SUM(K24:K35)</f>
        <v>0</v>
      </c>
      <c r="L36" s="31">
        <f t="shared" ref="L36" si="26">SUM(L24:L35)</f>
        <v>9821.7999999999993</v>
      </c>
    </row>
    <row r="38" spans="2:15" ht="15.75" x14ac:dyDescent="0.25">
      <c r="B38" s="88" t="s">
        <v>74</v>
      </c>
      <c r="C38" s="89"/>
      <c r="D38" s="89"/>
      <c r="E38" s="89"/>
      <c r="F38" s="89"/>
      <c r="G38" s="89"/>
      <c r="H38" s="89"/>
      <c r="I38" s="89"/>
      <c r="J38" s="89"/>
      <c r="K38" s="89"/>
      <c r="L38" s="89"/>
      <c r="M38" s="89"/>
    </row>
    <row r="39" spans="2:15" ht="15.75" customHeight="1" x14ac:dyDescent="0.25">
      <c r="B39" s="128" t="s">
        <v>1</v>
      </c>
      <c r="C39" s="41" t="s">
        <v>76</v>
      </c>
      <c r="D39" s="42"/>
      <c r="E39" s="42"/>
      <c r="F39" s="42"/>
      <c r="G39" s="42"/>
      <c r="H39" s="43"/>
      <c r="I39" s="123" t="s">
        <v>2</v>
      </c>
      <c r="J39" s="124"/>
      <c r="K39" s="124"/>
      <c r="L39" s="124"/>
      <c r="M39" s="125"/>
    </row>
    <row r="40" spans="2:15" ht="24" x14ac:dyDescent="0.25">
      <c r="B40" s="129"/>
      <c r="C40" s="37" t="s">
        <v>66</v>
      </c>
      <c r="D40" s="38" t="s">
        <v>75</v>
      </c>
      <c r="E40" s="38" t="s">
        <v>95</v>
      </c>
      <c r="F40" s="38" t="s">
        <v>77</v>
      </c>
      <c r="G40" s="38" t="s">
        <v>78</v>
      </c>
      <c r="H40" s="29" t="s">
        <v>5</v>
      </c>
      <c r="I40" s="29" t="s">
        <v>79</v>
      </c>
      <c r="J40" s="29" t="s">
        <v>12</v>
      </c>
      <c r="K40" s="28" t="s">
        <v>80</v>
      </c>
      <c r="L40" s="28" t="s">
        <v>81</v>
      </c>
      <c r="M40" s="29" t="s">
        <v>5</v>
      </c>
    </row>
    <row r="41" spans="2:15" ht="15.95" customHeight="1" x14ac:dyDescent="0.25">
      <c r="B41" s="8">
        <f t="shared" ref="B41:B52" si="27">+B6</f>
        <v>44562</v>
      </c>
      <c r="C41" s="10">
        <f>[6]Feuil1!$K$40</f>
        <v>21294</v>
      </c>
      <c r="D41" s="10">
        <f>[6]Feuil1!$L$40</f>
        <v>25475</v>
      </c>
      <c r="E41" s="10">
        <f>[6]Feuil1!$M$40</f>
        <v>0</v>
      </c>
      <c r="F41" s="10">
        <f>[6]Feuil1!$N$40</f>
        <v>1274</v>
      </c>
      <c r="G41" s="10">
        <f>[6]Feuil1!$O$40</f>
        <v>3017.3</v>
      </c>
      <c r="H41" s="12">
        <f>+E41+F41+G41+D41+C41</f>
        <v>51060.3</v>
      </c>
      <c r="I41" s="10">
        <f>[6]Feuil1!$Q$40</f>
        <v>42306</v>
      </c>
      <c r="J41" s="10">
        <f>[6]Feuil1!$R$40</f>
        <v>8552</v>
      </c>
      <c r="K41" s="10">
        <f>[6]Feuil1!$S$40</f>
        <v>0</v>
      </c>
      <c r="L41" s="18">
        <f>[6]Feuil1!$T$40</f>
        <v>202</v>
      </c>
      <c r="M41" s="12">
        <f>SUM(I41:L41)</f>
        <v>51060</v>
      </c>
      <c r="O41" s="13">
        <f>+M41-H41</f>
        <v>-0.30000000000291038</v>
      </c>
    </row>
    <row r="42" spans="2:15" ht="15.95" customHeight="1" x14ac:dyDescent="0.25">
      <c r="B42" s="8">
        <f t="shared" si="27"/>
        <v>44593</v>
      </c>
      <c r="C42" s="10">
        <f>[8]Feuil1!$K$40</f>
        <v>22085</v>
      </c>
      <c r="D42" s="10">
        <f>[8]Feuil1!$L$40</f>
        <v>33961</v>
      </c>
      <c r="E42" s="10">
        <f>[8]Feuil1!$M$40</f>
        <v>5012</v>
      </c>
      <c r="F42" s="10">
        <f>[8]Feuil1!$N$40</f>
        <v>3574</v>
      </c>
      <c r="G42" s="10">
        <f>[8]Feuil1!$O$40</f>
        <v>3193</v>
      </c>
      <c r="H42" s="12">
        <f t="shared" ref="H42:H52" si="28">+E42+F42+G42+D42+C42</f>
        <v>67825</v>
      </c>
      <c r="I42" s="10">
        <f>[8]Feuil1!$Q$40</f>
        <v>33964</v>
      </c>
      <c r="J42" s="10">
        <f>[8]Feuil1!$R$40</f>
        <v>33189</v>
      </c>
      <c r="K42" s="10">
        <f>[8]Feuil1!$S$40</f>
        <v>0</v>
      </c>
      <c r="L42" s="18">
        <f>[8]Feuil1!$T$40</f>
        <v>672</v>
      </c>
      <c r="M42" s="12">
        <f t="shared" ref="M42:M52" si="29">SUM(I42:L42)</f>
        <v>67825</v>
      </c>
      <c r="O42" s="13">
        <f>+M42-H42</f>
        <v>0</v>
      </c>
    </row>
    <row r="43" spans="2:15" ht="15.95" customHeight="1" x14ac:dyDescent="0.25">
      <c r="B43" s="8">
        <f t="shared" si="27"/>
        <v>44621</v>
      </c>
      <c r="C43" s="10">
        <f>[10]Feuil1!$K$40</f>
        <v>41504</v>
      </c>
      <c r="D43" s="10">
        <f>[10]Feuil1!$L$40</f>
        <v>37025</v>
      </c>
      <c r="E43" s="10">
        <f>[10]Feuil1!$M$40</f>
        <v>2410</v>
      </c>
      <c r="F43" s="10">
        <f>[10]Feuil1!$N$40</f>
        <v>1860</v>
      </c>
      <c r="G43" s="10">
        <f>[10]Feuil1!$O$40</f>
        <v>4879</v>
      </c>
      <c r="H43" s="12">
        <f t="shared" si="28"/>
        <v>87678</v>
      </c>
      <c r="I43" s="10">
        <f>[10]Feuil1!$Q$40</f>
        <v>77191</v>
      </c>
      <c r="J43" s="10">
        <f>[10]Feuil1!$R$40</f>
        <v>9438</v>
      </c>
      <c r="K43" s="10">
        <f>[10]Feuil1!$S$40</f>
        <v>0</v>
      </c>
      <c r="L43" s="18">
        <f>[10]Feuil1!$T$40</f>
        <v>1049</v>
      </c>
      <c r="M43" s="12">
        <f t="shared" si="29"/>
        <v>87678</v>
      </c>
      <c r="O43" s="13">
        <f>+M43-H43</f>
        <v>0</v>
      </c>
    </row>
    <row r="44" spans="2:15" ht="15.95" customHeight="1" x14ac:dyDescent="0.25">
      <c r="B44" s="8">
        <f t="shared" si="27"/>
        <v>44652</v>
      </c>
      <c r="C44" s="10">
        <f>[12]Feuil1!$K$40</f>
        <v>39812</v>
      </c>
      <c r="D44" s="10">
        <f>[12]Feuil1!$L$40</f>
        <v>26283.350000000002</v>
      </c>
      <c r="E44" s="10">
        <f>[12]Feuil1!$M$40</f>
        <v>7715</v>
      </c>
      <c r="F44" s="10">
        <f>[12]Feuil1!$N$40</f>
        <v>1800</v>
      </c>
      <c r="G44" s="10">
        <f>[12]Feuil1!$O$40</f>
        <v>4999</v>
      </c>
      <c r="H44" s="12">
        <f t="shared" si="28"/>
        <v>80609.350000000006</v>
      </c>
      <c r="I44" s="10">
        <f>[12]Feuil1!$Q$40</f>
        <v>73273</v>
      </c>
      <c r="J44" s="10">
        <f>[12]Feuil1!$R$40</f>
        <v>6106</v>
      </c>
      <c r="K44" s="10">
        <f>[12]Feuil1!$S$40</f>
        <v>179</v>
      </c>
      <c r="L44" s="18">
        <f>[12]Feuil1!$T$40</f>
        <v>1051.1499999999999</v>
      </c>
      <c r="M44" s="12">
        <f t="shared" si="29"/>
        <v>80609.149999999994</v>
      </c>
      <c r="O44" s="13">
        <f t="shared" ref="O44:O52" si="30">+M44-H44</f>
        <v>-0.20000000001164153</v>
      </c>
    </row>
    <row r="45" spans="2:15" ht="15.95" customHeight="1" x14ac:dyDescent="0.25">
      <c r="B45" s="8">
        <f t="shared" si="27"/>
        <v>44682</v>
      </c>
      <c r="C45" s="10">
        <f>[14]Feuil1!$K$40</f>
        <v>43587</v>
      </c>
      <c r="D45" s="10">
        <f>[14]Feuil1!$L$40</f>
        <v>34277.670000000006</v>
      </c>
      <c r="E45" s="10">
        <f>[14]Feuil1!$M$40</f>
        <v>9631</v>
      </c>
      <c r="F45" s="10">
        <f>[14]Feuil1!$N$40</f>
        <v>1860</v>
      </c>
      <c r="G45" s="10">
        <f>[14]Feuil1!$O$40</f>
        <v>5284</v>
      </c>
      <c r="H45" s="12">
        <f t="shared" si="28"/>
        <v>94639.670000000013</v>
      </c>
      <c r="I45" s="10">
        <f>[14]Feuil1!$Q$40</f>
        <v>79803</v>
      </c>
      <c r="J45" s="10">
        <f>[14]Feuil1!$R$40</f>
        <v>12542.75</v>
      </c>
      <c r="K45" s="10">
        <f>[14]Feuil1!$S$40</f>
        <v>0</v>
      </c>
      <c r="L45" s="18">
        <f>[14]Feuil1!$T$40</f>
        <v>2293.7599999999993</v>
      </c>
      <c r="M45" s="12">
        <f t="shared" si="29"/>
        <v>94639.51</v>
      </c>
      <c r="O45" s="13">
        <f>+M45-H45</f>
        <v>-0.16000000001804437</v>
      </c>
    </row>
    <row r="46" spans="2:15" ht="15.95" customHeight="1" x14ac:dyDescent="0.25">
      <c r="B46" s="8">
        <f t="shared" si="27"/>
        <v>44713</v>
      </c>
      <c r="C46" s="10">
        <f>[16]Feuil1!$K$40</f>
        <v>41462</v>
      </c>
      <c r="D46" s="10">
        <f>[16]Feuil1!$L$40</f>
        <v>32619.65</v>
      </c>
      <c r="E46" s="10">
        <f>[16]Feuil1!$M$40</f>
        <v>7306</v>
      </c>
      <c r="F46" s="10">
        <f>[16]Feuil1!$N$40</f>
        <v>1800</v>
      </c>
      <c r="G46" s="10">
        <f>[16]Feuil1!$O$40</f>
        <v>5317</v>
      </c>
      <c r="H46" s="12">
        <f t="shared" si="28"/>
        <v>88504.65</v>
      </c>
      <c r="I46" s="10">
        <f>[16]Feuil1!$Q$40</f>
        <v>76420</v>
      </c>
      <c r="J46" s="10">
        <f>[16]Feuil1!$R$40</f>
        <v>11818</v>
      </c>
      <c r="K46" s="10">
        <f>[16]Feuil1!$S$40</f>
        <v>0</v>
      </c>
      <c r="L46" s="18">
        <f>[16]Feuil1!$T$40</f>
        <v>266.44100000000003</v>
      </c>
      <c r="M46" s="12">
        <f t="shared" si="29"/>
        <v>88504.441000000006</v>
      </c>
      <c r="O46" s="13">
        <f t="shared" si="30"/>
        <v>-0.20899999998800922</v>
      </c>
    </row>
    <row r="47" spans="2:15" ht="15.95" customHeight="1" x14ac:dyDescent="0.25">
      <c r="B47" s="8">
        <f t="shared" si="27"/>
        <v>44743</v>
      </c>
      <c r="C47" s="10">
        <f>[18]Feuil1!$K$40</f>
        <v>35716</v>
      </c>
      <c r="D47" s="10">
        <f>[18]Feuil1!$L$40</f>
        <v>32000.5</v>
      </c>
      <c r="E47" s="10">
        <f>[18]Feuil1!$M$40</f>
        <v>8480</v>
      </c>
      <c r="F47" s="10">
        <f>[18]Feuil1!$N$40</f>
        <v>1860</v>
      </c>
      <c r="G47" s="10">
        <f>[18]Feuil1!$O$40</f>
        <v>5071</v>
      </c>
      <c r="H47" s="12">
        <f t="shared" ref="H47" si="31">+E47+F47+G47+D47+C47</f>
        <v>83127.5</v>
      </c>
      <c r="I47" s="10">
        <f>[18]Feuil1!$Q$40</f>
        <v>68223</v>
      </c>
      <c r="J47" s="10">
        <f>[18]Feuil1!$R$40</f>
        <v>14441</v>
      </c>
      <c r="K47" s="10">
        <f>[18]Feuil1!$S$40</f>
        <v>10.5</v>
      </c>
      <c r="L47" s="18">
        <f>[18]Feuil1!$T$40</f>
        <v>452.69</v>
      </c>
      <c r="M47" s="12">
        <f t="shared" ref="M47" si="32">SUM(I47:L47)</f>
        <v>83127.19</v>
      </c>
      <c r="O47" s="13">
        <f t="shared" si="30"/>
        <v>-0.30999999999767169</v>
      </c>
    </row>
    <row r="48" spans="2:15" ht="15.95" customHeight="1" x14ac:dyDescent="0.25">
      <c r="B48" s="8">
        <f t="shared" si="27"/>
        <v>44774</v>
      </c>
      <c r="C48" s="10">
        <f>[20]Feuil1!$K$40</f>
        <v>37338</v>
      </c>
      <c r="D48" s="10">
        <f>[20]Feuil1!$L$40</f>
        <v>46260.38</v>
      </c>
      <c r="E48" s="10">
        <f>[20]Feuil1!$M$40</f>
        <v>7266.6</v>
      </c>
      <c r="F48" s="10">
        <f>[20]Feuil1!$N$40</f>
        <v>1480</v>
      </c>
      <c r="G48" s="10">
        <f>[20]Feuil1!$O$40</f>
        <v>5938</v>
      </c>
      <c r="H48" s="12">
        <f t="shared" si="28"/>
        <v>98282.98</v>
      </c>
      <c r="I48" s="10">
        <f>[20]Feuil1!$Q$40</f>
        <v>76757.2</v>
      </c>
      <c r="J48" s="10">
        <f>[20]Feuil1!$R$40</f>
        <v>21281</v>
      </c>
      <c r="K48" s="10">
        <f>[20]Feuil1!$S$40</f>
        <v>0</v>
      </c>
      <c r="L48" s="18">
        <f>[20]Feuil1!$T$40</f>
        <v>244.77999999999997</v>
      </c>
      <c r="M48" s="12">
        <f t="shared" si="29"/>
        <v>98282.98</v>
      </c>
      <c r="O48" s="13">
        <f>+M48-H48</f>
        <v>0</v>
      </c>
    </row>
    <row r="49" spans="2:24" ht="15.95" customHeight="1" x14ac:dyDescent="0.25">
      <c r="B49" s="8">
        <f t="shared" si="27"/>
        <v>44805</v>
      </c>
      <c r="C49" s="10">
        <f>[22]Feuil1!$K$40</f>
        <v>40337</v>
      </c>
      <c r="D49" s="10">
        <f>[22]Feuil1!$L$40</f>
        <v>33944.1</v>
      </c>
      <c r="E49" s="10">
        <f>[22]Feuil1!$M$40</f>
        <v>7977</v>
      </c>
      <c r="F49" s="10">
        <f>[22]Feuil1!$N$40</f>
        <v>1740</v>
      </c>
      <c r="G49" s="10">
        <f>[22]Feuil1!$O$40</f>
        <v>4363</v>
      </c>
      <c r="H49" s="12">
        <f t="shared" si="28"/>
        <v>88361.1</v>
      </c>
      <c r="I49" s="10">
        <f>[22]Feuil1!$Q$40</f>
        <v>78799</v>
      </c>
      <c r="J49" s="10">
        <f>[22]Feuil1!$R$40</f>
        <v>9066</v>
      </c>
      <c r="K49" s="10">
        <f>[22]Feuil1!$S$40</f>
        <v>0</v>
      </c>
      <c r="L49" s="18">
        <f>[22]Feuil1!$T$40</f>
        <v>496.1</v>
      </c>
      <c r="M49" s="12">
        <f t="shared" si="29"/>
        <v>88361.1</v>
      </c>
      <c r="O49" s="13">
        <f t="shared" si="30"/>
        <v>0</v>
      </c>
    </row>
    <row r="50" spans="2:24" ht="15.95" customHeight="1" x14ac:dyDescent="0.25">
      <c r="B50" s="8">
        <f t="shared" si="27"/>
        <v>44835</v>
      </c>
      <c r="C50" s="10">
        <f>[24]Feuil1!$K$40</f>
        <v>41457</v>
      </c>
      <c r="D50" s="10">
        <f>[24]Feuil1!$L$40</f>
        <v>39677</v>
      </c>
      <c r="E50" s="10">
        <f>[24]Feuil1!$M$40</f>
        <v>8432</v>
      </c>
      <c r="F50" s="10">
        <f>[24]Feuil1!$N$40</f>
        <v>1907</v>
      </c>
      <c r="G50" s="10">
        <f>[24]Feuil1!$O$40</f>
        <v>4431</v>
      </c>
      <c r="H50" s="12">
        <f>+E50+F50+G50+D50+C50</f>
        <v>95904</v>
      </c>
      <c r="I50" s="10">
        <f>[24]Feuil1!$Q$40</f>
        <v>84189</v>
      </c>
      <c r="J50" s="10">
        <f>[24]Feuil1!$R$40</f>
        <v>10984</v>
      </c>
      <c r="K50" s="10">
        <f>[24]Feuil1!$S$40</f>
        <v>0</v>
      </c>
      <c r="L50" s="18">
        <f>[24]Feuil1!$T$40</f>
        <v>731</v>
      </c>
      <c r="M50" s="12">
        <f>SUM(I50:L50)</f>
        <v>95904</v>
      </c>
      <c r="O50" s="13">
        <f t="shared" si="30"/>
        <v>0</v>
      </c>
    </row>
    <row r="51" spans="2:24" ht="15.95" customHeight="1" x14ac:dyDescent="0.25">
      <c r="B51" s="8">
        <f t="shared" si="27"/>
        <v>44866</v>
      </c>
      <c r="C51" s="10">
        <f>[26]Feuil1!$K$40</f>
        <v>35430</v>
      </c>
      <c r="D51" s="10">
        <f>[26]Feuil1!$L$40</f>
        <v>38914</v>
      </c>
      <c r="E51" s="10">
        <f>[26]Feuil1!$M$40</f>
        <v>4568</v>
      </c>
      <c r="F51" s="10">
        <f>[26]Feuil1!$N$40</f>
        <v>1800</v>
      </c>
      <c r="G51" s="10">
        <f>[26]Feuil1!$O$40</f>
        <v>4309</v>
      </c>
      <c r="H51" s="12">
        <f t="shared" si="28"/>
        <v>85021</v>
      </c>
      <c r="I51" s="10">
        <f>[26]Feuil1!$Q$40</f>
        <v>73073</v>
      </c>
      <c r="J51" s="10">
        <f>[26]Feuil1!$R$40</f>
        <v>11441</v>
      </c>
      <c r="K51" s="10">
        <f>[26]Feuil1!$S$40</f>
        <v>0</v>
      </c>
      <c r="L51" s="18">
        <f>[26]Feuil1!$T$40</f>
        <v>507</v>
      </c>
      <c r="M51" s="12">
        <f t="shared" si="29"/>
        <v>85021</v>
      </c>
      <c r="O51" s="13">
        <f t="shared" si="30"/>
        <v>0</v>
      </c>
    </row>
    <row r="52" spans="2:24" ht="15.95" customHeight="1" x14ac:dyDescent="0.25">
      <c r="B52" s="8">
        <f t="shared" si="27"/>
        <v>44896</v>
      </c>
      <c r="C52" s="10">
        <f>[28]Feuil1!$K$40</f>
        <v>21295</v>
      </c>
      <c r="D52" s="10">
        <f>[28]Feuil1!$L$40</f>
        <v>20813</v>
      </c>
      <c r="E52" s="10">
        <f>[28]Feuil1!$M$40</f>
        <v>7365</v>
      </c>
      <c r="F52" s="10">
        <f>[28]Feuil1!$N$40</f>
        <v>2184</v>
      </c>
      <c r="G52" s="10">
        <f>[28]Feuil1!$O$40</f>
        <v>3889</v>
      </c>
      <c r="H52" s="12">
        <f t="shared" si="28"/>
        <v>55546</v>
      </c>
      <c r="I52" s="10">
        <f>[28]Feuil1!$Q$40</f>
        <v>46075</v>
      </c>
      <c r="J52" s="10">
        <f>[28]Feuil1!$R$40</f>
        <v>8793</v>
      </c>
      <c r="K52" s="10">
        <f>[28]Feuil1!$S$40</f>
        <v>187</v>
      </c>
      <c r="L52" s="18">
        <f>[28]Feuil1!$T$40</f>
        <v>491</v>
      </c>
      <c r="M52" s="12">
        <f t="shared" si="29"/>
        <v>55546</v>
      </c>
      <c r="O52" s="13">
        <f t="shared" si="30"/>
        <v>0</v>
      </c>
    </row>
    <row r="53" spans="2:24" ht="15.95" customHeight="1" x14ac:dyDescent="0.25">
      <c r="B53" s="8" t="s">
        <v>5</v>
      </c>
      <c r="C53" s="12">
        <f>SUM(C41:C52)</f>
        <v>421317</v>
      </c>
      <c r="D53" s="12">
        <f>SUM(D41:D52)</f>
        <v>401250.64999999997</v>
      </c>
      <c r="E53" s="12">
        <f>SUM(E41:E52)</f>
        <v>76162.600000000006</v>
      </c>
      <c r="F53" s="12">
        <f>SUM(C53:D53)</f>
        <v>822567.64999999991</v>
      </c>
      <c r="G53" s="12">
        <f>SUM(D53:E53)</f>
        <v>477413.25</v>
      </c>
      <c r="H53" s="12">
        <f>SUM(H41:H52)</f>
        <v>976559.55</v>
      </c>
      <c r="I53" s="12">
        <f t="shared" ref="I53:J53" si="33">SUM(I41:I52)</f>
        <v>810073.2</v>
      </c>
      <c r="J53" s="12">
        <f t="shared" si="33"/>
        <v>157651.75</v>
      </c>
      <c r="K53" s="12">
        <f>SUM(K41:K52)</f>
        <v>376.5</v>
      </c>
      <c r="L53" s="12">
        <f>SUM(L41:L52)</f>
        <v>8456.9209999999985</v>
      </c>
      <c r="M53" s="12">
        <f t="shared" ref="M53" si="34">SUM(I53:K53)</f>
        <v>968101.45</v>
      </c>
    </row>
    <row r="54" spans="2:24" ht="15.95" customHeight="1" x14ac:dyDescent="0.25">
      <c r="B54" s="22"/>
      <c r="C54" s="39"/>
      <c r="D54" s="39"/>
      <c r="E54" s="39"/>
      <c r="F54" s="39"/>
      <c r="G54" s="39"/>
      <c r="H54" s="39"/>
      <c r="I54" s="39"/>
      <c r="J54" s="39"/>
      <c r="K54" s="39"/>
      <c r="L54" s="39"/>
      <c r="M54" s="39"/>
    </row>
    <row r="55" spans="2:24" ht="15.75" x14ac:dyDescent="0.25">
      <c r="B55" s="88" t="s">
        <v>14</v>
      </c>
      <c r="C55" s="88"/>
      <c r="D55" s="88"/>
      <c r="E55" s="88"/>
      <c r="F55" s="88"/>
      <c r="G55" s="88"/>
      <c r="H55" s="88"/>
      <c r="I55" s="88"/>
      <c r="J55" s="88"/>
      <c r="K55"/>
      <c r="L55" s="88" t="s">
        <v>85</v>
      </c>
      <c r="M55" s="90"/>
      <c r="N55" s="90"/>
      <c r="O55" s="90"/>
      <c r="P55" s="88"/>
      <c r="Q55" s="90"/>
      <c r="R55" s="90"/>
      <c r="S55" s="90"/>
      <c r="T55" s="90"/>
      <c r="U55" s="90"/>
      <c r="V55" s="90"/>
    </row>
    <row r="56" spans="2:24" ht="15.75" customHeight="1" x14ac:dyDescent="0.25">
      <c r="B56" s="128" t="s">
        <v>1</v>
      </c>
      <c r="C56" s="3" t="s">
        <v>76</v>
      </c>
      <c r="D56" s="4"/>
      <c r="E56" s="4"/>
      <c r="F56" s="4"/>
      <c r="G56" s="116" t="s">
        <v>2</v>
      </c>
      <c r="H56" s="116"/>
      <c r="I56" s="116"/>
      <c r="J56" s="116"/>
      <c r="K56"/>
      <c r="L56" s="128" t="s">
        <v>1</v>
      </c>
      <c r="M56" s="116" t="s">
        <v>76</v>
      </c>
      <c r="N56" s="116"/>
      <c r="O56" s="116"/>
      <c r="P56" s="116"/>
      <c r="Q56" s="143" t="s">
        <v>87</v>
      </c>
      <c r="R56" s="144"/>
      <c r="S56" s="144"/>
      <c r="T56" s="144"/>
      <c r="U56" s="144"/>
      <c r="V56" s="144"/>
    </row>
    <row r="57" spans="2:24" ht="24" x14ac:dyDescent="0.25">
      <c r="B57" s="129"/>
      <c r="C57" s="29" t="s">
        <v>15</v>
      </c>
      <c r="D57" s="2" t="s">
        <v>82</v>
      </c>
      <c r="E57" s="7" t="s">
        <v>83</v>
      </c>
      <c r="F57" s="6" t="s">
        <v>5</v>
      </c>
      <c r="G57" s="7" t="s">
        <v>66</v>
      </c>
      <c r="H57" s="6" t="s">
        <v>84</v>
      </c>
      <c r="I57" s="29" t="s">
        <v>83</v>
      </c>
      <c r="J57" s="28" t="s">
        <v>5</v>
      </c>
      <c r="K57"/>
      <c r="L57" s="129"/>
      <c r="M57" s="6" t="s">
        <v>11</v>
      </c>
      <c r="N57" s="28" t="s">
        <v>13</v>
      </c>
      <c r="O57" s="29" t="s">
        <v>86</v>
      </c>
      <c r="P57" s="28" t="s">
        <v>5</v>
      </c>
      <c r="Q57" s="29" t="s">
        <v>88</v>
      </c>
      <c r="R57" s="29" t="s">
        <v>89</v>
      </c>
      <c r="S57" s="29" t="s">
        <v>90</v>
      </c>
      <c r="T57" s="78"/>
      <c r="U57" s="78"/>
      <c r="V57" s="36" t="s">
        <v>5</v>
      </c>
    </row>
    <row r="58" spans="2:24" ht="15.95" customHeight="1" x14ac:dyDescent="0.2">
      <c r="B58" s="8">
        <f t="shared" ref="B58:B69" si="35">+B6</f>
        <v>44562</v>
      </c>
      <c r="C58" s="12">
        <f>[6]Feuil1!$V$40</f>
        <v>73987</v>
      </c>
      <c r="D58" s="12">
        <f>'[5]BU-3'!$F$39</f>
        <v>8552</v>
      </c>
      <c r="E58" s="12">
        <f>'[5]BU-2'!$E$34</f>
        <v>0</v>
      </c>
      <c r="F58" s="12">
        <f>SUM(C58:E58)</f>
        <v>82539</v>
      </c>
      <c r="G58" s="12">
        <f>'[5]BU-3'!$F$56</f>
        <v>78367.7</v>
      </c>
      <c r="H58" s="10">
        <f>+G41</f>
        <v>3017.3</v>
      </c>
      <c r="I58" s="10">
        <f>'[5]BU-2'!$E$35</f>
        <v>1154</v>
      </c>
      <c r="J58" s="12">
        <f>SUM(G58:I58)</f>
        <v>82539</v>
      </c>
      <c r="K58" s="51">
        <f>+J58-F58</f>
        <v>0</v>
      </c>
      <c r="L58" s="8">
        <f>+B58</f>
        <v>44562</v>
      </c>
      <c r="M58" s="10">
        <f>'[5]BU-3'!$F$72</f>
        <v>37186</v>
      </c>
      <c r="N58" s="10">
        <f>'[5]BU-3'!$F$47</f>
        <v>22879</v>
      </c>
      <c r="O58" s="10">
        <f>[6]Feuil1!$BB$40</f>
        <v>15135.2</v>
      </c>
      <c r="P58" s="12">
        <f>SUM(M58:O58)</f>
        <v>75200.2</v>
      </c>
      <c r="Q58" s="10">
        <f>[6]Feuil1!$BD$40</f>
        <v>14210</v>
      </c>
      <c r="R58" s="20">
        <f>[6]Feuil1!$BE$40</f>
        <v>29721</v>
      </c>
      <c r="S58" s="12">
        <f>[6]Feuil1!$BF$40</f>
        <v>31269</v>
      </c>
      <c r="T58" s="12"/>
      <c r="U58" s="12"/>
      <c r="V58" s="12">
        <f>SUM(Q58:S58)</f>
        <v>75200</v>
      </c>
      <c r="W58" s="13">
        <f>+V58-P58</f>
        <v>-0.19999999999708962</v>
      </c>
      <c r="X58" s="13">
        <f>+I41-M58</f>
        <v>5120</v>
      </c>
    </row>
    <row r="59" spans="2:24" ht="15.95" customHeight="1" x14ac:dyDescent="0.2">
      <c r="B59" s="8">
        <f t="shared" si="35"/>
        <v>44593</v>
      </c>
      <c r="C59" s="12">
        <f>[8]Feuil1!$V$40</f>
        <v>61156</v>
      </c>
      <c r="D59" s="12">
        <f>'[7]BU-3'!$F$39</f>
        <v>33189</v>
      </c>
      <c r="E59" s="12">
        <f>'[7]BU-2'!$E$34</f>
        <v>0</v>
      </c>
      <c r="F59" s="12">
        <f>SUM(C59:E59)</f>
        <v>94345</v>
      </c>
      <c r="G59" s="12">
        <f>'[7]BU-3'!$F$56</f>
        <v>90414</v>
      </c>
      <c r="H59" s="10">
        <f t="shared" ref="H59:H66" si="36">+G42</f>
        <v>3193</v>
      </c>
      <c r="I59" s="10">
        <f>'[7]BU-2'!$E$35</f>
        <v>738</v>
      </c>
      <c r="J59" s="12">
        <f t="shared" ref="J59:J63" si="37">SUM(G59:I59)</f>
        <v>94345</v>
      </c>
      <c r="K59" s="51">
        <f>+J59-F59</f>
        <v>0</v>
      </c>
      <c r="L59" s="8">
        <f t="shared" ref="L59:L69" si="38">+B59</f>
        <v>44593</v>
      </c>
      <c r="M59" s="10">
        <f>'[7]BU-3'!$F$72</f>
        <v>25053</v>
      </c>
      <c r="N59" s="10">
        <f>'[7]BU-3'!$F$47</f>
        <v>13189</v>
      </c>
      <c r="O59" s="10">
        <f>[8]Feuil1!$BB$40</f>
        <v>26451.1</v>
      </c>
      <c r="P59" s="12">
        <f t="shared" ref="P59:P68" si="39">SUM(M59:O59)</f>
        <v>64693.1</v>
      </c>
      <c r="Q59" s="10">
        <f>[8]Feuil1!$BD$40</f>
        <v>18800</v>
      </c>
      <c r="R59" s="20">
        <f>[8]Feuil1!$BE$40</f>
        <v>21172</v>
      </c>
      <c r="S59" s="12">
        <f>[8]Feuil1!$BF$40</f>
        <v>20281</v>
      </c>
      <c r="T59" s="12"/>
      <c r="U59" s="12"/>
      <c r="V59" s="12">
        <f t="shared" ref="V59:V68" si="40">SUM(Q59:S59)</f>
        <v>60253</v>
      </c>
      <c r="W59" s="13">
        <f>+V59-P59</f>
        <v>-4440.0999999999985</v>
      </c>
      <c r="X59" s="13">
        <f t="shared" ref="X59:X69" si="41">+I42-M59</f>
        <v>8911</v>
      </c>
    </row>
    <row r="60" spans="2:24" ht="15.95" customHeight="1" x14ac:dyDescent="0.2">
      <c r="B60" s="8">
        <f t="shared" si="35"/>
        <v>44621</v>
      </c>
      <c r="C60" s="12">
        <f>[10]Feuil1!$V$40</f>
        <v>152140</v>
      </c>
      <c r="D60" s="12">
        <f>'[9]BU-3'!$F$39</f>
        <v>9438</v>
      </c>
      <c r="E60" s="12">
        <f>'[9]BU-2'!$E$34</f>
        <v>0</v>
      </c>
      <c r="F60" s="12">
        <f t="shared" ref="F60:F68" si="42">SUM(C60:E60)</f>
        <v>161578</v>
      </c>
      <c r="G60" s="12">
        <f>'[9]BU-3'!$F$56</f>
        <v>156699</v>
      </c>
      <c r="H60" s="10">
        <f t="shared" si="36"/>
        <v>4879</v>
      </c>
      <c r="I60" s="10">
        <f>'[9]BU-2'!$E$35</f>
        <v>0</v>
      </c>
      <c r="J60" s="12">
        <f t="shared" si="37"/>
        <v>161578</v>
      </c>
      <c r="K60" s="51">
        <f t="shared" ref="K60:K70" si="43">+J60-F60</f>
        <v>0</v>
      </c>
      <c r="L60" s="8">
        <f t="shared" si="38"/>
        <v>44621</v>
      </c>
      <c r="M60" s="10">
        <f>'[9]BU-3'!$F$72</f>
        <v>64900</v>
      </c>
      <c r="N60" s="10">
        <f>'[9]BU-3'!$F$47</f>
        <v>20895</v>
      </c>
      <c r="O60" s="10">
        <f>[10]Feuil1!$BB$40</f>
        <v>27607</v>
      </c>
      <c r="P60" s="12">
        <f t="shared" si="39"/>
        <v>113402</v>
      </c>
      <c r="Q60" s="10">
        <f>[10]Feuil1!$BD$40</f>
        <v>54726</v>
      </c>
      <c r="R60" s="20">
        <f>[10]Feuil1!$BE$40</f>
        <v>55052</v>
      </c>
      <c r="S60" s="12">
        <f>[10]Feuil1!$BF$40</f>
        <v>41353</v>
      </c>
      <c r="T60" s="12"/>
      <c r="U60" s="12"/>
      <c r="V60" s="12">
        <f t="shared" si="40"/>
        <v>151131</v>
      </c>
      <c r="W60" s="13">
        <f>+V60-P60</f>
        <v>37729</v>
      </c>
      <c r="X60" s="13">
        <f t="shared" si="41"/>
        <v>12291</v>
      </c>
    </row>
    <row r="61" spans="2:24" ht="15.95" customHeight="1" x14ac:dyDescent="0.2">
      <c r="B61" s="8">
        <f t="shared" si="35"/>
        <v>44652</v>
      </c>
      <c r="C61" s="12">
        <f>[12]Feuil1!$V$40</f>
        <v>143356</v>
      </c>
      <c r="D61" s="12">
        <f>'[11]BU-3'!$F$39</f>
        <v>6106</v>
      </c>
      <c r="E61" s="12">
        <f>'[11]BU-2'!$E$34</f>
        <v>0</v>
      </c>
      <c r="F61" s="12">
        <f t="shared" si="42"/>
        <v>149462</v>
      </c>
      <c r="G61" s="12">
        <f>'[11]BU-3'!$F$56</f>
        <v>144463</v>
      </c>
      <c r="H61" s="10">
        <f t="shared" si="36"/>
        <v>4999</v>
      </c>
      <c r="I61" s="10">
        <f>'[11]BU-2'!$E$35</f>
        <v>0</v>
      </c>
      <c r="J61" s="12">
        <f t="shared" si="37"/>
        <v>149462</v>
      </c>
      <c r="K61" s="51">
        <f>+J61-F61</f>
        <v>0</v>
      </c>
      <c r="L61" s="8">
        <f t="shared" si="38"/>
        <v>44652</v>
      </c>
      <c r="M61" s="10">
        <f>'[11]BU-3'!$F$72</f>
        <v>51766.35</v>
      </c>
      <c r="N61" s="10">
        <f>'[11]BU-3'!$F$47</f>
        <v>73884.650000000009</v>
      </c>
      <c r="O61" s="10">
        <f>[12]Feuil1!$BB$40</f>
        <v>24270</v>
      </c>
      <c r="P61" s="12">
        <f t="shared" si="39"/>
        <v>149921</v>
      </c>
      <c r="Q61" s="10">
        <f>[12]Feuil1!$BD$40</f>
        <v>57755</v>
      </c>
      <c r="R61" s="20">
        <f>[12]Feuil1!$BE$40</f>
        <v>41222</v>
      </c>
      <c r="S61" s="12">
        <f>[12]Feuil1!$BF$40</f>
        <v>50944</v>
      </c>
      <c r="T61" s="12"/>
      <c r="U61" s="12"/>
      <c r="V61" s="12">
        <f t="shared" si="40"/>
        <v>149921</v>
      </c>
      <c r="W61" s="13">
        <f>+V61-P61</f>
        <v>0</v>
      </c>
      <c r="X61" s="13">
        <f t="shared" si="41"/>
        <v>21506.65</v>
      </c>
    </row>
    <row r="62" spans="2:24" ht="15.95" customHeight="1" x14ac:dyDescent="0.2">
      <c r="B62" s="8">
        <f t="shared" si="35"/>
        <v>44682</v>
      </c>
      <c r="C62" s="12">
        <f>[14]Feuil1!$V$40</f>
        <v>152852</v>
      </c>
      <c r="D62" s="12">
        <f>'[13]BU-3'!$F$39</f>
        <v>12542.75</v>
      </c>
      <c r="E62" s="12">
        <f>'[13]BU-2'!$E$34</f>
        <v>0</v>
      </c>
      <c r="F62" s="12">
        <f>SUM(C62:E62)</f>
        <v>165394.75</v>
      </c>
      <c r="G62" s="12">
        <f>'[13]BU-3'!$F$56</f>
        <v>160110.75</v>
      </c>
      <c r="H62" s="10">
        <f t="shared" si="36"/>
        <v>5284</v>
      </c>
      <c r="I62" s="10">
        <f>'[13]BU-2'!$E$35</f>
        <v>0</v>
      </c>
      <c r="J62" s="12">
        <f t="shared" si="37"/>
        <v>165394.75</v>
      </c>
      <c r="K62" s="51">
        <f t="shared" si="43"/>
        <v>0</v>
      </c>
      <c r="L62" s="8">
        <f t="shared" si="38"/>
        <v>44682</v>
      </c>
      <c r="M62" s="10">
        <f>'[13]BU-3'!$F$72</f>
        <v>63591.670000000006</v>
      </c>
      <c r="N62" s="10">
        <f>'[13]BU-3'!$F$47</f>
        <v>67324.33</v>
      </c>
      <c r="O62" s="10">
        <f>[14]Feuil1!$BB$40</f>
        <v>24241</v>
      </c>
      <c r="P62" s="12">
        <f t="shared" si="39"/>
        <v>155157</v>
      </c>
      <c r="Q62" s="10">
        <f>[14]Feuil1!$BD$40</f>
        <v>41191</v>
      </c>
      <c r="R62" s="20">
        <f>[14]Feuil1!$BE$40</f>
        <v>56969</v>
      </c>
      <c r="S62" s="12">
        <f>[14]Feuil1!$BF$40</f>
        <v>56997</v>
      </c>
      <c r="T62" s="12"/>
      <c r="U62" s="12"/>
      <c r="V62" s="12">
        <f t="shared" si="40"/>
        <v>155157</v>
      </c>
      <c r="W62" s="13">
        <f t="shared" ref="W62:W68" si="44">+V62-P62</f>
        <v>0</v>
      </c>
      <c r="X62" s="13">
        <f t="shared" si="41"/>
        <v>16211.329999999994</v>
      </c>
    </row>
    <row r="63" spans="2:24" ht="15.95" customHeight="1" x14ac:dyDescent="0.2">
      <c r="B63" s="8">
        <f t="shared" si="35"/>
        <v>44713</v>
      </c>
      <c r="C63" s="12">
        <f>[16]Feuil1!$V$40</f>
        <v>148573</v>
      </c>
      <c r="D63" s="12">
        <f>'[15]BU-3'!$F$39</f>
        <v>11818</v>
      </c>
      <c r="E63" s="12">
        <f>'[15]BU-2'!$E$34</f>
        <v>0</v>
      </c>
      <c r="F63" s="12">
        <f t="shared" si="42"/>
        <v>160391</v>
      </c>
      <c r="G63" s="12">
        <f>'[15]BU-3'!$F$56</f>
        <v>155074</v>
      </c>
      <c r="H63" s="10">
        <f>+G46</f>
        <v>5317</v>
      </c>
      <c r="I63" s="10">
        <f>'[15]BU-2'!$E$35</f>
        <v>0</v>
      </c>
      <c r="J63" s="12">
        <f t="shared" si="37"/>
        <v>160391</v>
      </c>
      <c r="K63" s="51">
        <f>+J63-F63</f>
        <v>0</v>
      </c>
      <c r="L63" s="8">
        <f t="shared" si="38"/>
        <v>44713</v>
      </c>
      <c r="M63" s="10">
        <f>'[15]BU-3'!$F$72</f>
        <v>66503.100000000006</v>
      </c>
      <c r="N63" s="10">
        <f>'[15]BU-3'!$F$47</f>
        <v>58192.9</v>
      </c>
      <c r="O63" s="10">
        <f>[16]Feuil1!$BB$40</f>
        <v>23982</v>
      </c>
      <c r="P63" s="12">
        <f t="shared" si="39"/>
        <v>148678</v>
      </c>
      <c r="Q63" s="10">
        <f>[16]Feuil1!$BD$40</f>
        <v>48219</v>
      </c>
      <c r="R63" s="20">
        <f>[16]Feuil1!$BE$40</f>
        <v>54188</v>
      </c>
      <c r="S63" s="12">
        <f>[16]Feuil1!$BF$40</f>
        <v>46271</v>
      </c>
      <c r="T63" s="12"/>
      <c r="U63" s="12"/>
      <c r="V63" s="12">
        <f t="shared" si="40"/>
        <v>148678</v>
      </c>
      <c r="W63" s="13">
        <f t="shared" si="44"/>
        <v>0</v>
      </c>
      <c r="X63" s="13">
        <f t="shared" si="41"/>
        <v>9916.8999999999942</v>
      </c>
    </row>
    <row r="64" spans="2:24" ht="15.95" customHeight="1" x14ac:dyDescent="0.2">
      <c r="B64" s="8">
        <f t="shared" si="35"/>
        <v>44743</v>
      </c>
      <c r="C64" s="12">
        <f>[18]Feuil1!$V$40</f>
        <v>128626</v>
      </c>
      <c r="D64" s="12">
        <f>'[17]BU-3'!$F$39</f>
        <v>14441</v>
      </c>
      <c r="E64" s="12">
        <f>'[17]BU-2'!$E$34</f>
        <v>0</v>
      </c>
      <c r="F64" s="12">
        <f t="shared" ref="F64" si="45">SUM(C64:E64)</f>
        <v>143067</v>
      </c>
      <c r="G64" s="12">
        <f>'[17]BU-3'!$F$56</f>
        <v>137868</v>
      </c>
      <c r="H64" s="10">
        <f t="shared" si="36"/>
        <v>5071</v>
      </c>
      <c r="I64" s="10">
        <f>'[17]BU-2'!$E$35</f>
        <v>128</v>
      </c>
      <c r="J64" s="12">
        <f t="shared" ref="J64" si="46">SUM(G64:I64)</f>
        <v>143067</v>
      </c>
      <c r="K64" s="51">
        <f t="shared" si="43"/>
        <v>0</v>
      </c>
      <c r="L64" s="8">
        <f t="shared" si="38"/>
        <v>44743</v>
      </c>
      <c r="M64" s="10">
        <f>'[17]BU-3'!$F$72</f>
        <v>58957.5</v>
      </c>
      <c r="N64" s="10">
        <f>'[17]BU-3'!$F$47</f>
        <v>46293.5</v>
      </c>
      <c r="O64" s="10">
        <f>[18]Feuil1!$BB$40</f>
        <v>22445</v>
      </c>
      <c r="P64" s="12">
        <f t="shared" ref="P64" si="47">SUM(M64:O64)</f>
        <v>127696</v>
      </c>
      <c r="Q64" s="10">
        <f>[18]Feuil1!$BD$40</f>
        <v>40333</v>
      </c>
      <c r="R64" s="20">
        <f>[18]Feuil1!$BE$40</f>
        <v>47518</v>
      </c>
      <c r="S64" s="12">
        <f>[18]Feuil1!$BF$40</f>
        <v>39845</v>
      </c>
      <c r="T64" s="12"/>
      <c r="U64" s="12"/>
      <c r="V64" s="12">
        <f>SUM(Q64:S64)</f>
        <v>127696</v>
      </c>
      <c r="W64" s="13">
        <f t="shared" si="44"/>
        <v>0</v>
      </c>
      <c r="X64" s="13">
        <f t="shared" si="41"/>
        <v>9265.5</v>
      </c>
    </row>
    <row r="65" spans="2:41" ht="15.95" customHeight="1" x14ac:dyDescent="0.2">
      <c r="B65" s="8">
        <f t="shared" si="35"/>
        <v>44774</v>
      </c>
      <c r="C65" s="12">
        <f>[20]Feuil1!$V$40</f>
        <v>132859</v>
      </c>
      <c r="D65" s="12">
        <f>'[19]BU-3'!$F$39</f>
        <v>21281</v>
      </c>
      <c r="E65" s="12">
        <f>'[19]BU-2'!$E$34</f>
        <v>0</v>
      </c>
      <c r="F65" s="12">
        <f>SUM(C65:E65)</f>
        <v>154140</v>
      </c>
      <c r="G65" s="12">
        <f>'[19]BU-3'!$F$56</f>
        <v>148069</v>
      </c>
      <c r="H65" s="10">
        <f t="shared" si="36"/>
        <v>5938</v>
      </c>
      <c r="I65" s="10">
        <f>'[19]BU-2'!$E$35</f>
        <v>133</v>
      </c>
      <c r="J65" s="12">
        <f>SUM(G65:I65)</f>
        <v>154140</v>
      </c>
      <c r="K65" s="51">
        <f t="shared" si="43"/>
        <v>0</v>
      </c>
      <c r="L65" s="8">
        <f t="shared" si="38"/>
        <v>44774</v>
      </c>
      <c r="M65" s="10">
        <f>'[19]BU-3'!$F$72</f>
        <v>70505.87999999999</v>
      </c>
      <c r="N65" s="10">
        <f>'[19]BU-3'!$F$47</f>
        <v>36366.020000000004</v>
      </c>
      <c r="O65" s="10">
        <f>[20]Feuil1!$BB$40</f>
        <v>26235</v>
      </c>
      <c r="P65" s="12">
        <f>SUM(M65:O65)</f>
        <v>133106.9</v>
      </c>
      <c r="Q65" s="10">
        <f>[20]Feuil1!$BD$40</f>
        <v>53873</v>
      </c>
      <c r="R65" s="20">
        <f>[20]Feuil1!$BE$40</f>
        <v>37199</v>
      </c>
      <c r="S65" s="12">
        <f>[20]Feuil1!$BF$40</f>
        <v>42035</v>
      </c>
      <c r="T65" s="12"/>
      <c r="U65" s="12"/>
      <c r="V65" s="12">
        <f t="shared" si="40"/>
        <v>133107</v>
      </c>
      <c r="W65" s="13">
        <f>+V65-P65</f>
        <v>0.10000000000582077</v>
      </c>
      <c r="X65" s="13">
        <f t="shared" si="41"/>
        <v>6251.320000000007</v>
      </c>
    </row>
    <row r="66" spans="2:41" ht="15.95" customHeight="1" x14ac:dyDescent="0.2">
      <c r="B66" s="8">
        <f t="shared" si="35"/>
        <v>44805</v>
      </c>
      <c r="C66" s="12">
        <f>[22]Feuil1!$V$40</f>
        <v>145830</v>
      </c>
      <c r="D66" s="12">
        <f>'[21]BU-3'!$F$39</f>
        <v>9066</v>
      </c>
      <c r="E66" s="12">
        <f>'[21]BU-2'!$E$34</f>
        <v>0</v>
      </c>
      <c r="F66" s="12">
        <f>SUM(C66:E66)</f>
        <v>154896</v>
      </c>
      <c r="G66" s="12">
        <f>'[21]BU-3'!$F$56</f>
        <v>150533</v>
      </c>
      <c r="H66" s="10">
        <f t="shared" si="36"/>
        <v>4363</v>
      </c>
      <c r="I66" s="10">
        <f>'[21]BU-2'!$E$35</f>
        <v>0</v>
      </c>
      <c r="J66" s="12">
        <f>SUM(G66:I66)</f>
        <v>154896</v>
      </c>
      <c r="K66" s="51">
        <f t="shared" si="43"/>
        <v>0</v>
      </c>
      <c r="L66" s="8">
        <f t="shared" si="38"/>
        <v>44805</v>
      </c>
      <c r="M66" s="10">
        <f>'[21]BU-3'!$F$72</f>
        <v>60565</v>
      </c>
      <c r="N66" s="10">
        <f>'[21]BU-3'!$F$47</f>
        <v>52448.9</v>
      </c>
      <c r="O66" s="10">
        <f>[22]Feuil1!$BB$40</f>
        <v>32816</v>
      </c>
      <c r="P66" s="12">
        <f>SUM(M66:O66)</f>
        <v>145829.9</v>
      </c>
      <c r="Q66" s="10">
        <f>[22]Feuil1!$BD$40</f>
        <v>48725</v>
      </c>
      <c r="R66" s="20">
        <f>[22]Feuil1!$BE$40</f>
        <v>39679</v>
      </c>
      <c r="S66" s="12">
        <f>[22]Feuil1!$BF$40</f>
        <v>57426</v>
      </c>
      <c r="T66" s="12"/>
      <c r="U66" s="12"/>
      <c r="V66" s="12">
        <f>SUM(Q66:S66)</f>
        <v>145830</v>
      </c>
      <c r="W66" s="13">
        <f t="shared" si="44"/>
        <v>0.10000000000582077</v>
      </c>
      <c r="X66" s="13">
        <f t="shared" si="41"/>
        <v>18234</v>
      </c>
    </row>
    <row r="67" spans="2:41" ht="15.95" customHeight="1" x14ac:dyDescent="0.2">
      <c r="B67" s="8">
        <f t="shared" si="35"/>
        <v>44835</v>
      </c>
      <c r="C67" s="12">
        <f>[24]Feuil1!$V$40</f>
        <v>148533</v>
      </c>
      <c r="D67" s="12">
        <f>'[23]BU-3'!$F$39</f>
        <v>10984</v>
      </c>
      <c r="E67" s="12">
        <f>'[23]BU-2'!$E$34</f>
        <v>0</v>
      </c>
      <c r="F67" s="12">
        <f>SUM(C67:E67)</f>
        <v>159517</v>
      </c>
      <c r="G67" s="12">
        <f>'[23]BU-3'!$F$56</f>
        <v>155086</v>
      </c>
      <c r="H67" s="10">
        <f>+G50</f>
        <v>4431</v>
      </c>
      <c r="I67" s="10">
        <f>'[23]BU-2'!$E$35</f>
        <v>0</v>
      </c>
      <c r="J67" s="12">
        <f>SUM(G67:I67)</f>
        <v>159517</v>
      </c>
      <c r="K67" s="51">
        <f t="shared" ref="K67" si="48">+J67-F67</f>
        <v>0</v>
      </c>
      <c r="L67" s="8">
        <f t="shared" ref="L67" si="49">+B67</f>
        <v>44835</v>
      </c>
      <c r="M67" s="10">
        <f>'[23]BU-3'!$F$72</f>
        <v>71517</v>
      </c>
      <c r="N67" s="10">
        <f>'[23]BU-3'!$F$47</f>
        <v>51511</v>
      </c>
      <c r="O67" s="10">
        <f>[24]Feuil1!$BB$40</f>
        <v>25670</v>
      </c>
      <c r="P67" s="12">
        <f>SUM(M67:O67)</f>
        <v>148698</v>
      </c>
      <c r="Q67" s="10">
        <f>[24]Feuil1!$BD$40</f>
        <v>48811</v>
      </c>
      <c r="R67" s="20">
        <f>[24]Feuil1!$BE$40</f>
        <v>39606</v>
      </c>
      <c r="S67" s="12">
        <f>[24]Feuil1!$BF$40</f>
        <v>60281</v>
      </c>
      <c r="T67" s="12"/>
      <c r="U67" s="12"/>
      <c r="V67" s="12">
        <f>SUM(Q67:S67)</f>
        <v>148698</v>
      </c>
      <c r="W67" s="13">
        <f>+V67-P67</f>
        <v>0</v>
      </c>
      <c r="X67" s="13">
        <f t="shared" si="41"/>
        <v>12672</v>
      </c>
    </row>
    <row r="68" spans="2:41" ht="15.95" customHeight="1" x14ac:dyDescent="0.2">
      <c r="B68" s="8">
        <f t="shared" si="35"/>
        <v>44866</v>
      </c>
      <c r="C68" s="12">
        <f>[26]Feuil1!$V$40</f>
        <v>128000</v>
      </c>
      <c r="D68" s="12">
        <f>'[25]BU-3'!$F$39</f>
        <v>11441</v>
      </c>
      <c r="E68" s="12">
        <f>'[25]BU-2'!$E$34</f>
        <v>0</v>
      </c>
      <c r="F68" s="12">
        <f t="shared" si="42"/>
        <v>139441</v>
      </c>
      <c r="G68" s="12">
        <f>'[25]BU-3'!$F$56</f>
        <v>135132</v>
      </c>
      <c r="H68" s="10">
        <f>+G51</f>
        <v>4309</v>
      </c>
      <c r="I68" s="10">
        <f>'[25]BU-2'!$E$35</f>
        <v>0</v>
      </c>
      <c r="J68" s="12">
        <f>SUM(G68:I68)</f>
        <v>139441</v>
      </c>
      <c r="K68" s="51">
        <f t="shared" si="43"/>
        <v>0</v>
      </c>
      <c r="L68" s="8">
        <f t="shared" si="38"/>
        <v>44866</v>
      </c>
      <c r="M68" s="10">
        <f>'[25]BU-3'!$F$72</f>
        <v>60929</v>
      </c>
      <c r="N68" s="10">
        <f>'[25]BU-3'!$F$47</f>
        <v>44697</v>
      </c>
      <c r="O68" s="10">
        <f>[26]Feuil1!$BB$40</f>
        <v>22374</v>
      </c>
      <c r="P68" s="12">
        <f t="shared" si="39"/>
        <v>128000</v>
      </c>
      <c r="Q68" s="10">
        <f>[26]Feuil1!$BD$40</f>
        <v>39105</v>
      </c>
      <c r="R68" s="20">
        <f>[26]Feuil1!$BE$40</f>
        <v>47737</v>
      </c>
      <c r="S68" s="12">
        <f>[26]Feuil1!$BF$40</f>
        <v>41158</v>
      </c>
      <c r="T68" s="12"/>
      <c r="U68" s="12"/>
      <c r="V68" s="12">
        <f t="shared" si="40"/>
        <v>128000</v>
      </c>
      <c r="W68" s="13">
        <f t="shared" si="44"/>
        <v>0</v>
      </c>
      <c r="X68" s="13">
        <f t="shared" si="41"/>
        <v>12144</v>
      </c>
    </row>
    <row r="69" spans="2:41" ht="15.95" customHeight="1" x14ac:dyDescent="0.2">
      <c r="B69" s="8">
        <f t="shared" si="35"/>
        <v>44896</v>
      </c>
      <c r="C69" s="12">
        <f>[28]Feuil1!$V$40</f>
        <v>76568</v>
      </c>
      <c r="D69" s="12">
        <f>'[27]BU-3'!$F$39</f>
        <v>8793</v>
      </c>
      <c r="E69" s="12">
        <f>'[27]BU-2'!$E$34</f>
        <v>0</v>
      </c>
      <c r="F69" s="12">
        <f>SUM(C69:E69)</f>
        <v>85361</v>
      </c>
      <c r="G69" s="12">
        <f>'[27]BU-3'!$F$56</f>
        <v>78779</v>
      </c>
      <c r="H69" s="10">
        <f>+G52</f>
        <v>3889</v>
      </c>
      <c r="I69" s="10">
        <f>'[27]BU-2'!$E$35</f>
        <v>2693</v>
      </c>
      <c r="J69" s="12">
        <f>SUM(G69:I69)</f>
        <v>85361</v>
      </c>
      <c r="K69" s="51">
        <f t="shared" si="43"/>
        <v>0</v>
      </c>
      <c r="L69" s="8">
        <f t="shared" si="38"/>
        <v>44896</v>
      </c>
      <c r="M69" s="10">
        <f>'[27]BU-3'!$F$72</f>
        <v>33336</v>
      </c>
      <c r="N69" s="10">
        <f>'[27]BU-3'!$F$47</f>
        <v>26034</v>
      </c>
      <c r="O69" s="10">
        <f>[28]Feuil1!$BB$40</f>
        <v>20121</v>
      </c>
      <c r="P69" s="12">
        <f>SUM(M69:O69)</f>
        <v>79491</v>
      </c>
      <c r="Q69" s="10">
        <f>[28]Feuil1!$BD$40</f>
        <v>35337</v>
      </c>
      <c r="R69" s="20">
        <f>[28]Feuil1!$BE$40</f>
        <v>18193</v>
      </c>
      <c r="S69" s="12">
        <f>[28]Feuil1!$BF$40</f>
        <v>25961</v>
      </c>
      <c r="T69" s="12"/>
      <c r="U69" s="12"/>
      <c r="V69" s="12">
        <f>SUM(Q69:S69)</f>
        <v>79491</v>
      </c>
      <c r="W69" s="13">
        <f>+V69-P69</f>
        <v>0</v>
      </c>
      <c r="X69" s="13">
        <f t="shared" si="41"/>
        <v>12739</v>
      </c>
    </row>
    <row r="70" spans="2:41" ht="15.95" customHeight="1" x14ac:dyDescent="0.2">
      <c r="B70" s="8" t="s">
        <v>5</v>
      </c>
      <c r="C70" s="12">
        <f>SUM(C58:C69)</f>
        <v>1492480</v>
      </c>
      <c r="D70" s="12">
        <f t="shared" ref="D70:S70" si="50">SUM(D58:D69)</f>
        <v>157651.75</v>
      </c>
      <c r="E70" s="12">
        <f t="shared" si="50"/>
        <v>0</v>
      </c>
      <c r="F70" s="12">
        <f>SUM(F58:F69)</f>
        <v>1650131.75</v>
      </c>
      <c r="G70" s="12">
        <f t="shared" si="50"/>
        <v>1590595.45</v>
      </c>
      <c r="H70" s="12">
        <f t="shared" si="50"/>
        <v>54690.3</v>
      </c>
      <c r="I70" s="12">
        <f t="shared" si="50"/>
        <v>4846</v>
      </c>
      <c r="J70" s="11">
        <f t="shared" si="50"/>
        <v>1650131.75</v>
      </c>
      <c r="K70" s="51">
        <f t="shared" si="43"/>
        <v>0</v>
      </c>
      <c r="L70" s="8" t="s">
        <v>5</v>
      </c>
      <c r="M70" s="12">
        <f t="shared" si="50"/>
        <v>664810.5</v>
      </c>
      <c r="N70" s="12">
        <f t="shared" si="50"/>
        <v>513715.30000000005</v>
      </c>
      <c r="O70" s="12">
        <f t="shared" si="50"/>
        <v>291347.3</v>
      </c>
      <c r="P70" s="12">
        <f t="shared" si="50"/>
        <v>1469873.1</v>
      </c>
      <c r="Q70" s="12">
        <f t="shared" si="50"/>
        <v>501085</v>
      </c>
      <c r="R70" s="12">
        <f t="shared" si="50"/>
        <v>488256</v>
      </c>
      <c r="S70" s="12">
        <f t="shared" si="50"/>
        <v>513821</v>
      </c>
      <c r="T70" s="12"/>
      <c r="U70" s="12"/>
      <c r="V70" s="12">
        <f t="shared" ref="V70" si="51">SUM(V58:V69)</f>
        <v>1503162</v>
      </c>
    </row>
    <row r="71" spans="2:41" x14ac:dyDescent="0.25">
      <c r="Y71" s="134" t="s">
        <v>107</v>
      </c>
      <c r="Z71" s="134"/>
      <c r="AA71" s="134"/>
      <c r="AB71" s="134"/>
      <c r="AC71" s="134"/>
      <c r="AD71" s="134"/>
      <c r="AE71" s="134"/>
      <c r="AF71" s="134"/>
      <c r="AG71" s="134"/>
    </row>
    <row r="72" spans="2:41" ht="15.75" x14ac:dyDescent="0.25">
      <c r="B72" s="88" t="s">
        <v>16</v>
      </c>
      <c r="C72" s="88"/>
      <c r="D72" s="88"/>
      <c r="E72" s="88"/>
      <c r="F72" s="88"/>
      <c r="G72" s="88"/>
      <c r="H72" s="88" t="s">
        <v>17</v>
      </c>
      <c r="I72" s="88"/>
      <c r="J72" s="88"/>
      <c r="K72" s="88"/>
      <c r="L72" s="88"/>
      <c r="M72" s="88"/>
      <c r="N72" s="88" t="s">
        <v>27</v>
      </c>
      <c r="O72" s="88"/>
      <c r="P72" s="88"/>
      <c r="Q72" s="88"/>
      <c r="R72" s="88"/>
      <c r="S72" s="88"/>
      <c r="T72" s="91"/>
      <c r="U72" s="91"/>
    </row>
    <row r="73" spans="2:41" ht="15.75" customHeight="1" x14ac:dyDescent="0.25">
      <c r="B73" s="128" t="s">
        <v>1</v>
      </c>
      <c r="C73" s="123" t="s">
        <v>18</v>
      </c>
      <c r="D73" s="124"/>
      <c r="E73" s="124"/>
      <c r="F73" s="124"/>
      <c r="G73" s="125"/>
      <c r="H73" s="135" t="s">
        <v>19</v>
      </c>
      <c r="I73" s="124"/>
      <c r="J73" s="124"/>
      <c r="K73" s="124"/>
      <c r="L73" s="124"/>
      <c r="M73" s="136"/>
      <c r="N73" s="135" t="s">
        <v>93</v>
      </c>
      <c r="O73" s="124"/>
      <c r="P73" s="124"/>
      <c r="Q73" s="124"/>
      <c r="R73" s="124"/>
      <c r="S73" s="136"/>
      <c r="T73" s="82"/>
      <c r="U73" s="82"/>
      <c r="X73" s="91"/>
      <c r="Y73" s="74"/>
      <c r="Z73" s="74"/>
      <c r="AA73" s="137" t="s">
        <v>108</v>
      </c>
      <c r="AB73" s="137"/>
      <c r="AC73" s="137"/>
      <c r="AD73" s="138" t="s">
        <v>106</v>
      </c>
      <c r="AE73" s="138"/>
      <c r="AF73" s="68"/>
      <c r="AG73" s="137" t="s">
        <v>20</v>
      </c>
      <c r="AH73" s="137"/>
      <c r="AI73" s="65"/>
      <c r="AJ73" s="138" t="s">
        <v>105</v>
      </c>
      <c r="AK73" s="138"/>
      <c r="AL73" s="69"/>
    </row>
    <row r="74" spans="2:41" ht="24" x14ac:dyDescent="0.25">
      <c r="B74" s="129"/>
      <c r="C74" s="7" t="s">
        <v>91</v>
      </c>
      <c r="D74" s="6" t="s">
        <v>79</v>
      </c>
      <c r="E74" s="6" t="s">
        <v>6</v>
      </c>
      <c r="F74" s="6" t="s">
        <v>92</v>
      </c>
      <c r="G74" s="27" t="s">
        <v>5</v>
      </c>
      <c r="H74" s="17" t="s">
        <v>20</v>
      </c>
      <c r="I74" s="28" t="s">
        <v>21</v>
      </c>
      <c r="J74" s="29" t="s">
        <v>22</v>
      </c>
      <c r="K74" s="29" t="s">
        <v>24</v>
      </c>
      <c r="L74" s="29" t="s">
        <v>25</v>
      </c>
      <c r="M74" s="7" t="s">
        <v>26</v>
      </c>
      <c r="N74" s="28" t="s">
        <v>8</v>
      </c>
      <c r="O74" s="29" t="s">
        <v>28</v>
      </c>
      <c r="P74" s="28" t="s">
        <v>7</v>
      </c>
      <c r="Q74" s="29" t="s">
        <v>23</v>
      </c>
      <c r="R74" s="29" t="s">
        <v>29</v>
      </c>
      <c r="S74" s="29" t="s">
        <v>5</v>
      </c>
      <c r="T74" s="75"/>
      <c r="U74" s="75"/>
      <c r="X74" s="65" t="s">
        <v>106</v>
      </c>
      <c r="Y74" s="65" t="s">
        <v>20</v>
      </c>
      <c r="Z74" s="65" t="s">
        <v>105</v>
      </c>
      <c r="AA74" s="65" t="s">
        <v>106</v>
      </c>
      <c r="AB74" s="65" t="s">
        <v>20</v>
      </c>
      <c r="AC74" s="65" t="s">
        <v>105</v>
      </c>
      <c r="AD74" s="68" t="s">
        <v>110</v>
      </c>
      <c r="AE74" s="69" t="s">
        <v>109</v>
      </c>
      <c r="AF74" s="69"/>
      <c r="AG74" s="65" t="s">
        <v>110</v>
      </c>
      <c r="AH74" s="66" t="s">
        <v>109</v>
      </c>
      <c r="AI74" s="66"/>
      <c r="AJ74" s="68" t="s">
        <v>110</v>
      </c>
      <c r="AK74" s="69" t="s">
        <v>109</v>
      </c>
      <c r="AL74" s="69"/>
    </row>
    <row r="75" spans="2:41" ht="15.95" customHeight="1" x14ac:dyDescent="0.25">
      <c r="B75" s="8">
        <f t="shared" ref="B75:B86" si="52">+B6</f>
        <v>44562</v>
      </c>
      <c r="C75" s="10">
        <f>'[5]BU-2'!$E$15</f>
        <v>137759</v>
      </c>
      <c r="D75" s="10">
        <f>'[5]BU-3'!$F$69</f>
        <v>104487.5</v>
      </c>
      <c r="E75" s="10">
        <f>'[5]BU-3'!$F$13-D75</f>
        <v>33871.649999999994</v>
      </c>
      <c r="F75" s="10">
        <f>'[5]BU-3'!$F$41</f>
        <v>0</v>
      </c>
      <c r="G75" s="10">
        <f>+SUM(D75:F75)</f>
        <v>138359.15</v>
      </c>
      <c r="H75" s="10">
        <f>'[5]BU-2'!$E$17</f>
        <v>33871.65</v>
      </c>
      <c r="I75" s="10">
        <f>'[5]BU-3'!$F$12</f>
        <v>1986</v>
      </c>
      <c r="J75" s="10">
        <f>'[5]BU-3'!$F$45</f>
        <v>1250</v>
      </c>
      <c r="K75" s="10">
        <f>[6]Feuil1!$AO$40</f>
        <v>17106</v>
      </c>
      <c r="L75" s="10">
        <f>[6]Feuil1!$AP$40</f>
        <v>13840</v>
      </c>
      <c r="M75" s="10">
        <f>SUM(I75:L75)</f>
        <v>34182</v>
      </c>
      <c r="N75" s="10">
        <f>'[5]BU-2'!$E$18</f>
        <v>30946</v>
      </c>
      <c r="O75" s="10">
        <f>[6]Feuil1!$AX$40</f>
        <v>14948.800000000001</v>
      </c>
      <c r="P75" s="10">
        <f>'[5]BU-3'!$F$58</f>
        <v>10587</v>
      </c>
      <c r="Q75" s="10">
        <f>'[5]BU-3'!$F$44</f>
        <v>5650</v>
      </c>
      <c r="R75" s="10"/>
      <c r="S75" s="10">
        <f t="shared" ref="S75:S80" si="53">SUM(O75:R75)</f>
        <v>31185.800000000003</v>
      </c>
      <c r="T75" s="76"/>
      <c r="U75" s="76">
        <f>+Q75/160</f>
        <v>35.3125</v>
      </c>
      <c r="V75" s="94">
        <f>+Q75/N75</f>
        <v>0.18257610030375493</v>
      </c>
      <c r="X75" s="75"/>
      <c r="Y75" s="75"/>
      <c r="Z75" s="75"/>
      <c r="AA75" s="66"/>
      <c r="AB75" s="66"/>
      <c r="AC75" s="66"/>
      <c r="AD75" s="69"/>
      <c r="AE75" s="69"/>
      <c r="AF75" s="69"/>
      <c r="AG75" s="66"/>
      <c r="AH75" s="66"/>
      <c r="AI75" s="66"/>
      <c r="AJ75" s="69"/>
      <c r="AK75" s="69"/>
      <c r="AL75" s="69"/>
    </row>
    <row r="76" spans="2:41" ht="15.95" customHeight="1" x14ac:dyDescent="0.25">
      <c r="B76" s="8">
        <f t="shared" si="52"/>
        <v>44593</v>
      </c>
      <c r="C76" s="10">
        <f>'[7]BU-2'!$E$15</f>
        <v>158486</v>
      </c>
      <c r="D76" s="10">
        <f>'[7]BU-3'!$F$69</f>
        <v>105386</v>
      </c>
      <c r="E76" s="10">
        <f>'[7]BU-3'!$F$13-D76</f>
        <v>52600</v>
      </c>
      <c r="F76" s="10">
        <f>'[7]BU-3'!$F$41</f>
        <v>0</v>
      </c>
      <c r="G76" s="10">
        <f t="shared" ref="G76:G85" si="54">+SUM(D76:F76)</f>
        <v>157986</v>
      </c>
      <c r="H76" s="10">
        <f>'[7]BU-2'!$E$17</f>
        <v>52600</v>
      </c>
      <c r="I76" s="10">
        <f>'[7]BU-3'!$F$12</f>
        <v>1961</v>
      </c>
      <c r="J76" s="10">
        <f>'[7]BU-3'!$F$45</f>
        <v>1992</v>
      </c>
      <c r="K76" s="10">
        <f>[8]Feuil1!$AO$40</f>
        <v>25548</v>
      </c>
      <c r="L76" s="10">
        <f>[8]Feuil1!$AP$40</f>
        <v>22894</v>
      </c>
      <c r="M76" s="10">
        <f>SUM(I76:L76)</f>
        <v>52395</v>
      </c>
      <c r="N76" s="10">
        <f>'[7]BU-2'!$E$18</f>
        <v>48442</v>
      </c>
      <c r="O76" s="10">
        <f>[8]Feuil1!$AX$40</f>
        <v>27380.6</v>
      </c>
      <c r="P76" s="10">
        <f>'[7]BU-3'!$F$58</f>
        <v>11659</v>
      </c>
      <c r="Q76" s="10">
        <f>'[7]BU-3'!$F$44</f>
        <v>9222</v>
      </c>
      <c r="R76" s="10"/>
      <c r="S76" s="10">
        <f t="shared" si="53"/>
        <v>48261.599999999999</v>
      </c>
      <c r="T76" s="76"/>
      <c r="U76" s="76">
        <f t="shared" ref="U76:U86" si="55">+Q76/160</f>
        <v>57.637500000000003</v>
      </c>
      <c r="V76" s="94">
        <f t="shared" ref="V76:V83" si="56">+Q76/N76</f>
        <v>0.19037199124726478</v>
      </c>
      <c r="X76" s="76">
        <f>+AA76-AF76</f>
        <v>-0.19999999999708962</v>
      </c>
      <c r="Y76" s="76">
        <f>+AB76-AI76</f>
        <v>0.34999999999854481</v>
      </c>
      <c r="Z76" s="76">
        <f>+AC76-AL76</f>
        <v>0.14999999999417923</v>
      </c>
      <c r="AA76" s="67">
        <f t="shared" ref="AA76:AA87" si="57">+S75-N75</f>
        <v>239.80000000000291</v>
      </c>
      <c r="AB76" s="67">
        <f t="shared" ref="AB76:AB87" si="58">+M75-H75</f>
        <v>310.34999999999854</v>
      </c>
      <c r="AC76" s="67">
        <f t="shared" ref="AC76:AC87" si="59">+G75-C75</f>
        <v>600.14999999999418</v>
      </c>
      <c r="AD76" s="70">
        <v>76</v>
      </c>
      <c r="AE76" s="71">
        <v>52</v>
      </c>
      <c r="AF76" s="68">
        <f>(AD76-AE76)*1000/100</f>
        <v>240</v>
      </c>
      <c r="AG76" s="65">
        <v>96</v>
      </c>
      <c r="AH76" s="66">
        <v>34</v>
      </c>
      <c r="AI76" s="65">
        <f>(AG76-AH76)*500/100</f>
        <v>310</v>
      </c>
      <c r="AJ76" s="69">
        <v>93</v>
      </c>
      <c r="AK76" s="69">
        <v>81</v>
      </c>
      <c r="AL76" s="68">
        <f>(AJ76-AK76)*5000/100</f>
        <v>600</v>
      </c>
      <c r="AM76" s="13">
        <f t="shared" ref="AM76:AM87" si="60">+N75-S75+AF76</f>
        <v>0.19999999999708962</v>
      </c>
      <c r="AN76" s="13">
        <f t="shared" ref="AN76:AN87" si="61">+H75-M75+AI76</f>
        <v>-0.34999999999854481</v>
      </c>
      <c r="AO76" s="13">
        <f t="shared" ref="AO76:AO87" si="62">+C75-G75+AL76</f>
        <v>-0.14999999999417923</v>
      </c>
    </row>
    <row r="77" spans="2:41" ht="15.95" customHeight="1" x14ac:dyDescent="0.25">
      <c r="B77" s="8">
        <f t="shared" si="52"/>
        <v>44621</v>
      </c>
      <c r="C77" s="10">
        <f>'[9]BU-2'!$E$15</f>
        <v>216372</v>
      </c>
      <c r="D77" s="10">
        <f>'[9]BU-3'!$F$69</f>
        <v>152766</v>
      </c>
      <c r="E77" s="10">
        <f>'[9]BU-3'!$F$13-D77</f>
        <v>63606</v>
      </c>
      <c r="F77" s="10">
        <f>'[9]BU-3'!$F$41</f>
        <v>0</v>
      </c>
      <c r="G77" s="10">
        <f>+SUM(D77:F77)</f>
        <v>216372</v>
      </c>
      <c r="H77" s="10">
        <f>'[9]BU-2'!$E$17</f>
        <v>63606</v>
      </c>
      <c r="I77" s="10">
        <f>'[9]BU-3'!$F$12</f>
        <v>1774</v>
      </c>
      <c r="J77" s="10">
        <f>'[9]BU-3'!$F$45</f>
        <v>1687</v>
      </c>
      <c r="K77" s="10">
        <f>[10]Feuil1!$AO$40</f>
        <v>24651</v>
      </c>
      <c r="L77" s="10">
        <f>[10]Feuil1!$AP$40</f>
        <v>35489</v>
      </c>
      <c r="M77" s="10">
        <f>SUM(I77:L77)</f>
        <v>63601</v>
      </c>
      <c r="N77" s="10">
        <f>'[9]BU-2'!$E$18</f>
        <v>60140</v>
      </c>
      <c r="O77" s="10">
        <f>[10]Feuil1!$AX$40</f>
        <v>27757</v>
      </c>
      <c r="P77" s="10">
        <f>'[9]BU-3'!$F$58</f>
        <v>21793</v>
      </c>
      <c r="Q77" s="10">
        <f>'[9]BU-3'!$F$44</f>
        <v>10510</v>
      </c>
      <c r="R77" s="10"/>
      <c r="S77" s="10">
        <f t="shared" si="53"/>
        <v>60060</v>
      </c>
      <c r="T77" s="76"/>
      <c r="U77" s="76">
        <f t="shared" si="55"/>
        <v>65.6875</v>
      </c>
      <c r="V77" s="94">
        <f t="shared" si="56"/>
        <v>0.17475889590954441</v>
      </c>
      <c r="X77" s="76">
        <f t="shared" ref="X77:X87" si="63">+AA77-AF77</f>
        <v>-0.40000000000145519</v>
      </c>
      <c r="Y77" s="76">
        <f>+AB77-AI77</f>
        <v>0</v>
      </c>
      <c r="Z77" s="76">
        <f t="shared" ref="Z77:Z87" si="64">+AC77-AL77</f>
        <v>0</v>
      </c>
      <c r="AA77" s="67">
        <f t="shared" si="57"/>
        <v>-180.40000000000146</v>
      </c>
      <c r="AB77" s="67">
        <f t="shared" si="58"/>
        <v>-205</v>
      </c>
      <c r="AC77" s="67">
        <f t="shared" si="59"/>
        <v>-500</v>
      </c>
      <c r="AD77" s="72">
        <f>+AE76</f>
        <v>52</v>
      </c>
      <c r="AE77" s="69">
        <v>70</v>
      </c>
      <c r="AF77" s="68">
        <f t="shared" ref="AF77:AF87" si="65">(AD77-AE77)*1000/100</f>
        <v>-180</v>
      </c>
      <c r="AG77" s="73">
        <f>+AH76</f>
        <v>34</v>
      </c>
      <c r="AH77" s="66">
        <v>75</v>
      </c>
      <c r="AI77" s="65">
        <f t="shared" ref="AI77:AI87" si="66">(AG77-AH77)*500/100</f>
        <v>-205</v>
      </c>
      <c r="AJ77" s="72">
        <f>+AK76</f>
        <v>81</v>
      </c>
      <c r="AK77" s="69">
        <v>91</v>
      </c>
      <c r="AL77" s="68">
        <f t="shared" ref="AL77:AL87" si="67">(AJ77-AK77)*5000/100</f>
        <v>-500</v>
      </c>
      <c r="AM77" s="13">
        <f t="shared" si="60"/>
        <v>0.40000000000145519</v>
      </c>
      <c r="AN77" s="13">
        <f t="shared" si="61"/>
        <v>0</v>
      </c>
      <c r="AO77" s="13">
        <f t="shared" si="62"/>
        <v>0</v>
      </c>
    </row>
    <row r="78" spans="2:41" ht="15.95" customHeight="1" x14ac:dyDescent="0.25">
      <c r="B78" s="8">
        <f t="shared" si="52"/>
        <v>44652</v>
      </c>
      <c r="C78" s="10">
        <f>'[11]BU-2'!$E$15</f>
        <v>209814</v>
      </c>
      <c r="D78" s="10">
        <f>'[11]BU-3'!$F$69</f>
        <v>151640</v>
      </c>
      <c r="E78" s="10">
        <f>'[11]BU-3'!$F$13-D78</f>
        <v>58174</v>
      </c>
      <c r="F78" s="10">
        <f>'[11]BU-3'!$F$41</f>
        <v>0</v>
      </c>
      <c r="G78" s="10">
        <f t="shared" si="54"/>
        <v>209814</v>
      </c>
      <c r="H78" s="10">
        <f>'[11]BU-2'!$E$17</f>
        <v>58174</v>
      </c>
      <c r="I78" s="10">
        <f>'[11]BU-3'!$F$12</f>
        <v>1323</v>
      </c>
      <c r="J78" s="10">
        <f>'[11]BU-3'!$F$45</f>
        <v>1664</v>
      </c>
      <c r="K78" s="10">
        <f>[12]Feuil1!$AO$40</f>
        <v>28983</v>
      </c>
      <c r="L78" s="10">
        <f>[12]Feuil1!$AP$40</f>
        <v>26239</v>
      </c>
      <c r="M78" s="10">
        <f>SUM(I78:L78)</f>
        <v>58209</v>
      </c>
      <c r="N78" s="10">
        <f>'[11]BU-2'!$E$18</f>
        <v>55222</v>
      </c>
      <c r="O78" s="10">
        <f>[12]Feuil1!$AX$40</f>
        <v>24373</v>
      </c>
      <c r="P78" s="10">
        <f>'[11]BU-3'!$F$58</f>
        <v>20835</v>
      </c>
      <c r="Q78" s="10">
        <f>'[11]BU-3'!$F$44</f>
        <v>9914</v>
      </c>
      <c r="R78" s="10"/>
      <c r="S78" s="10">
        <f t="shared" si="53"/>
        <v>55122</v>
      </c>
      <c r="T78" s="76"/>
      <c r="U78" s="76">
        <f t="shared" si="55"/>
        <v>61.962499999999999</v>
      </c>
      <c r="V78" s="94">
        <f t="shared" si="56"/>
        <v>0.17952989750461773</v>
      </c>
      <c r="X78" s="76">
        <f t="shared" si="63"/>
        <v>0</v>
      </c>
      <c r="Y78" s="76">
        <f t="shared" ref="Y78:Y87" si="68">+AB78-AI78</f>
        <v>0</v>
      </c>
      <c r="Z78" s="76">
        <f>+AC78-AL78</f>
        <v>-500</v>
      </c>
      <c r="AA78" s="67">
        <f t="shared" si="57"/>
        <v>-80</v>
      </c>
      <c r="AB78" s="67">
        <f t="shared" si="58"/>
        <v>-5</v>
      </c>
      <c r="AC78" s="67">
        <f t="shared" si="59"/>
        <v>0</v>
      </c>
      <c r="AD78" s="72">
        <f t="shared" ref="AD78:AD87" si="69">+AE77</f>
        <v>70</v>
      </c>
      <c r="AE78" s="69">
        <v>78</v>
      </c>
      <c r="AF78" s="68">
        <f t="shared" si="65"/>
        <v>-80</v>
      </c>
      <c r="AG78" s="73">
        <f t="shared" ref="AG78:AG87" si="70">+AH77</f>
        <v>75</v>
      </c>
      <c r="AH78" s="66">
        <v>76</v>
      </c>
      <c r="AI78" s="65">
        <f t="shared" si="66"/>
        <v>-5</v>
      </c>
      <c r="AJ78" s="72">
        <f t="shared" ref="AJ78:AJ87" si="71">+AK77</f>
        <v>91</v>
      </c>
      <c r="AK78" s="69">
        <v>81</v>
      </c>
      <c r="AL78" s="68">
        <f t="shared" si="67"/>
        <v>500</v>
      </c>
      <c r="AM78" s="13">
        <f t="shared" si="60"/>
        <v>0</v>
      </c>
      <c r="AN78" s="13">
        <f t="shared" si="61"/>
        <v>0</v>
      </c>
      <c r="AO78" s="13">
        <f t="shared" si="62"/>
        <v>500</v>
      </c>
    </row>
    <row r="79" spans="2:41" ht="15.95" customHeight="1" x14ac:dyDescent="0.25">
      <c r="B79" s="8">
        <f t="shared" si="52"/>
        <v>44682</v>
      </c>
      <c r="C79" s="10">
        <f>'[13]BU-2'!$E$15</f>
        <v>229566</v>
      </c>
      <c r="D79" s="10">
        <f>'[13]BU-3'!$F$69</f>
        <v>170492</v>
      </c>
      <c r="E79" s="10">
        <f>'[13]BU-3'!$F$13-D79</f>
        <v>59074</v>
      </c>
      <c r="F79" s="10">
        <f>'[13]BU-3'!$F$41</f>
        <v>0</v>
      </c>
      <c r="G79" s="10">
        <f t="shared" si="54"/>
        <v>229566</v>
      </c>
      <c r="H79" s="10">
        <f>'[13]BU-2'!$E$17</f>
        <v>59074</v>
      </c>
      <c r="I79" s="10">
        <f>'[13]BU-3'!$F$12</f>
        <v>1057</v>
      </c>
      <c r="J79" s="10">
        <f>'[13]BU-3'!$F$45</f>
        <v>1621</v>
      </c>
      <c r="K79" s="10">
        <f>[14]Feuil1!$AO$40</f>
        <v>29428</v>
      </c>
      <c r="L79" s="10">
        <f>[14]Feuil1!$AP$40</f>
        <v>26873</v>
      </c>
      <c r="M79" s="10">
        <f t="shared" ref="M79" si="72">SUM(I79:L79)</f>
        <v>58979</v>
      </c>
      <c r="N79" s="10">
        <f>'[13]BU-2'!$E$18</f>
        <v>56301</v>
      </c>
      <c r="O79" s="10">
        <f>[14]Feuil1!$AX$40</f>
        <v>24258</v>
      </c>
      <c r="P79" s="10">
        <f>'[13]BU-3'!$F$58</f>
        <v>21328</v>
      </c>
      <c r="Q79" s="10">
        <f>'[13]BU-3'!$F$44</f>
        <v>10685</v>
      </c>
      <c r="R79" s="10"/>
      <c r="S79" s="10">
        <f t="shared" si="53"/>
        <v>56271</v>
      </c>
      <c r="T79" s="76"/>
      <c r="U79" s="76">
        <f t="shared" si="55"/>
        <v>66.78125</v>
      </c>
      <c r="V79" s="94">
        <f t="shared" si="56"/>
        <v>0.18978348519564484</v>
      </c>
      <c r="X79" s="76">
        <f t="shared" si="63"/>
        <v>0</v>
      </c>
      <c r="Y79" s="76">
        <f t="shared" si="68"/>
        <v>0</v>
      </c>
      <c r="Z79" s="76">
        <f t="shared" si="64"/>
        <v>550</v>
      </c>
      <c r="AA79" s="67">
        <f t="shared" si="57"/>
        <v>-100</v>
      </c>
      <c r="AB79" s="67">
        <f t="shared" si="58"/>
        <v>35</v>
      </c>
      <c r="AC79" s="67">
        <f t="shared" si="59"/>
        <v>0</v>
      </c>
      <c r="AD79" s="72">
        <f t="shared" si="69"/>
        <v>78</v>
      </c>
      <c r="AE79" s="69">
        <v>88</v>
      </c>
      <c r="AF79" s="68">
        <f t="shared" si="65"/>
        <v>-100</v>
      </c>
      <c r="AG79" s="73">
        <f t="shared" si="70"/>
        <v>76</v>
      </c>
      <c r="AH79" s="66">
        <v>69</v>
      </c>
      <c r="AI79" s="65">
        <f t="shared" si="66"/>
        <v>35</v>
      </c>
      <c r="AJ79" s="72">
        <f t="shared" si="71"/>
        <v>81</v>
      </c>
      <c r="AK79" s="69">
        <v>92</v>
      </c>
      <c r="AL79" s="68">
        <f t="shared" si="67"/>
        <v>-550</v>
      </c>
      <c r="AM79" s="13">
        <f t="shared" si="60"/>
        <v>0</v>
      </c>
      <c r="AN79" s="13">
        <f t="shared" si="61"/>
        <v>0</v>
      </c>
      <c r="AO79" s="13">
        <f t="shared" si="62"/>
        <v>-550</v>
      </c>
    </row>
    <row r="80" spans="2:41" ht="15.95" customHeight="1" x14ac:dyDescent="0.25">
      <c r="B80" s="8">
        <f t="shared" si="52"/>
        <v>44713</v>
      </c>
      <c r="C80" s="10">
        <f>'[15]BU-2'!$E$15</f>
        <v>217623</v>
      </c>
      <c r="D80" s="10">
        <f>'[15]BU-3'!$F$69</f>
        <v>163361</v>
      </c>
      <c r="E80" s="10">
        <f>'[15]BU-3'!$F$13-D80</f>
        <v>54262</v>
      </c>
      <c r="F80" s="10">
        <f>'[15]BU-3'!$F$41</f>
        <v>0</v>
      </c>
      <c r="G80" s="10">
        <f t="shared" si="54"/>
        <v>217623</v>
      </c>
      <c r="H80" s="10">
        <f>'[15]BU-2'!$E$17</f>
        <v>54262</v>
      </c>
      <c r="I80" s="10">
        <f>'[15]BU-3'!$F$12</f>
        <v>848</v>
      </c>
      <c r="J80" s="10">
        <f>'[15]BU-3'!$F$45</f>
        <v>811</v>
      </c>
      <c r="K80" s="10">
        <f>[16]Feuil1!$AO$40</f>
        <v>27724</v>
      </c>
      <c r="L80" s="10">
        <f>[16]Feuil1!$AP$40</f>
        <v>24889</v>
      </c>
      <c r="M80" s="10">
        <f t="shared" ref="M80:M85" si="73">SUM(I80:L80)</f>
        <v>54272</v>
      </c>
      <c r="N80" s="10">
        <f>'[15]BU-2'!$E$18</f>
        <v>52613</v>
      </c>
      <c r="O80" s="10">
        <f>[16]Feuil1!$AX$40</f>
        <v>23822</v>
      </c>
      <c r="P80" s="10">
        <f>'[15]BU-3'!$F$58</f>
        <v>19782</v>
      </c>
      <c r="Q80" s="10">
        <f>'[15]BU-3'!$F$44</f>
        <v>9209</v>
      </c>
      <c r="R80" s="10"/>
      <c r="S80" s="10">
        <f t="shared" si="53"/>
        <v>52813</v>
      </c>
      <c r="T80" s="76">
        <f>93538.74+124084.26</f>
        <v>217623</v>
      </c>
      <c r="U80" s="76">
        <f t="shared" si="55"/>
        <v>57.556249999999999</v>
      </c>
      <c r="V80" s="94">
        <f t="shared" si="56"/>
        <v>0.1750327865736605</v>
      </c>
      <c r="X80" s="76">
        <f t="shared" si="63"/>
        <v>0</v>
      </c>
      <c r="Y80" s="76">
        <f t="shared" si="68"/>
        <v>0</v>
      </c>
      <c r="Z80" s="76">
        <f t="shared" si="64"/>
        <v>250</v>
      </c>
      <c r="AA80" s="67">
        <f t="shared" si="57"/>
        <v>-30</v>
      </c>
      <c r="AB80" s="67">
        <f t="shared" si="58"/>
        <v>-95</v>
      </c>
      <c r="AC80" s="67">
        <f t="shared" si="59"/>
        <v>0</v>
      </c>
      <c r="AD80" s="72">
        <f t="shared" si="69"/>
        <v>88</v>
      </c>
      <c r="AE80" s="69">
        <v>91</v>
      </c>
      <c r="AF80" s="68">
        <f t="shared" si="65"/>
        <v>-30</v>
      </c>
      <c r="AG80" s="73">
        <f t="shared" si="70"/>
        <v>69</v>
      </c>
      <c r="AH80" s="66">
        <v>88</v>
      </c>
      <c r="AI80" s="65">
        <f t="shared" si="66"/>
        <v>-95</v>
      </c>
      <c r="AJ80" s="72">
        <f t="shared" si="71"/>
        <v>92</v>
      </c>
      <c r="AK80" s="69">
        <v>97</v>
      </c>
      <c r="AL80" s="68">
        <f t="shared" si="67"/>
        <v>-250</v>
      </c>
      <c r="AM80" s="13">
        <f t="shared" si="60"/>
        <v>0</v>
      </c>
      <c r="AN80" s="13">
        <f t="shared" si="61"/>
        <v>0</v>
      </c>
      <c r="AO80" s="13">
        <f t="shared" si="62"/>
        <v>-250</v>
      </c>
    </row>
    <row r="81" spans="2:41" ht="15.95" customHeight="1" x14ac:dyDescent="0.25">
      <c r="B81" s="8">
        <f t="shared" si="52"/>
        <v>44743</v>
      </c>
      <c r="C81" s="10">
        <f>'[17]BU-2'!$E$15</f>
        <v>203331</v>
      </c>
      <c r="D81" s="10">
        <f>'[17]BU-3'!$F$69</f>
        <v>151501</v>
      </c>
      <c r="E81" s="10">
        <f>'[17]BU-3'!$F$13-D81</f>
        <v>51830</v>
      </c>
      <c r="F81" s="10">
        <f>'[17]BU-3'!$F$41</f>
        <v>0</v>
      </c>
      <c r="G81" s="10">
        <f t="shared" ref="G81" si="74">+SUM(D81:F81)</f>
        <v>203331</v>
      </c>
      <c r="H81" s="10">
        <f>'[17]BU-2'!$E$17</f>
        <v>51830</v>
      </c>
      <c r="I81" s="10">
        <f>'[17]BU-3'!$F$12</f>
        <v>1279</v>
      </c>
      <c r="J81" s="10">
        <f>'[17]BU-3'!$F$45</f>
        <v>1550</v>
      </c>
      <c r="K81" s="10">
        <f>[18]Feuil1!$AO$40</f>
        <v>24786</v>
      </c>
      <c r="L81" s="10">
        <f>[18]Feuil1!$AP$40</f>
        <v>24215</v>
      </c>
      <c r="M81" s="10">
        <f t="shared" si="73"/>
        <v>51830</v>
      </c>
      <c r="N81" s="10">
        <f>'[17]BU-2'!$E$18</f>
        <v>49001</v>
      </c>
      <c r="O81" s="10">
        <f>[18]Feuil1!$AX$40</f>
        <v>22535</v>
      </c>
      <c r="P81" s="10">
        <f>'[17]BU-3'!$F$58</f>
        <v>17082</v>
      </c>
      <c r="Q81" s="10">
        <f>'[17]BU-3'!$F$44</f>
        <v>9114</v>
      </c>
      <c r="R81" s="10"/>
      <c r="S81" s="10">
        <f t="shared" ref="S81:S85" si="75">SUM(O81:R81)</f>
        <v>48731</v>
      </c>
      <c r="T81" s="76"/>
      <c r="U81" s="76">
        <f t="shared" si="55"/>
        <v>56.962499999999999</v>
      </c>
      <c r="V81" s="94">
        <f t="shared" si="56"/>
        <v>0.18599620415909879</v>
      </c>
      <c r="X81" s="76">
        <f t="shared" si="63"/>
        <v>0</v>
      </c>
      <c r="Y81" s="76">
        <f t="shared" si="68"/>
        <v>0</v>
      </c>
      <c r="Z81" s="76">
        <f t="shared" si="64"/>
        <v>-400</v>
      </c>
      <c r="AA81" s="67">
        <f t="shared" si="57"/>
        <v>200</v>
      </c>
      <c r="AB81" s="67">
        <f t="shared" si="58"/>
        <v>10</v>
      </c>
      <c r="AC81" s="67">
        <f t="shared" si="59"/>
        <v>0</v>
      </c>
      <c r="AD81" s="72">
        <f t="shared" si="69"/>
        <v>91</v>
      </c>
      <c r="AE81" s="69">
        <v>71</v>
      </c>
      <c r="AF81" s="68">
        <f t="shared" si="65"/>
        <v>200</v>
      </c>
      <c r="AG81" s="73">
        <f t="shared" si="70"/>
        <v>88</v>
      </c>
      <c r="AH81" s="66">
        <v>86</v>
      </c>
      <c r="AI81" s="65">
        <f t="shared" si="66"/>
        <v>10</v>
      </c>
      <c r="AJ81" s="72">
        <f t="shared" si="71"/>
        <v>97</v>
      </c>
      <c r="AK81" s="69">
        <v>89</v>
      </c>
      <c r="AL81" s="68">
        <f t="shared" si="67"/>
        <v>400</v>
      </c>
      <c r="AM81" s="13">
        <f t="shared" si="60"/>
        <v>0</v>
      </c>
      <c r="AN81" s="13">
        <f t="shared" si="61"/>
        <v>0</v>
      </c>
      <c r="AO81" s="13">
        <f t="shared" si="62"/>
        <v>400</v>
      </c>
    </row>
    <row r="82" spans="2:41" ht="15.95" customHeight="1" x14ac:dyDescent="0.25">
      <c r="B82" s="8">
        <f t="shared" si="52"/>
        <v>44774</v>
      </c>
      <c r="C82" s="10">
        <f>'[19]BU-2'!$E$15</f>
        <v>186496</v>
      </c>
      <c r="D82" s="10">
        <f>'[19]BU-3'!$F$69</f>
        <v>130395</v>
      </c>
      <c r="E82" s="10">
        <f>'[19]BU-3'!$F$13-D82</f>
        <v>56197</v>
      </c>
      <c r="F82" s="10">
        <f>'[19]BU-3'!$F$41</f>
        <v>0</v>
      </c>
      <c r="G82" s="10">
        <f>+SUM(D82:F82)</f>
        <v>186592</v>
      </c>
      <c r="H82" s="10">
        <f>'[19]BU-2'!$E$17</f>
        <v>56197</v>
      </c>
      <c r="I82" s="10">
        <f>'[19]BU-3'!$F$12</f>
        <v>1080</v>
      </c>
      <c r="J82" s="10">
        <f>'[19]BU-3'!$F$45</f>
        <v>1441</v>
      </c>
      <c r="K82" s="10">
        <f>[20]Feuil1!$AO$40</f>
        <v>28140</v>
      </c>
      <c r="L82" s="10">
        <f>[20]Feuil1!$AP$40</f>
        <v>25566</v>
      </c>
      <c r="M82" s="10">
        <f t="shared" si="73"/>
        <v>56227</v>
      </c>
      <c r="N82" s="10">
        <f>'[19]BU-2'!$E$18</f>
        <v>53706</v>
      </c>
      <c r="O82" s="10">
        <f>[20]Feuil1!$AX$40</f>
        <v>22337</v>
      </c>
      <c r="P82" s="10">
        <f>'[19]BU-3'!$F$58</f>
        <v>21485</v>
      </c>
      <c r="Q82" s="10">
        <f>'[19]BU-3'!$F$44</f>
        <v>10234</v>
      </c>
      <c r="R82" s="10"/>
      <c r="S82" s="10">
        <f t="shared" si="75"/>
        <v>54056</v>
      </c>
      <c r="T82" s="76"/>
      <c r="U82" s="76">
        <f t="shared" si="55"/>
        <v>63.962499999999999</v>
      </c>
      <c r="V82" s="94">
        <f t="shared" si="56"/>
        <v>0.19055599001973708</v>
      </c>
      <c r="X82" s="76">
        <f t="shared" si="63"/>
        <v>0</v>
      </c>
      <c r="Y82" s="76">
        <f t="shared" si="68"/>
        <v>0</v>
      </c>
      <c r="Z82" s="76">
        <f t="shared" si="64"/>
        <v>450</v>
      </c>
      <c r="AA82" s="67">
        <f t="shared" si="57"/>
        <v>-270</v>
      </c>
      <c r="AB82" s="67">
        <f t="shared" si="58"/>
        <v>0</v>
      </c>
      <c r="AC82" s="67">
        <f t="shared" si="59"/>
        <v>0</v>
      </c>
      <c r="AD82" s="72">
        <f t="shared" si="69"/>
        <v>71</v>
      </c>
      <c r="AE82" s="69">
        <v>98</v>
      </c>
      <c r="AF82" s="68">
        <f t="shared" si="65"/>
        <v>-270</v>
      </c>
      <c r="AG82" s="73">
        <f t="shared" si="70"/>
        <v>86</v>
      </c>
      <c r="AH82" s="66">
        <v>86</v>
      </c>
      <c r="AI82" s="65">
        <f t="shared" si="66"/>
        <v>0</v>
      </c>
      <c r="AJ82" s="72">
        <f t="shared" si="71"/>
        <v>89</v>
      </c>
      <c r="AK82" s="69">
        <v>98</v>
      </c>
      <c r="AL82" s="68">
        <f t="shared" si="67"/>
        <v>-450</v>
      </c>
      <c r="AM82" s="13">
        <f t="shared" si="60"/>
        <v>0</v>
      </c>
      <c r="AN82" s="13">
        <f t="shared" si="61"/>
        <v>0</v>
      </c>
      <c r="AO82" s="13">
        <f t="shared" si="62"/>
        <v>-450</v>
      </c>
    </row>
    <row r="83" spans="2:41" ht="15.95" customHeight="1" x14ac:dyDescent="0.25">
      <c r="B83" s="8">
        <f t="shared" si="52"/>
        <v>44805</v>
      </c>
      <c r="C83" s="10">
        <f>'[21]BU-2'!$E$15</f>
        <v>195273</v>
      </c>
      <c r="D83" s="10">
        <f>'[21]BU-3'!$F$69</f>
        <v>128845</v>
      </c>
      <c r="E83" s="10">
        <f>'[21]BU-3'!$F$13-D83</f>
        <v>66778</v>
      </c>
      <c r="F83" s="10">
        <f>'[21]BU-3'!$F$41</f>
        <v>0</v>
      </c>
      <c r="G83" s="10">
        <f t="shared" si="54"/>
        <v>195623</v>
      </c>
      <c r="H83" s="10">
        <f>'[21]BU-2'!$E$17</f>
        <v>66428</v>
      </c>
      <c r="I83" s="10">
        <f>'[21]BU-3'!$F$12</f>
        <v>1003</v>
      </c>
      <c r="J83" s="10">
        <f>'[21]BU-3'!$F$45</f>
        <v>1826</v>
      </c>
      <c r="K83" s="10">
        <f>[22]Feuil1!$AO$40</f>
        <v>33384</v>
      </c>
      <c r="L83" s="10">
        <f>[22]Feuil1!$AP$40</f>
        <v>30180</v>
      </c>
      <c r="M83" s="10">
        <f t="shared" si="73"/>
        <v>66393</v>
      </c>
      <c r="N83" s="10">
        <f>'[21]BU-2'!$E$18</f>
        <v>63564</v>
      </c>
      <c r="O83" s="10">
        <f>[22]Feuil1!$AX$40</f>
        <v>32976</v>
      </c>
      <c r="P83" s="10">
        <f>'[21]BU-3'!$F$58</f>
        <v>19161</v>
      </c>
      <c r="Q83" s="10">
        <f>'[21]BU-3'!$F$44</f>
        <v>11367</v>
      </c>
      <c r="R83" s="10"/>
      <c r="S83" s="10">
        <f t="shared" si="75"/>
        <v>63504</v>
      </c>
      <c r="T83" s="76"/>
      <c r="U83" s="76">
        <f t="shared" si="55"/>
        <v>71.043750000000003</v>
      </c>
      <c r="V83" s="94">
        <f t="shared" si="56"/>
        <v>0.17882763828582215</v>
      </c>
      <c r="X83" s="76">
        <f t="shared" si="63"/>
        <v>0</v>
      </c>
      <c r="Y83" s="76">
        <f t="shared" si="68"/>
        <v>0</v>
      </c>
      <c r="Z83" s="76">
        <f t="shared" si="64"/>
        <v>-404</v>
      </c>
      <c r="AA83" s="67">
        <f t="shared" si="57"/>
        <v>350</v>
      </c>
      <c r="AB83" s="67">
        <f t="shared" si="58"/>
        <v>30</v>
      </c>
      <c r="AC83" s="67">
        <f t="shared" si="59"/>
        <v>96</v>
      </c>
      <c r="AD83" s="72">
        <f t="shared" si="69"/>
        <v>98</v>
      </c>
      <c r="AE83" s="69">
        <v>63</v>
      </c>
      <c r="AF83" s="68">
        <f t="shared" si="65"/>
        <v>350</v>
      </c>
      <c r="AG83" s="73">
        <f t="shared" si="70"/>
        <v>86</v>
      </c>
      <c r="AH83" s="66">
        <v>80</v>
      </c>
      <c r="AI83" s="65">
        <f t="shared" si="66"/>
        <v>30</v>
      </c>
      <c r="AJ83" s="72">
        <f t="shared" si="71"/>
        <v>98</v>
      </c>
      <c r="AK83" s="69">
        <v>88</v>
      </c>
      <c r="AL83" s="68">
        <f t="shared" si="67"/>
        <v>500</v>
      </c>
      <c r="AM83" s="13">
        <f t="shared" si="60"/>
        <v>0</v>
      </c>
      <c r="AN83" s="13">
        <f t="shared" si="61"/>
        <v>0</v>
      </c>
      <c r="AO83" s="13">
        <f t="shared" si="62"/>
        <v>404</v>
      </c>
    </row>
    <row r="84" spans="2:41" ht="15.95" customHeight="1" x14ac:dyDescent="0.25">
      <c r="B84" s="8">
        <f t="shared" si="52"/>
        <v>44835</v>
      </c>
      <c r="C84" s="10">
        <f>'[23]BU-2'!$E$15</f>
        <v>206866</v>
      </c>
      <c r="D84" s="10">
        <f>'[23]BU-3'!$F$69</f>
        <v>148840</v>
      </c>
      <c r="E84" s="10">
        <f>'[23]BU-3'!$F$13-D84</f>
        <v>58026</v>
      </c>
      <c r="F84" s="10">
        <f>'[23]BU-3'!$F$41</f>
        <v>0</v>
      </c>
      <c r="G84" s="10">
        <f>+SUM(D84:F84)</f>
        <v>206866</v>
      </c>
      <c r="H84" s="10">
        <f>'[23]BU-2'!$E$17</f>
        <v>58026</v>
      </c>
      <c r="I84" s="10">
        <f>'[23]BU-3'!$F$12</f>
        <v>1246</v>
      </c>
      <c r="J84" s="10">
        <f>'[23]BU-3'!$F$45</f>
        <v>1780</v>
      </c>
      <c r="K84" s="10">
        <f>[24]Feuil1!$AO$40</f>
        <v>31157</v>
      </c>
      <c r="L84" s="10">
        <f>[24]Feuil1!$AP$40</f>
        <v>23823</v>
      </c>
      <c r="M84" s="10">
        <f t="shared" si="73"/>
        <v>58006</v>
      </c>
      <c r="N84" s="10">
        <f>'[23]BU-2'!$E$18</f>
        <v>54980</v>
      </c>
      <c r="O84" s="10">
        <f>[24]Feuil1!$AX$40</f>
        <v>25760</v>
      </c>
      <c r="P84" s="10">
        <f>'[23]BU-3'!$F$58</f>
        <v>20482</v>
      </c>
      <c r="Q84" s="10">
        <f>'[23]BU-3'!$F$44</f>
        <v>8598</v>
      </c>
      <c r="R84" s="10"/>
      <c r="S84" s="10">
        <f t="shared" si="75"/>
        <v>54840</v>
      </c>
      <c r="T84" s="76"/>
      <c r="U84" s="76">
        <f t="shared" si="55"/>
        <v>53.737499999999997</v>
      </c>
      <c r="V84" s="94">
        <f>+Q84/N84</f>
        <v>0.15638413968715897</v>
      </c>
      <c r="X84" s="76">
        <f>+AA84-AF84</f>
        <v>0</v>
      </c>
      <c r="Y84" s="76">
        <f t="shared" si="68"/>
        <v>0</v>
      </c>
      <c r="Z84" s="76">
        <f t="shared" si="64"/>
        <v>500</v>
      </c>
      <c r="AA84" s="67">
        <f t="shared" si="57"/>
        <v>-60</v>
      </c>
      <c r="AB84" s="67">
        <f t="shared" si="58"/>
        <v>-35</v>
      </c>
      <c r="AC84" s="67">
        <f t="shared" si="59"/>
        <v>350</v>
      </c>
      <c r="AD84" s="72">
        <f t="shared" si="69"/>
        <v>63</v>
      </c>
      <c r="AE84" s="69">
        <v>69</v>
      </c>
      <c r="AF84" s="68">
        <f t="shared" si="65"/>
        <v>-60</v>
      </c>
      <c r="AG84" s="73">
        <f t="shared" si="70"/>
        <v>80</v>
      </c>
      <c r="AH84" s="66">
        <v>87</v>
      </c>
      <c r="AI84" s="65">
        <f t="shared" si="66"/>
        <v>-35</v>
      </c>
      <c r="AJ84" s="72">
        <f t="shared" si="71"/>
        <v>88</v>
      </c>
      <c r="AK84" s="69">
        <v>91</v>
      </c>
      <c r="AL84" s="68">
        <f t="shared" si="67"/>
        <v>-150</v>
      </c>
      <c r="AM84" s="13">
        <f t="shared" si="60"/>
        <v>0</v>
      </c>
      <c r="AN84" s="13">
        <f t="shared" si="61"/>
        <v>0</v>
      </c>
      <c r="AO84" s="13">
        <f t="shared" si="62"/>
        <v>-500</v>
      </c>
    </row>
    <row r="85" spans="2:41" ht="15.95" customHeight="1" x14ac:dyDescent="0.25">
      <c r="B85" s="8">
        <f t="shared" si="52"/>
        <v>44866</v>
      </c>
      <c r="C85" s="10">
        <f>'[25]BU-2'!$E$15</f>
        <v>196091</v>
      </c>
      <c r="D85" s="10">
        <f>'[25]BU-3'!$F$69</f>
        <v>145961</v>
      </c>
      <c r="E85" s="10">
        <f>'[25]BU-3'!$F$13-D85</f>
        <v>50164</v>
      </c>
      <c r="F85" s="10">
        <f>'[25]BU-3'!$F$41</f>
        <v>0</v>
      </c>
      <c r="G85" s="10">
        <f t="shared" si="54"/>
        <v>196125</v>
      </c>
      <c r="H85" s="10">
        <f>'[25]BU-2'!$E$17</f>
        <v>50164</v>
      </c>
      <c r="I85" s="10">
        <f>'[25]BU-3'!$F$12</f>
        <v>1192</v>
      </c>
      <c r="J85" s="10">
        <f>'[25]BU-3'!$F$45</f>
        <v>1444</v>
      </c>
      <c r="K85" s="10">
        <f>[26]Feuil1!$AO$40</f>
        <v>23821</v>
      </c>
      <c r="L85" s="10">
        <f>[26]Feuil1!$AP$40</f>
        <v>23697</v>
      </c>
      <c r="M85" s="10">
        <f t="shared" si="73"/>
        <v>50154</v>
      </c>
      <c r="N85" s="10">
        <f>'[25]BU-2'!$E$18</f>
        <v>47518</v>
      </c>
      <c r="O85" s="10">
        <f>[26]Feuil1!$AX$40</f>
        <v>22194</v>
      </c>
      <c r="P85" s="10">
        <f>'[25]BU-3'!$F$58</f>
        <v>18478</v>
      </c>
      <c r="Q85" s="10">
        <f>'[25]BU-3'!$F$44</f>
        <v>7126</v>
      </c>
      <c r="R85" s="10"/>
      <c r="S85" s="10">
        <f t="shared" si="75"/>
        <v>47798</v>
      </c>
      <c r="T85" s="76"/>
      <c r="U85" s="76">
        <f t="shared" si="55"/>
        <v>44.537500000000001</v>
      </c>
      <c r="V85" s="94">
        <f>+Q85/N85</f>
        <v>0.14996422408350521</v>
      </c>
      <c r="X85" s="76">
        <f>+AA85-AF85</f>
        <v>0</v>
      </c>
      <c r="Y85" s="76">
        <f t="shared" si="68"/>
        <v>0</v>
      </c>
      <c r="Z85" s="76">
        <f t="shared" si="64"/>
        <v>250</v>
      </c>
      <c r="AA85" s="67">
        <f t="shared" si="57"/>
        <v>-140</v>
      </c>
      <c r="AB85" s="67">
        <f t="shared" si="58"/>
        <v>-20</v>
      </c>
      <c r="AC85" s="67">
        <f t="shared" si="59"/>
        <v>0</v>
      </c>
      <c r="AD85" s="72">
        <f t="shared" si="69"/>
        <v>69</v>
      </c>
      <c r="AE85" s="69">
        <v>83</v>
      </c>
      <c r="AF85" s="68">
        <f t="shared" si="65"/>
        <v>-140</v>
      </c>
      <c r="AG85" s="73">
        <f t="shared" si="70"/>
        <v>87</v>
      </c>
      <c r="AH85" s="66">
        <v>91</v>
      </c>
      <c r="AI85" s="65">
        <f t="shared" si="66"/>
        <v>-20</v>
      </c>
      <c r="AJ85" s="72">
        <f t="shared" si="71"/>
        <v>91</v>
      </c>
      <c r="AK85" s="69">
        <v>96</v>
      </c>
      <c r="AL85" s="68">
        <f t="shared" si="67"/>
        <v>-250</v>
      </c>
      <c r="AM85" s="13">
        <f>+N84-S84+AF85</f>
        <v>0</v>
      </c>
      <c r="AN85" s="13">
        <f t="shared" si="61"/>
        <v>0</v>
      </c>
      <c r="AO85" s="13">
        <f t="shared" si="62"/>
        <v>-250</v>
      </c>
    </row>
    <row r="86" spans="2:41" ht="15.95" customHeight="1" x14ac:dyDescent="0.25">
      <c r="B86" s="8">
        <f t="shared" si="52"/>
        <v>44896</v>
      </c>
      <c r="C86" s="10">
        <f>'[27]BU-2'!$E$15</f>
        <v>155428</v>
      </c>
      <c r="D86" s="10">
        <f>'[27]BU-3'!$F$69</f>
        <v>116731</v>
      </c>
      <c r="E86" s="10">
        <f>'[27]BU-3'!$F$13-D86</f>
        <v>38697</v>
      </c>
      <c r="F86" s="10">
        <f>'[27]BU-3'!$F$41</f>
        <v>504</v>
      </c>
      <c r="G86" s="10">
        <f>+SUM(D86:F86)</f>
        <v>155932</v>
      </c>
      <c r="H86" s="10">
        <f>'[27]BU-2'!$E$17</f>
        <v>38193</v>
      </c>
      <c r="I86" s="10">
        <f>'[27]BU-3'!$F$12</f>
        <v>1167</v>
      </c>
      <c r="J86" s="10">
        <f>'[27]BU-3'!$F$45</f>
        <v>1192</v>
      </c>
      <c r="K86" s="10">
        <f>[28]Feuil1!$AO$40</f>
        <v>29658</v>
      </c>
      <c r="L86" s="10">
        <f>[28]Feuil1!$AP$40</f>
        <v>6381</v>
      </c>
      <c r="M86" s="10">
        <f>SUM(I86:L86)</f>
        <v>38398</v>
      </c>
      <c r="N86" s="10">
        <f>'[27]BU-2'!$E$18</f>
        <v>36039</v>
      </c>
      <c r="O86" s="10">
        <f>[28]Feuil1!$AX$40</f>
        <v>19481</v>
      </c>
      <c r="P86" s="10">
        <f>'[27]BU-3'!$F$58</f>
        <v>11047</v>
      </c>
      <c r="Q86" s="10">
        <f>'[27]BU-3'!$F$44</f>
        <v>5251</v>
      </c>
      <c r="R86" s="10"/>
      <c r="S86" s="10">
        <f>SUM(O86:R86)</f>
        <v>35779</v>
      </c>
      <c r="T86" s="76"/>
      <c r="U86" s="76">
        <f t="shared" si="55"/>
        <v>32.818750000000001</v>
      </c>
      <c r="V86" s="94">
        <f>+Q86/N86</f>
        <v>0.14570326590637919</v>
      </c>
      <c r="X86" s="76">
        <f t="shared" si="63"/>
        <v>260</v>
      </c>
      <c r="Y86" s="76">
        <f t="shared" si="68"/>
        <v>-205</v>
      </c>
      <c r="Z86" s="76">
        <f t="shared" si="64"/>
        <v>-316</v>
      </c>
      <c r="AA86" s="67">
        <f t="shared" si="57"/>
        <v>280</v>
      </c>
      <c r="AB86" s="67">
        <f t="shared" si="58"/>
        <v>-10</v>
      </c>
      <c r="AC86" s="67">
        <f t="shared" si="59"/>
        <v>34</v>
      </c>
      <c r="AD86" s="72">
        <f t="shared" si="69"/>
        <v>83</v>
      </c>
      <c r="AE86" s="69">
        <v>81</v>
      </c>
      <c r="AF86" s="68">
        <f t="shared" si="65"/>
        <v>20</v>
      </c>
      <c r="AG86" s="73">
        <f t="shared" si="70"/>
        <v>91</v>
      </c>
      <c r="AH86" s="66">
        <v>52</v>
      </c>
      <c r="AI86" s="65">
        <f t="shared" si="66"/>
        <v>195</v>
      </c>
      <c r="AJ86" s="72">
        <f t="shared" si="71"/>
        <v>96</v>
      </c>
      <c r="AK86" s="69">
        <v>89</v>
      </c>
      <c r="AL86" s="68">
        <f t="shared" si="67"/>
        <v>350</v>
      </c>
      <c r="AM86" s="13">
        <f t="shared" si="60"/>
        <v>-260</v>
      </c>
      <c r="AN86" s="13">
        <f t="shared" si="61"/>
        <v>205</v>
      </c>
      <c r="AO86" s="13">
        <f t="shared" si="62"/>
        <v>316</v>
      </c>
    </row>
    <row r="87" spans="2:41" ht="15.95" customHeight="1" x14ac:dyDescent="0.25">
      <c r="B87" s="8" t="s">
        <v>5</v>
      </c>
      <c r="C87" s="12">
        <f>SUM(C75:C86)</f>
        <v>2313105</v>
      </c>
      <c r="D87" s="12">
        <f t="shared" ref="D87:N87" si="76">SUM(D75:D86)</f>
        <v>1670405.5</v>
      </c>
      <c r="E87" s="12">
        <f t="shared" si="76"/>
        <v>643279.65</v>
      </c>
      <c r="F87" s="12">
        <f t="shared" si="76"/>
        <v>504</v>
      </c>
      <c r="G87" s="12">
        <f>SUM(G75:G86)</f>
        <v>2314189.15</v>
      </c>
      <c r="H87" s="12">
        <f t="shared" si="76"/>
        <v>642425.65</v>
      </c>
      <c r="I87" s="12">
        <f t="shared" si="76"/>
        <v>15916</v>
      </c>
      <c r="J87" s="12">
        <f t="shared" si="76"/>
        <v>18258</v>
      </c>
      <c r="K87" s="12">
        <f t="shared" si="76"/>
        <v>324386</v>
      </c>
      <c r="L87" s="12">
        <f t="shared" si="76"/>
        <v>284086</v>
      </c>
      <c r="M87" s="12">
        <f>SUM(M75:M86)</f>
        <v>642646</v>
      </c>
      <c r="N87" s="12">
        <f t="shared" si="76"/>
        <v>608472</v>
      </c>
      <c r="O87" s="12">
        <f t="shared" ref="O87:R87" si="77">SUM(O75:O86)</f>
        <v>287822.40000000002</v>
      </c>
      <c r="P87" s="12">
        <f t="shared" si="77"/>
        <v>213719</v>
      </c>
      <c r="Q87" s="12">
        <f t="shared" si="77"/>
        <v>106880</v>
      </c>
      <c r="R87" s="12">
        <f t="shared" si="77"/>
        <v>0</v>
      </c>
      <c r="S87" s="12">
        <f>SUM(S75:S86)</f>
        <v>608421.4</v>
      </c>
      <c r="T87" s="39"/>
      <c r="U87" s="39"/>
      <c r="V87" s="13"/>
      <c r="X87" s="76">
        <f t="shared" si="63"/>
        <v>-1070</v>
      </c>
      <c r="Y87" s="76">
        <f t="shared" si="68"/>
        <v>-55</v>
      </c>
      <c r="Z87" s="76">
        <f t="shared" si="64"/>
        <v>-3946</v>
      </c>
      <c r="AA87" s="67">
        <f t="shared" si="57"/>
        <v>-260</v>
      </c>
      <c r="AB87" s="67">
        <f t="shared" si="58"/>
        <v>205</v>
      </c>
      <c r="AC87" s="67">
        <f t="shared" si="59"/>
        <v>504</v>
      </c>
      <c r="AD87" s="72">
        <f t="shared" si="69"/>
        <v>81</v>
      </c>
      <c r="AE87" s="69"/>
      <c r="AF87" s="68">
        <f t="shared" si="65"/>
        <v>810</v>
      </c>
      <c r="AG87" s="73">
        <f t="shared" si="70"/>
        <v>52</v>
      </c>
      <c r="AH87" s="66"/>
      <c r="AI87" s="65">
        <f t="shared" si="66"/>
        <v>260</v>
      </c>
      <c r="AJ87" s="72">
        <f t="shared" si="71"/>
        <v>89</v>
      </c>
      <c r="AK87" s="69"/>
      <c r="AL87" s="68">
        <f t="shared" si="67"/>
        <v>4450</v>
      </c>
      <c r="AM87" s="13">
        <f t="shared" si="60"/>
        <v>1070</v>
      </c>
      <c r="AN87" s="13">
        <f t="shared" si="61"/>
        <v>55</v>
      </c>
      <c r="AO87" s="13">
        <f t="shared" si="62"/>
        <v>3946</v>
      </c>
    </row>
    <row r="89" spans="2:41" ht="15.75" x14ac:dyDescent="0.25">
      <c r="B89" s="88" t="s">
        <v>30</v>
      </c>
      <c r="C89" s="88"/>
      <c r="D89" s="88"/>
      <c r="E89" s="88"/>
      <c r="F89" s="88"/>
      <c r="G89" s="88"/>
      <c r="H89" s="88"/>
    </row>
    <row r="90" spans="2:41" ht="15.75" customHeight="1" x14ac:dyDescent="0.25">
      <c r="B90" s="128" t="s">
        <v>1</v>
      </c>
      <c r="C90" s="123" t="s">
        <v>31</v>
      </c>
      <c r="D90" s="124"/>
      <c r="E90" s="124"/>
      <c r="F90" s="124"/>
      <c r="G90" s="124"/>
      <c r="H90" s="125"/>
      <c r="M90" s="2">
        <v>111623.95</v>
      </c>
      <c r="Y90" s="1"/>
      <c r="Z90" s="1"/>
      <c r="AA90" s="1"/>
      <c r="AB90" s="1"/>
      <c r="AC90" s="1"/>
      <c r="AD90" s="1"/>
      <c r="AE90" s="1"/>
      <c r="AF90" s="64"/>
    </row>
    <row r="91" spans="2:41" ht="24" x14ac:dyDescent="0.25">
      <c r="B91" s="129"/>
      <c r="C91" s="16" t="s">
        <v>91</v>
      </c>
      <c r="D91" s="7" t="s">
        <v>94</v>
      </c>
      <c r="E91" s="7" t="s">
        <v>66</v>
      </c>
      <c r="F91" s="7" t="s">
        <v>79</v>
      </c>
      <c r="G91" s="7" t="s">
        <v>32</v>
      </c>
      <c r="H91" s="6" t="s">
        <v>5</v>
      </c>
      <c r="M91" s="2">
        <v>117942.05</v>
      </c>
      <c r="R91" s="2">
        <f>109102.71+94228.29</f>
        <v>203331</v>
      </c>
    </row>
    <row r="92" spans="2:41" ht="15.95" customHeight="1" x14ac:dyDescent="0.25">
      <c r="B92" s="8">
        <f t="shared" ref="B92:B103" si="78">+B6</f>
        <v>44562</v>
      </c>
      <c r="C92" s="10">
        <f>'[5]BU-2'!$E$19</f>
        <v>4764</v>
      </c>
      <c r="D92" s="10">
        <f>'[5]BU-3'!$F$46</f>
        <v>0</v>
      </c>
      <c r="E92" s="10">
        <f>'[5]BU-3'!$F$59</f>
        <v>2440.6570000000002</v>
      </c>
      <c r="F92" s="10">
        <f>'[5]BU-3'!$F$71</f>
        <v>2323.3429999999998</v>
      </c>
      <c r="G92" s="10">
        <f>'[5]BU-3'!$F$46</f>
        <v>0</v>
      </c>
      <c r="H92" s="11">
        <f>+SUM(D92:G92)</f>
        <v>4764</v>
      </c>
      <c r="I92" s="13">
        <f>+H92-C92</f>
        <v>0</v>
      </c>
      <c r="M92" s="2">
        <f>+M91+M90</f>
        <v>229566</v>
      </c>
    </row>
    <row r="93" spans="2:41" ht="15.95" customHeight="1" x14ac:dyDescent="0.25">
      <c r="B93" s="8">
        <f t="shared" si="78"/>
        <v>44593</v>
      </c>
      <c r="C93" s="10">
        <f>'[7]BU-2'!$E$19</f>
        <v>4776.9319999999998</v>
      </c>
      <c r="D93" s="10">
        <f>'[7]BU-3'!$F$46</f>
        <v>0</v>
      </c>
      <c r="E93" s="10">
        <f>'[7]BU-3'!$F$59</f>
        <v>2666.9839999999999</v>
      </c>
      <c r="F93" s="10">
        <f>'[7]BU-3'!$F$71</f>
        <v>2109.9479999999999</v>
      </c>
      <c r="G93" s="10">
        <f>'[7]BU-3'!$F$46</f>
        <v>0</v>
      </c>
      <c r="H93" s="11">
        <f t="shared" ref="H93:H97" si="79">+SUM(D93:G93)</f>
        <v>4776.9319999999998</v>
      </c>
      <c r="I93" s="13">
        <f t="shared" ref="I93:I103" si="80">+H93-C93</f>
        <v>0</v>
      </c>
    </row>
    <row r="94" spans="2:41" ht="15.95" customHeight="1" x14ac:dyDescent="0.25">
      <c r="B94" s="8">
        <f t="shared" si="78"/>
        <v>44621</v>
      </c>
      <c r="C94" s="10">
        <f>'[9]BU-2'!$E$19</f>
        <v>8782.8819999999996</v>
      </c>
      <c r="D94" s="10">
        <f>'[9]BU-3'!$F$46</f>
        <v>0</v>
      </c>
      <c r="E94" s="10">
        <f>'[9]BU-3'!$F$59</f>
        <v>4725.4799999999996</v>
      </c>
      <c r="F94" s="10">
        <f>'[9]BU-3'!$F$71</f>
        <v>4057.402</v>
      </c>
      <c r="G94" s="10">
        <f>'[9]BU-3'!$F$46</f>
        <v>0</v>
      </c>
      <c r="H94" s="11">
        <f t="shared" si="79"/>
        <v>8782.8819999999996</v>
      </c>
      <c r="I94" s="13">
        <f t="shared" si="80"/>
        <v>0</v>
      </c>
    </row>
    <row r="95" spans="2:41" ht="15.95" customHeight="1" x14ac:dyDescent="0.25">
      <c r="B95" s="8">
        <f t="shared" si="78"/>
        <v>44652</v>
      </c>
      <c r="C95" s="10">
        <f>'[11]BU-2'!$E$19</f>
        <v>8598</v>
      </c>
      <c r="D95" s="10">
        <f>'[11]BU-3'!$F$46</f>
        <v>0</v>
      </c>
      <c r="E95" s="10">
        <f>'[11]BU-3'!$F$59</f>
        <v>4486.4139999999998</v>
      </c>
      <c r="F95" s="10">
        <f>'[11]BU-3'!$F$71</f>
        <v>4111.5860000000002</v>
      </c>
      <c r="G95" s="10">
        <f>'[11]BU-3'!$F$46</f>
        <v>0</v>
      </c>
      <c r="H95" s="11">
        <f t="shared" si="79"/>
        <v>8598</v>
      </c>
      <c r="I95" s="13">
        <f t="shared" si="80"/>
        <v>0</v>
      </c>
      <c r="L95" s="2">
        <f>122064/186592</f>
        <v>0.65417595609672441</v>
      </c>
      <c r="M95" s="2">
        <v>8331</v>
      </c>
      <c r="N95" s="2">
        <f>+M95*L95</f>
        <v>5449.9398902418106</v>
      </c>
      <c r="O95" s="2">
        <f>122064+N95</f>
        <v>127513.9398902418</v>
      </c>
    </row>
    <row r="96" spans="2:41" ht="15.95" customHeight="1" x14ac:dyDescent="0.25">
      <c r="B96" s="8">
        <f t="shared" si="78"/>
        <v>44682</v>
      </c>
      <c r="C96" s="10">
        <f>'[13]BU-2'!$E$19</f>
        <v>8714</v>
      </c>
      <c r="D96" s="10">
        <f>'[13]BU-3'!$F$46</f>
        <v>0</v>
      </c>
      <c r="E96" s="10">
        <f>'[13]BU-3'!$F$59</f>
        <v>4485.1617729999998</v>
      </c>
      <c r="F96" s="10">
        <f>'[13]BU-3'!$F$71</f>
        <v>4228.8379999999997</v>
      </c>
      <c r="G96" s="10">
        <f>'[13]BU-3'!$F$46</f>
        <v>0</v>
      </c>
      <c r="H96" s="11">
        <f t="shared" si="79"/>
        <v>8713.9997729999995</v>
      </c>
      <c r="I96" s="13">
        <f t="shared" si="80"/>
        <v>-2.2700000045006163E-4</v>
      </c>
      <c r="L96" s="2">
        <f>64528/186592</f>
        <v>0.34582404390327559</v>
      </c>
      <c r="N96" s="2">
        <f>+M95*L96</f>
        <v>2881.0601097581889</v>
      </c>
      <c r="O96" s="2">
        <f>64528+N96</f>
        <v>67409.060109758182</v>
      </c>
    </row>
    <row r="97" spans="2:14" ht="15.95" customHeight="1" x14ac:dyDescent="0.25">
      <c r="B97" s="8">
        <f t="shared" si="78"/>
        <v>44713</v>
      </c>
      <c r="C97" s="10">
        <f>'[15]BU-2'!$E$19</f>
        <v>8475</v>
      </c>
      <c r="D97" s="10">
        <f>'[15]BU-3'!$F$46</f>
        <v>0</v>
      </c>
      <c r="E97" s="10">
        <f>'[15]BU-3'!$F$59</f>
        <v>4451.6499999999996</v>
      </c>
      <c r="F97" s="10">
        <f>'[15]BU-3'!$F$71</f>
        <v>4023.35</v>
      </c>
      <c r="G97" s="10">
        <f>'[15]BU-3'!$F$46</f>
        <v>0</v>
      </c>
      <c r="H97" s="11">
        <f t="shared" si="79"/>
        <v>8475</v>
      </c>
      <c r="I97" s="13">
        <f t="shared" si="80"/>
        <v>0</v>
      </c>
      <c r="J97" s="2">
        <v>8475</v>
      </c>
      <c r="N97" s="13">
        <f>(J97-C97)*1000</f>
        <v>0</v>
      </c>
    </row>
    <row r="98" spans="2:14" ht="15.95" customHeight="1" x14ac:dyDescent="0.25">
      <c r="B98" s="8">
        <f t="shared" si="78"/>
        <v>44743</v>
      </c>
      <c r="C98" s="10">
        <f>'[17]BU-2'!$E$19</f>
        <v>8240.07</v>
      </c>
      <c r="D98" s="10">
        <f>'[17]BU-3'!$F$46</f>
        <v>0</v>
      </c>
      <c r="E98" s="10">
        <f>'[17]BU-3'!$F$59</f>
        <v>4112.1710000000003</v>
      </c>
      <c r="F98" s="10">
        <f>'[17]BU-3'!$F$71</f>
        <v>4127.8990000000003</v>
      </c>
      <c r="G98" s="10">
        <f>'[17]BU-3'!$F$46</f>
        <v>0</v>
      </c>
      <c r="H98" s="11">
        <f t="shared" ref="H98" si="81">+SUM(D98:G98)</f>
        <v>8240.07</v>
      </c>
      <c r="I98" s="13">
        <f t="shared" si="80"/>
        <v>0</v>
      </c>
      <c r="J98" s="2">
        <v>8235</v>
      </c>
      <c r="K98" s="2">
        <f>+J98+J97</f>
        <v>16710</v>
      </c>
      <c r="L98" s="13">
        <f>+C98+C97</f>
        <v>16715.07</v>
      </c>
      <c r="M98" s="13">
        <f>+L98-K98</f>
        <v>5.069999999999709</v>
      </c>
      <c r="N98" s="13">
        <f>(J98-C98)*1000</f>
        <v>-5069.999999999709</v>
      </c>
    </row>
    <row r="99" spans="2:14" ht="15.95" customHeight="1" x14ac:dyDescent="0.25">
      <c r="B99" s="8">
        <f t="shared" si="78"/>
        <v>44774</v>
      </c>
      <c r="C99" s="10">
        <f>'[19]BU-2'!$E$19</f>
        <v>7715</v>
      </c>
      <c r="D99" s="10">
        <f>'[19]BU-3'!$F$46</f>
        <v>0</v>
      </c>
      <c r="E99" s="10">
        <f>'[19]BU-3'!$F$59</f>
        <v>4049.6289999999999</v>
      </c>
      <c r="F99" s="10">
        <f>'[19]BU-3'!$F$71</f>
        <v>3665.3710000000001</v>
      </c>
      <c r="G99" s="10">
        <f>'[19]BU-3'!$F$46</f>
        <v>0</v>
      </c>
      <c r="H99" s="11">
        <f>+SUM(D99:G99)</f>
        <v>7715</v>
      </c>
      <c r="I99" s="13">
        <f t="shared" si="80"/>
        <v>0</v>
      </c>
    </row>
    <row r="100" spans="2:14" ht="15.95" customHeight="1" x14ac:dyDescent="0.25">
      <c r="B100" s="8">
        <f t="shared" si="78"/>
        <v>44805</v>
      </c>
      <c r="C100" s="10">
        <f>'[21]BU-2'!$E$19</f>
        <v>7656</v>
      </c>
      <c r="D100" s="10">
        <v>0</v>
      </c>
      <c r="E100" s="10">
        <f>'[21]BU-3'!$F$59</f>
        <v>3988.4090000000001</v>
      </c>
      <c r="F100" s="10">
        <f>'[21]BU-3'!$F$71</f>
        <v>3639.3910000000001</v>
      </c>
      <c r="G100" s="10">
        <f>'[21]BU-3'!$F$46</f>
        <v>28.2</v>
      </c>
      <c r="H100" s="11">
        <f>+SUM(D100:G100)</f>
        <v>7656</v>
      </c>
      <c r="I100" s="13">
        <f>+H100-C100</f>
        <v>0</v>
      </c>
    </row>
    <row r="101" spans="2:14" ht="15.95" customHeight="1" x14ac:dyDescent="0.25">
      <c r="B101" s="8">
        <f t="shared" si="78"/>
        <v>44835</v>
      </c>
      <c r="C101" s="10">
        <f>'[23]BU-2'!$E$19</f>
        <v>7411</v>
      </c>
      <c r="D101" s="10">
        <v>0</v>
      </c>
      <c r="E101" s="10">
        <f>'[23]BU-3'!$F$59</f>
        <v>3742</v>
      </c>
      <c r="F101" s="10">
        <f>'[23]BU-3'!$F$71</f>
        <v>3669</v>
      </c>
      <c r="G101" s="10">
        <f>'[23]BU-3'!$F$46</f>
        <v>0</v>
      </c>
      <c r="H101" s="11">
        <f>+SUM(D101:G101)</f>
        <v>7411</v>
      </c>
      <c r="I101" s="13">
        <f t="shared" si="80"/>
        <v>0</v>
      </c>
    </row>
    <row r="102" spans="2:14" ht="15.95" customHeight="1" x14ac:dyDescent="0.25">
      <c r="B102" s="8">
        <f t="shared" si="78"/>
        <v>44866</v>
      </c>
      <c r="C102" s="10">
        <f>'[25]BU-2'!$E$19</f>
        <v>7586</v>
      </c>
      <c r="D102" s="10">
        <v>0</v>
      </c>
      <c r="E102" s="10">
        <f>'[25]BU-3'!$F$59</f>
        <v>3955.335</v>
      </c>
      <c r="F102" s="10">
        <f>'[25]BU-3'!$F$71</f>
        <v>3630.665</v>
      </c>
      <c r="G102" s="10">
        <f>'[25]BU-3'!$F$46</f>
        <v>0</v>
      </c>
      <c r="H102" s="11">
        <f>+SUM(D102:G102)</f>
        <v>7586</v>
      </c>
      <c r="I102" s="13">
        <f>+H102-C102</f>
        <v>0</v>
      </c>
    </row>
    <row r="103" spans="2:14" ht="15.95" customHeight="1" x14ac:dyDescent="0.25">
      <c r="B103" s="8">
        <f t="shared" si="78"/>
        <v>44896</v>
      </c>
      <c r="C103" s="10">
        <f>'[27]BU-2'!$E$19</f>
        <v>4400</v>
      </c>
      <c r="D103" s="10">
        <v>0</v>
      </c>
      <c r="E103" s="10">
        <f>'[27]BU-3'!$F$59</f>
        <v>2339.5010000000002</v>
      </c>
      <c r="F103" s="10">
        <f>'[27]BU-3'!$F$71</f>
        <v>2060.4989999999998</v>
      </c>
      <c r="G103" s="10">
        <f>'[27]BU-3'!$F$46</f>
        <v>0</v>
      </c>
      <c r="H103" s="11">
        <f>+SUM(D103:G103)</f>
        <v>4400</v>
      </c>
      <c r="I103" s="13">
        <f t="shared" si="80"/>
        <v>0</v>
      </c>
      <c r="M103" s="2">
        <f>7411000-7275278</f>
        <v>135722</v>
      </c>
    </row>
    <row r="104" spans="2:14" ht="15.95" customHeight="1" x14ac:dyDescent="0.25">
      <c r="B104" s="8" t="s">
        <v>5</v>
      </c>
      <c r="C104" s="12">
        <f t="shared" ref="C104:H104" si="82">SUM(C92:C103)</f>
        <v>87118.883999999991</v>
      </c>
      <c r="D104" s="12">
        <f t="shared" si="82"/>
        <v>0</v>
      </c>
      <c r="E104" s="12">
        <f t="shared" si="82"/>
        <v>45443.391772999996</v>
      </c>
      <c r="F104" s="12">
        <f t="shared" si="82"/>
        <v>41647.292000000001</v>
      </c>
      <c r="G104" s="12">
        <f t="shared" si="82"/>
        <v>28.2</v>
      </c>
      <c r="H104" s="12">
        <f t="shared" si="82"/>
        <v>87118.883773000009</v>
      </c>
    </row>
    <row r="107" spans="2:14" x14ac:dyDescent="0.25">
      <c r="B107" s="15" t="s">
        <v>37</v>
      </c>
    </row>
    <row r="108" spans="2:14" ht="15.75" customHeight="1" x14ac:dyDescent="0.25">
      <c r="B108" s="128" t="s">
        <v>1</v>
      </c>
      <c r="C108" s="3" t="s">
        <v>99</v>
      </c>
      <c r="D108" s="4"/>
      <c r="E108" s="4"/>
      <c r="F108" s="4"/>
      <c r="G108" s="4"/>
      <c r="H108" s="5"/>
    </row>
    <row r="109" spans="2:14" ht="24" x14ac:dyDescent="0.25">
      <c r="B109" s="129"/>
      <c r="C109" s="7" t="s">
        <v>33</v>
      </c>
      <c r="D109" s="6" t="s">
        <v>34</v>
      </c>
      <c r="E109" s="7" t="s">
        <v>3</v>
      </c>
      <c r="F109" s="7" t="s">
        <v>66</v>
      </c>
      <c r="G109" s="7" t="s">
        <v>35</v>
      </c>
      <c r="H109" s="7" t="s">
        <v>36</v>
      </c>
    </row>
    <row r="110" spans="2:14" ht="15.95" customHeight="1" x14ac:dyDescent="0.25">
      <c r="B110" s="8">
        <f t="shared" ref="B110:B121" si="83">+B6</f>
        <v>44562</v>
      </c>
      <c r="C110" s="23">
        <f>'[5]BU-3'!$F$83</f>
        <v>53.420200000000023</v>
      </c>
      <c r="D110" s="23">
        <f>'[5]BU-3'!$H$83</f>
        <v>0</v>
      </c>
      <c r="E110" s="23">
        <v>0</v>
      </c>
      <c r="F110" s="23">
        <f>'[5]BU-3'!$J$83</f>
        <v>0</v>
      </c>
      <c r="G110" s="21">
        <f t="shared" ref="G110:G120" si="84">SUM(E110:F110)</f>
        <v>0</v>
      </c>
      <c r="H110" s="21">
        <f t="shared" ref="H110:H122" si="85">+C110+D110-G110</f>
        <v>53.420200000000023</v>
      </c>
      <c r="I110" s="26">
        <f>+C110+D110-H110-G110</f>
        <v>0</v>
      </c>
    </row>
    <row r="111" spans="2:14" ht="15.95" customHeight="1" x14ac:dyDescent="0.25">
      <c r="B111" s="8">
        <f t="shared" si="83"/>
        <v>44593</v>
      </c>
      <c r="C111" s="21">
        <f>+H110</f>
        <v>53.420200000000023</v>
      </c>
      <c r="D111" s="23">
        <f>'[7]BU-3'!$H$83</f>
        <v>150</v>
      </c>
      <c r="E111" s="23">
        <v>0</v>
      </c>
      <c r="F111" s="23">
        <f>'[7]BU-3'!$J$83</f>
        <v>151.13399999999999</v>
      </c>
      <c r="G111" s="21">
        <f t="shared" si="84"/>
        <v>151.13399999999999</v>
      </c>
      <c r="H111" s="21">
        <f t="shared" si="85"/>
        <v>52.286200000000036</v>
      </c>
      <c r="I111" s="26">
        <f>+C111+D111-H111-G111</f>
        <v>0</v>
      </c>
    </row>
    <row r="112" spans="2:14" ht="15.95" customHeight="1" x14ac:dyDescent="0.25">
      <c r="B112" s="8">
        <f t="shared" si="83"/>
        <v>44621</v>
      </c>
      <c r="C112" s="21">
        <f t="shared" ref="C112:C121" si="86">+H111</f>
        <v>52.286200000000036</v>
      </c>
      <c r="D112" s="23">
        <f>'[9]BU-3'!$H$83</f>
        <v>0</v>
      </c>
      <c r="E112" s="23">
        <v>0</v>
      </c>
      <c r="F112" s="23">
        <f>'[9]BU-3'!$J$83</f>
        <v>0</v>
      </c>
      <c r="G112" s="21">
        <f t="shared" si="84"/>
        <v>0</v>
      </c>
      <c r="H112" s="21">
        <f t="shared" si="85"/>
        <v>52.286200000000036</v>
      </c>
      <c r="I112" s="26">
        <f t="shared" ref="I112:I122" si="87">+C112+D112-H112-G112</f>
        <v>0</v>
      </c>
    </row>
    <row r="113" spans="2:15" ht="15.95" customHeight="1" x14ac:dyDescent="0.25">
      <c r="B113" s="8">
        <f t="shared" si="83"/>
        <v>44652</v>
      </c>
      <c r="C113" s="21">
        <f t="shared" si="86"/>
        <v>52.286200000000036</v>
      </c>
      <c r="D113" s="23">
        <f>'[11]BU-3'!$H$83</f>
        <v>0</v>
      </c>
      <c r="E113" s="23">
        <v>0</v>
      </c>
      <c r="F113" s="23">
        <f>'[11]BU-3'!$J$83</f>
        <v>0</v>
      </c>
      <c r="G113" s="21">
        <f t="shared" si="84"/>
        <v>0</v>
      </c>
      <c r="H113" s="21">
        <f t="shared" si="85"/>
        <v>52.286200000000036</v>
      </c>
      <c r="I113" s="26">
        <f t="shared" si="87"/>
        <v>0</v>
      </c>
    </row>
    <row r="114" spans="2:15" ht="15.95" customHeight="1" x14ac:dyDescent="0.25">
      <c r="B114" s="8">
        <f t="shared" si="83"/>
        <v>44682</v>
      </c>
      <c r="C114" s="21">
        <f t="shared" si="86"/>
        <v>52.286200000000036</v>
      </c>
      <c r="D114" s="23">
        <f>'[13]BU-3'!$H$83</f>
        <v>0</v>
      </c>
      <c r="E114" s="23">
        <v>0</v>
      </c>
      <c r="F114" s="23">
        <f>'[13]BU-3'!$J$83</f>
        <v>0</v>
      </c>
      <c r="G114" s="21">
        <f t="shared" si="84"/>
        <v>0</v>
      </c>
      <c r="H114" s="21">
        <f t="shared" si="85"/>
        <v>52.286200000000036</v>
      </c>
      <c r="I114" s="26">
        <f t="shared" si="87"/>
        <v>0</v>
      </c>
    </row>
    <row r="115" spans="2:15" ht="15.95" customHeight="1" x14ac:dyDescent="0.25">
      <c r="B115" s="8">
        <f t="shared" si="83"/>
        <v>44713</v>
      </c>
      <c r="C115" s="21">
        <f t="shared" si="86"/>
        <v>52.286200000000036</v>
      </c>
      <c r="D115" s="23">
        <f>'[15]BU-3'!$H$83</f>
        <v>0</v>
      </c>
      <c r="E115" s="23">
        <v>0</v>
      </c>
      <c r="F115" s="23">
        <f>'[15]BU-3'!$J$83</f>
        <v>0</v>
      </c>
      <c r="G115" s="21">
        <f t="shared" si="84"/>
        <v>0</v>
      </c>
      <c r="H115" s="21">
        <f t="shared" si="85"/>
        <v>52.286200000000036</v>
      </c>
      <c r="I115" s="26">
        <f t="shared" si="87"/>
        <v>0</v>
      </c>
    </row>
    <row r="116" spans="2:15" ht="15.95" customHeight="1" x14ac:dyDescent="0.25">
      <c r="B116" s="8">
        <f t="shared" si="83"/>
        <v>44743</v>
      </c>
      <c r="C116" s="21">
        <f t="shared" si="86"/>
        <v>52.286200000000036</v>
      </c>
      <c r="D116" s="23">
        <f>'[17]BU-3'!$H$83</f>
        <v>0</v>
      </c>
      <c r="E116" s="23">
        <v>0</v>
      </c>
      <c r="F116" s="23">
        <f>'[17]BU-3'!$J$83</f>
        <v>0</v>
      </c>
      <c r="G116" s="21">
        <f t="shared" si="84"/>
        <v>0</v>
      </c>
      <c r="H116" s="21">
        <f t="shared" si="85"/>
        <v>52.286200000000036</v>
      </c>
      <c r="I116" s="26">
        <f t="shared" si="87"/>
        <v>0</v>
      </c>
    </row>
    <row r="117" spans="2:15" ht="15.95" customHeight="1" x14ac:dyDescent="0.25">
      <c r="B117" s="8">
        <f t="shared" si="83"/>
        <v>44774</v>
      </c>
      <c r="C117" s="21">
        <f t="shared" si="86"/>
        <v>52.286200000000036</v>
      </c>
      <c r="D117" s="23">
        <f>'[19]BU-3'!$H$83</f>
        <v>0</v>
      </c>
      <c r="E117" s="23">
        <v>0</v>
      </c>
      <c r="F117" s="23">
        <f>'[19]BU-3'!$J$83</f>
        <v>0</v>
      </c>
      <c r="G117" s="21">
        <f t="shared" si="84"/>
        <v>0</v>
      </c>
      <c r="H117" s="21">
        <f t="shared" si="85"/>
        <v>52.286200000000036</v>
      </c>
      <c r="I117" s="26">
        <f t="shared" si="87"/>
        <v>0</v>
      </c>
    </row>
    <row r="118" spans="2:15" ht="15.95" customHeight="1" x14ac:dyDescent="0.25">
      <c r="B118" s="8">
        <f t="shared" si="83"/>
        <v>44805</v>
      </c>
      <c r="C118" s="21">
        <f t="shared" si="86"/>
        <v>52.286200000000036</v>
      </c>
      <c r="D118" s="23">
        <f>'[21]BU-3'!$H$83</f>
        <v>0</v>
      </c>
      <c r="E118" s="23">
        <v>0</v>
      </c>
      <c r="F118" s="23">
        <f>'[21]BU-3'!$J$83</f>
        <v>0</v>
      </c>
      <c r="G118" s="21">
        <f t="shared" si="84"/>
        <v>0</v>
      </c>
      <c r="H118" s="21">
        <f t="shared" si="85"/>
        <v>52.286200000000036</v>
      </c>
      <c r="I118" s="26">
        <f t="shared" si="87"/>
        <v>0</v>
      </c>
    </row>
    <row r="119" spans="2:15" ht="15.95" customHeight="1" x14ac:dyDescent="0.25">
      <c r="B119" s="8">
        <f t="shared" si="83"/>
        <v>44835</v>
      </c>
      <c r="C119" s="21">
        <f t="shared" si="86"/>
        <v>52.286200000000036</v>
      </c>
      <c r="D119" s="23">
        <f>'[23]BU-3'!$H$83</f>
        <v>0</v>
      </c>
      <c r="E119" s="23">
        <v>0</v>
      </c>
      <c r="F119" s="23">
        <f>'[23]BU-3'!$J$83</f>
        <v>0</v>
      </c>
      <c r="G119" s="21">
        <f>SUM(E119:F119)</f>
        <v>0</v>
      </c>
      <c r="H119" s="21">
        <f>+C119+D119-G119</f>
        <v>52.286200000000036</v>
      </c>
      <c r="I119" s="26">
        <f t="shared" si="87"/>
        <v>0</v>
      </c>
    </row>
    <row r="120" spans="2:15" ht="15.95" customHeight="1" x14ac:dyDescent="0.25">
      <c r="B120" s="8">
        <f t="shared" si="83"/>
        <v>44866</v>
      </c>
      <c r="C120" s="21">
        <f t="shared" si="86"/>
        <v>52.286200000000036</v>
      </c>
      <c r="D120" s="23">
        <f>'[25]BU-3'!$H$83</f>
        <v>0</v>
      </c>
      <c r="E120" s="23">
        <v>0</v>
      </c>
      <c r="F120" s="23">
        <f>'[25]BU-3'!$J$83</f>
        <v>0</v>
      </c>
      <c r="G120" s="21">
        <f t="shared" si="84"/>
        <v>0</v>
      </c>
      <c r="H120" s="21">
        <f t="shared" si="85"/>
        <v>52.286200000000036</v>
      </c>
      <c r="I120" s="26">
        <f t="shared" si="87"/>
        <v>0</v>
      </c>
    </row>
    <row r="121" spans="2:15" ht="15.95" customHeight="1" x14ac:dyDescent="0.25">
      <c r="B121" s="8">
        <f t="shared" si="83"/>
        <v>44896</v>
      </c>
      <c r="C121" s="21">
        <f t="shared" si="86"/>
        <v>52.286200000000036</v>
      </c>
      <c r="D121" s="23">
        <f>'[27]BU-3'!$H$83</f>
        <v>0</v>
      </c>
      <c r="E121" s="23">
        <v>0</v>
      </c>
      <c r="F121" s="23">
        <f>'[27]BU-3'!$J$83</f>
        <v>0</v>
      </c>
      <c r="G121" s="21">
        <f>SUM(E121:F121)</f>
        <v>0</v>
      </c>
      <c r="H121" s="21">
        <f>+C121+D121-G121</f>
        <v>52.286200000000036</v>
      </c>
      <c r="I121" s="26">
        <f t="shared" si="87"/>
        <v>0</v>
      </c>
    </row>
    <row r="122" spans="2:15" ht="15.95" customHeight="1" x14ac:dyDescent="0.25">
      <c r="B122" s="8" t="s">
        <v>5</v>
      </c>
      <c r="C122" s="21">
        <f>+C110</f>
        <v>53.420200000000023</v>
      </c>
      <c r="D122" s="21">
        <f t="shared" ref="D122:G122" si="88">SUM(D110:D121)</f>
        <v>150</v>
      </c>
      <c r="E122" s="21">
        <f t="shared" si="88"/>
        <v>0</v>
      </c>
      <c r="F122" s="21">
        <f t="shared" si="88"/>
        <v>151.13399999999999</v>
      </c>
      <c r="G122" s="21">
        <f t="shared" si="88"/>
        <v>151.13399999999999</v>
      </c>
      <c r="H122" s="21">
        <f t="shared" si="85"/>
        <v>52.286200000000036</v>
      </c>
      <c r="I122" s="26">
        <f t="shared" si="87"/>
        <v>0</v>
      </c>
    </row>
    <row r="123" spans="2:15" x14ac:dyDescent="0.25"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</row>
    <row r="124" spans="2:15" ht="15.75" customHeight="1" x14ac:dyDescent="0.25">
      <c r="B124" s="128" t="s">
        <v>1</v>
      </c>
      <c r="C124" s="3" t="s">
        <v>39</v>
      </c>
      <c r="D124" s="4"/>
      <c r="E124" s="4"/>
      <c r="F124" s="4"/>
      <c r="G124" s="3" t="s">
        <v>40</v>
      </c>
      <c r="H124" s="4"/>
      <c r="I124" s="4"/>
      <c r="J124" s="5"/>
    </row>
    <row r="125" spans="2:15" ht="24" x14ac:dyDescent="0.25">
      <c r="B125" s="129"/>
      <c r="C125" s="7" t="s">
        <v>33</v>
      </c>
      <c r="D125" s="6" t="s">
        <v>34</v>
      </c>
      <c r="E125" s="7" t="s">
        <v>41</v>
      </c>
      <c r="F125" s="7" t="s">
        <v>36</v>
      </c>
      <c r="G125" s="7" t="s">
        <v>33</v>
      </c>
      <c r="H125" s="6" t="s">
        <v>34</v>
      </c>
      <c r="I125" s="7" t="s">
        <v>42</v>
      </c>
      <c r="J125" s="7" t="s">
        <v>36</v>
      </c>
    </row>
    <row r="126" spans="2:15" ht="15.95" customHeight="1" x14ac:dyDescent="0.25">
      <c r="B126" s="8">
        <f t="shared" ref="B126:B137" si="89">+B6</f>
        <v>44562</v>
      </c>
      <c r="C126" s="9">
        <f>'[5]BU-3'!$F$82</f>
        <v>10.121699080000113</v>
      </c>
      <c r="D126" s="9">
        <f>'[5]BU-3'!$H$82</f>
        <v>19.465</v>
      </c>
      <c r="E126" s="9">
        <f>'[5]BU-3'!$J$82</f>
        <v>26.590618320000001</v>
      </c>
      <c r="F126" s="11">
        <f>+C126+D126-E126</f>
        <v>2.9960807600001118</v>
      </c>
      <c r="G126" s="23">
        <f>'[5]BU-3'!$F$84</f>
        <v>13.57</v>
      </c>
      <c r="H126" s="23">
        <f>'[5]BU-3'!$H$84</f>
        <v>50.000040562499997</v>
      </c>
      <c r="I126" s="23">
        <f>'[5]BU-3'!$J$84</f>
        <v>56.510139499999994</v>
      </c>
      <c r="J126" s="21">
        <f>+G126+H126-I126</f>
        <v>7.0599010625000034</v>
      </c>
      <c r="L126" s="77">
        <f>+C126+D126-E126-F126</f>
        <v>0</v>
      </c>
      <c r="M126" s="26">
        <f>+G126+H126-I126-J126</f>
        <v>0</v>
      </c>
      <c r="O126" s="24"/>
    </row>
    <row r="127" spans="2:15" ht="15.95" customHeight="1" x14ac:dyDescent="0.25">
      <c r="B127" s="8">
        <f t="shared" si="89"/>
        <v>44593</v>
      </c>
      <c r="C127" s="11">
        <f t="shared" ref="C127:C136" si="90">+F126</f>
        <v>2.9960807600001118</v>
      </c>
      <c r="D127" s="9">
        <f>'[7]BU-3'!$H$82</f>
        <v>49.917000000000002</v>
      </c>
      <c r="E127" s="9">
        <f>'[7]BU-3'!$J$82</f>
        <v>43.06696548</v>
      </c>
      <c r="F127" s="11">
        <f t="shared" ref="F127:F136" si="91">+C127+D127-E127</f>
        <v>9.846115280000113</v>
      </c>
      <c r="G127" s="11">
        <f>+J126</f>
        <v>7.0599010625000034</v>
      </c>
      <c r="H127" s="23">
        <f>'[7]BU-3'!$H$84</f>
        <v>50.000040562499997</v>
      </c>
      <c r="I127" s="23">
        <f>'[7]BU-3'!$J$84</f>
        <v>45.744999999999997</v>
      </c>
      <c r="J127" s="21">
        <f t="shared" ref="J127:J138" si="92">+G127+H127-I127</f>
        <v>11.314941625000003</v>
      </c>
      <c r="L127" s="77">
        <f t="shared" ref="L127:L138" si="93">+C127+D127-E127-F127</f>
        <v>0</v>
      </c>
      <c r="M127" s="26">
        <f t="shared" ref="M127:M138" si="94">+G127+H127-I127-J127</f>
        <v>0</v>
      </c>
      <c r="O127" s="24"/>
    </row>
    <row r="128" spans="2:15" ht="15.95" customHeight="1" x14ac:dyDescent="0.25">
      <c r="B128" s="8">
        <f t="shared" si="89"/>
        <v>44621</v>
      </c>
      <c r="C128" s="11">
        <f t="shared" si="90"/>
        <v>9.846115280000113</v>
      </c>
      <c r="D128" s="9">
        <f>'[9]BU-3'!$H$82</f>
        <v>49.898000000000003</v>
      </c>
      <c r="E128" s="9">
        <f>'[9]BU-3'!$J$82</f>
        <v>49.383291719999995</v>
      </c>
      <c r="F128" s="11">
        <f t="shared" si="91"/>
        <v>10.360823560000121</v>
      </c>
      <c r="G128" s="11">
        <f t="shared" ref="G128:G136" si="95">+J127</f>
        <v>11.314941625000003</v>
      </c>
      <c r="H128" s="23">
        <f>'[9]BU-3'!$H$84</f>
        <v>105.8801125</v>
      </c>
      <c r="I128" s="23">
        <f>'[9]BU-3'!$J$84</f>
        <v>106.692639</v>
      </c>
      <c r="J128" s="21">
        <f t="shared" si="92"/>
        <v>10.502415124999999</v>
      </c>
      <c r="L128" s="77">
        <f t="shared" si="93"/>
        <v>0</v>
      </c>
      <c r="M128" s="26">
        <f t="shared" si="94"/>
        <v>0</v>
      </c>
      <c r="O128" s="24"/>
    </row>
    <row r="129" spans="2:41" ht="15.95" customHeight="1" x14ac:dyDescent="0.25">
      <c r="B129" s="8">
        <f t="shared" si="89"/>
        <v>44652</v>
      </c>
      <c r="C129" s="11">
        <f t="shared" si="90"/>
        <v>10.360823560000121</v>
      </c>
      <c r="D129" s="9">
        <f>'[11]BU-3'!$H$82</f>
        <v>55.500294639999886</v>
      </c>
      <c r="E129" s="9">
        <f>'[11]BU-3'!$J$82</f>
        <v>46.956409919999999</v>
      </c>
      <c r="F129" s="11">
        <f t="shared" si="91"/>
        <v>18.904708280000008</v>
      </c>
      <c r="G129" s="11">
        <f t="shared" si="95"/>
        <v>10.502415124999999</v>
      </c>
      <c r="H129" s="23">
        <f>'[11]BU-3'!$H$84</f>
        <v>112.38751500000001</v>
      </c>
      <c r="I129" s="23">
        <f>'[11]BU-3'!$J$84</f>
        <v>100.7604765</v>
      </c>
      <c r="J129" s="21">
        <f t="shared" ref="J129:J136" si="96">+G129+H129-I129</f>
        <v>22.129453625000011</v>
      </c>
      <c r="L129" s="77">
        <f t="shared" si="93"/>
        <v>0</v>
      </c>
      <c r="M129" s="26">
        <f t="shared" si="94"/>
        <v>0</v>
      </c>
      <c r="O129" s="24"/>
    </row>
    <row r="130" spans="2:41" ht="15.95" customHeight="1" x14ac:dyDescent="0.25">
      <c r="B130" s="8">
        <f t="shared" si="89"/>
        <v>44682</v>
      </c>
      <c r="C130" s="11">
        <f t="shared" si="90"/>
        <v>18.904708280000008</v>
      </c>
      <c r="D130" s="9">
        <f>'[13]BU-3'!$H$82</f>
        <v>45.698448959999993</v>
      </c>
      <c r="E130" s="9">
        <f>'[13]BU-3'!$J$82</f>
        <v>51.428448959999997</v>
      </c>
      <c r="F130" s="11">
        <f t="shared" si="91"/>
        <v>13.174708280000004</v>
      </c>
      <c r="G130" s="11">
        <f t="shared" si="95"/>
        <v>22.129453625000011</v>
      </c>
      <c r="H130" s="23">
        <f>'[13]BU-3'!$H$84</f>
        <v>117.00022075</v>
      </c>
      <c r="I130" s="23">
        <f>'[13]BU-3'!$J$84</f>
        <v>111.012331875</v>
      </c>
      <c r="J130" s="21">
        <f t="shared" si="96"/>
        <v>28.117342500000007</v>
      </c>
      <c r="L130" s="77">
        <f t="shared" si="93"/>
        <v>0</v>
      </c>
      <c r="M130" s="26">
        <f t="shared" si="94"/>
        <v>0</v>
      </c>
      <c r="O130" s="24"/>
    </row>
    <row r="131" spans="2:41" ht="15.95" customHeight="1" x14ac:dyDescent="0.25">
      <c r="B131" s="8">
        <f t="shared" si="89"/>
        <v>44713</v>
      </c>
      <c r="C131" s="11">
        <f t="shared" si="90"/>
        <v>13.174708280000004</v>
      </c>
      <c r="D131" s="9">
        <f>'[15]BU-3'!$H$82</f>
        <v>43.958322639999999</v>
      </c>
      <c r="E131" s="9">
        <f>'[15]BU-3'!$J$82</f>
        <v>45.425222640000001</v>
      </c>
      <c r="F131" s="11">
        <f t="shared" si="91"/>
        <v>11.707808280000002</v>
      </c>
      <c r="G131" s="11">
        <f t="shared" si="95"/>
        <v>28.117342500000007</v>
      </c>
      <c r="H131" s="23">
        <f>'[15]BU-3'!$H$84</f>
        <v>104.54987</v>
      </c>
      <c r="I131" s="23">
        <f>'[15]BU-3'!$J$84</f>
        <v>98.434349749999996</v>
      </c>
      <c r="J131" s="21">
        <f t="shared" si="96"/>
        <v>34.23286275000001</v>
      </c>
      <c r="L131" s="77">
        <f t="shared" si="93"/>
        <v>0</v>
      </c>
      <c r="M131" s="26">
        <f t="shared" si="94"/>
        <v>0</v>
      </c>
      <c r="O131" s="24"/>
    </row>
    <row r="132" spans="2:41" ht="15.95" customHeight="1" x14ac:dyDescent="0.25">
      <c r="B132" s="8">
        <f t="shared" si="89"/>
        <v>44743</v>
      </c>
      <c r="C132" s="11">
        <f t="shared" si="90"/>
        <v>11.707808280000002</v>
      </c>
      <c r="D132" s="9">
        <f>'[17]BU-3'!$H$82</f>
        <v>44.173244839999995</v>
      </c>
      <c r="E132" s="9">
        <f>'[17]BU-3'!$J$82</f>
        <v>45.214344839999995</v>
      </c>
      <c r="F132" s="11">
        <f t="shared" si="91"/>
        <v>10.666708280000002</v>
      </c>
      <c r="G132" s="11">
        <f t="shared" si="95"/>
        <v>34.23286275000001</v>
      </c>
      <c r="H132" s="23">
        <f>'[17]BU-3'!$H$84</f>
        <v>107.000032875</v>
      </c>
      <c r="I132" s="23">
        <f>'[17]BU-3'!$J$84</f>
        <v>98.445135500000006</v>
      </c>
      <c r="J132" s="21">
        <f t="shared" si="96"/>
        <v>42.78776012500002</v>
      </c>
      <c r="L132" s="77">
        <f t="shared" si="93"/>
        <v>0</v>
      </c>
      <c r="M132" s="26">
        <f t="shared" si="94"/>
        <v>0</v>
      </c>
      <c r="O132" s="24"/>
    </row>
    <row r="133" spans="2:41" ht="15.95" customHeight="1" x14ac:dyDescent="0.25">
      <c r="B133" s="8">
        <f t="shared" si="89"/>
        <v>44774</v>
      </c>
      <c r="C133" s="11">
        <f t="shared" si="90"/>
        <v>10.666708280000002</v>
      </c>
      <c r="D133" s="9">
        <f>'[19]BU-3'!$H$82</f>
        <v>49.972984320000002</v>
      </c>
      <c r="E133" s="9">
        <f>'[19]BU-3'!$J$82</f>
        <v>50.644984319999999</v>
      </c>
      <c r="F133" s="11">
        <f t="shared" si="91"/>
        <v>9.9947082800000047</v>
      </c>
      <c r="G133" s="11">
        <f t="shared" si="95"/>
        <v>42.78776012500002</v>
      </c>
      <c r="H133" s="23">
        <f>'[19]BU-3'!$H$84</f>
        <v>105.46665874999999</v>
      </c>
      <c r="I133" s="23">
        <f>'[19]BU-3'!$J$84</f>
        <v>111.66307212499999</v>
      </c>
      <c r="J133" s="21">
        <f t="shared" si="96"/>
        <v>36.591346750000014</v>
      </c>
      <c r="L133" s="77">
        <f t="shared" si="93"/>
        <v>0</v>
      </c>
      <c r="M133" s="26">
        <f t="shared" si="94"/>
        <v>0</v>
      </c>
      <c r="O133" s="24"/>
    </row>
    <row r="134" spans="2:41" ht="15.95" customHeight="1" x14ac:dyDescent="0.25">
      <c r="B134" s="8">
        <f t="shared" si="89"/>
        <v>44805</v>
      </c>
      <c r="C134" s="11">
        <f t="shared" si="90"/>
        <v>9.9947082800000047</v>
      </c>
      <c r="D134" s="9">
        <f>'[21]BU-3'!$H$82</f>
        <v>61.199869199999988</v>
      </c>
      <c r="E134" s="9">
        <f>'[21]BU-3'!$J$82</f>
        <v>56.20786919999999</v>
      </c>
      <c r="F134" s="11">
        <f t="shared" si="91"/>
        <v>14.986708280000002</v>
      </c>
      <c r="G134" s="11">
        <f t="shared" si="95"/>
        <v>36.591346750000014</v>
      </c>
      <c r="H134" s="23">
        <f>'[21]BU-3'!$H$84</f>
        <v>136.00003842499999</v>
      </c>
      <c r="I134" s="23">
        <f>'[21]BU-3'!$J$84</f>
        <v>122.56746537499998</v>
      </c>
      <c r="J134" s="21">
        <f t="shared" si="96"/>
        <v>50.023919800000016</v>
      </c>
      <c r="L134" s="77">
        <f t="shared" si="93"/>
        <v>0</v>
      </c>
      <c r="M134" s="26">
        <f t="shared" si="94"/>
        <v>0</v>
      </c>
      <c r="O134" s="24"/>
    </row>
    <row r="135" spans="2:41" ht="15.95" customHeight="1" x14ac:dyDescent="0.25">
      <c r="B135" s="8">
        <f t="shared" si="89"/>
        <v>44835</v>
      </c>
      <c r="C135" s="11">
        <f t="shared" si="90"/>
        <v>14.986708280000002</v>
      </c>
      <c r="D135" s="9">
        <f>'[23]BU-3'!$H$82</f>
        <v>39.041105880000003</v>
      </c>
      <c r="E135" s="9">
        <f>'[23]BU-3'!$J$82</f>
        <v>42.21630588</v>
      </c>
      <c r="F135" s="11">
        <f t="shared" si="91"/>
        <v>11.811508280000005</v>
      </c>
      <c r="G135" s="11">
        <f t="shared" si="95"/>
        <v>50.023919800000016</v>
      </c>
      <c r="H135" s="23">
        <f>'[23]BU-3'!$H$84</f>
        <v>97.00002476249999</v>
      </c>
      <c r="I135" s="23">
        <f>'[23]BU-3'!$J$84</f>
        <v>95.830024762499988</v>
      </c>
      <c r="J135" s="21">
        <f t="shared" si="96"/>
        <v>51.193919800000003</v>
      </c>
      <c r="L135" s="77">
        <f t="shared" si="93"/>
        <v>0</v>
      </c>
      <c r="M135" s="26">
        <f t="shared" si="94"/>
        <v>0</v>
      </c>
      <c r="O135" s="24"/>
      <c r="P135" s="2">
        <f>40*250/100</f>
        <v>100</v>
      </c>
    </row>
    <row r="136" spans="2:41" ht="15.95" customHeight="1" x14ac:dyDescent="0.25">
      <c r="B136" s="8">
        <f t="shared" si="89"/>
        <v>44866</v>
      </c>
      <c r="C136" s="11">
        <f t="shared" si="90"/>
        <v>11.811508280000005</v>
      </c>
      <c r="D136" s="9">
        <f>'[25]BU-3'!$H$82</f>
        <v>38.257056599999991</v>
      </c>
      <c r="E136" s="9">
        <f>'[25]BU-3'!$J$82</f>
        <v>34.930656599999992</v>
      </c>
      <c r="F136" s="11">
        <f t="shared" si="91"/>
        <v>15.137908280000005</v>
      </c>
      <c r="G136" s="11">
        <f t="shared" si="95"/>
        <v>51.193919800000003</v>
      </c>
      <c r="H136" s="23">
        <f>'[25]BU-3'!$H$84</f>
        <v>78.646093750000006</v>
      </c>
      <c r="I136" s="23">
        <f>'[25]BU-3'!$J$84</f>
        <v>82.210093750000013</v>
      </c>
      <c r="J136" s="21">
        <f t="shared" si="96"/>
        <v>47.629919799999996</v>
      </c>
      <c r="L136" s="77">
        <f t="shared" si="93"/>
        <v>0</v>
      </c>
      <c r="M136" s="26">
        <f t="shared" si="94"/>
        <v>0</v>
      </c>
    </row>
    <row r="137" spans="2:41" ht="15.95" customHeight="1" x14ac:dyDescent="0.25">
      <c r="B137" s="8">
        <f t="shared" si="89"/>
        <v>44896</v>
      </c>
      <c r="C137" s="11">
        <f t="shared" ref="C137" si="97">+F136</f>
        <v>15.137908280000005</v>
      </c>
      <c r="D137" s="9">
        <f>'[27]BU-3'!$H$82</f>
        <v>28.848892559999996</v>
      </c>
      <c r="E137" s="9">
        <f>'[27]BU-3'!$J$82</f>
        <v>25.544092559999996</v>
      </c>
      <c r="F137" s="11">
        <f>+C137+D137-E137</f>
        <v>18.442708280000005</v>
      </c>
      <c r="G137" s="11">
        <f>+J136</f>
        <v>47.629919799999996</v>
      </c>
      <c r="H137" s="23">
        <f>'[27]BU-3'!$H$84</f>
        <v>46.39993697500001</v>
      </c>
      <c r="I137" s="23">
        <f>'[27]BU-3'!$J$84</f>
        <v>44.923936975000011</v>
      </c>
      <c r="J137" s="21">
        <f>+G137+H137-I137</f>
        <v>49.105919800000002</v>
      </c>
      <c r="L137" s="77">
        <f t="shared" si="93"/>
        <v>0</v>
      </c>
      <c r="M137" s="26">
        <f t="shared" si="94"/>
        <v>0</v>
      </c>
    </row>
    <row r="138" spans="2:41" ht="15.95" customHeight="1" x14ac:dyDescent="0.25">
      <c r="B138" s="8" t="s">
        <v>5</v>
      </c>
      <c r="C138" s="11">
        <f>+C126</f>
        <v>10.121699080000113</v>
      </c>
      <c r="D138" s="21">
        <f>SUM(D126:D137)</f>
        <v>525.9302196399999</v>
      </c>
      <c r="E138" s="21">
        <f>SUM(E126:E137)</f>
        <v>517.60921043999997</v>
      </c>
      <c r="F138" s="11">
        <f>+F137</f>
        <v>18.442708280000005</v>
      </c>
      <c r="G138" s="11">
        <f>+G126</f>
        <v>13.57</v>
      </c>
      <c r="H138" s="21">
        <f>SUM(H126:H137)</f>
        <v>1110.3305849124999</v>
      </c>
      <c r="I138" s="21">
        <f>SUM(I126:I137)</f>
        <v>1074.7946651125001</v>
      </c>
      <c r="J138" s="21">
        <f t="shared" si="92"/>
        <v>49.10591979999981</v>
      </c>
      <c r="L138" s="77">
        <f t="shared" si="93"/>
        <v>2.8421709430404007E-14</v>
      </c>
      <c r="M138" s="26">
        <f t="shared" si="94"/>
        <v>0</v>
      </c>
      <c r="Q138" s="25"/>
    </row>
    <row r="139" spans="2:41" ht="12.75" thickBot="1" x14ac:dyDescent="0.3">
      <c r="J139" s="26"/>
      <c r="L139" s="19"/>
      <c r="Y139" s="25"/>
      <c r="AC139" s="2" t="s">
        <v>101</v>
      </c>
    </row>
    <row r="140" spans="2:41" ht="15.75" customHeight="1" thickTop="1" x14ac:dyDescent="0.25">
      <c r="B140" s="128" t="s">
        <v>1</v>
      </c>
      <c r="C140" s="3" t="s">
        <v>98</v>
      </c>
      <c r="D140" s="4"/>
      <c r="E140" s="4"/>
      <c r="F140" s="5"/>
      <c r="G140" s="3" t="s">
        <v>96</v>
      </c>
      <c r="H140" s="4"/>
      <c r="I140" s="4"/>
      <c r="J140" s="5"/>
      <c r="K140" s="3" t="s">
        <v>97</v>
      </c>
      <c r="L140" s="4"/>
      <c r="M140" s="4"/>
      <c r="N140" s="5"/>
      <c r="O140"/>
      <c r="AC140" s="139" t="s">
        <v>102</v>
      </c>
      <c r="AD140" s="62"/>
      <c r="AE140" s="139" t="s">
        <v>103</v>
      </c>
      <c r="AF140" s="139" t="s">
        <v>104</v>
      </c>
      <c r="AG140" s="141" t="s">
        <v>100</v>
      </c>
      <c r="AH140" s="139" t="s">
        <v>102</v>
      </c>
      <c r="AI140" s="139" t="s">
        <v>103</v>
      </c>
      <c r="AJ140" s="139" t="s">
        <v>104</v>
      </c>
      <c r="AK140" s="141" t="s">
        <v>100</v>
      </c>
      <c r="AL140" s="139" t="s">
        <v>102</v>
      </c>
      <c r="AM140" s="139" t="s">
        <v>103</v>
      </c>
      <c r="AN140" s="139" t="s">
        <v>104</v>
      </c>
      <c r="AO140" s="141" t="s">
        <v>100</v>
      </c>
    </row>
    <row r="141" spans="2:41" ht="24" x14ac:dyDescent="0.25">
      <c r="B141" s="129"/>
      <c r="C141" s="57" t="s">
        <v>33</v>
      </c>
      <c r="D141" s="58" t="s">
        <v>34</v>
      </c>
      <c r="E141" s="57" t="s">
        <v>9</v>
      </c>
      <c r="F141" s="57" t="s">
        <v>36</v>
      </c>
      <c r="G141" s="57" t="s">
        <v>33</v>
      </c>
      <c r="H141" s="58" t="s">
        <v>34</v>
      </c>
      <c r="I141" s="57" t="s">
        <v>9</v>
      </c>
      <c r="J141" s="57" t="s">
        <v>36</v>
      </c>
      <c r="K141" s="57" t="s">
        <v>33</v>
      </c>
      <c r="L141" s="58" t="s">
        <v>34</v>
      </c>
      <c r="M141" s="57" t="s">
        <v>9</v>
      </c>
      <c r="N141" s="57" t="s">
        <v>36</v>
      </c>
      <c r="O141"/>
      <c r="AB141" s="2">
        <v>15</v>
      </c>
      <c r="AC141" s="140"/>
      <c r="AD141" s="63"/>
      <c r="AE141" s="140"/>
      <c r="AF141" s="140"/>
      <c r="AG141" s="142"/>
      <c r="AH141" s="140"/>
      <c r="AI141" s="140"/>
      <c r="AJ141" s="140"/>
      <c r="AK141" s="142"/>
      <c r="AL141" s="140"/>
      <c r="AM141" s="140"/>
      <c r="AN141" s="140"/>
      <c r="AO141" s="142"/>
    </row>
    <row r="142" spans="2:41" ht="15.95" customHeight="1" x14ac:dyDescent="0.25">
      <c r="B142" s="8">
        <f t="shared" ref="B142:B153" si="98">+B6</f>
        <v>44562</v>
      </c>
      <c r="C142" s="10">
        <v>1660</v>
      </c>
      <c r="D142" s="10">
        <v>0</v>
      </c>
      <c r="E142" s="10">
        <v>200</v>
      </c>
      <c r="F142" s="12">
        <f>+C142+D142-E142</f>
        <v>1460</v>
      </c>
      <c r="G142" s="10">
        <f>381+36</f>
        <v>417</v>
      </c>
      <c r="H142" s="10">
        <v>0</v>
      </c>
      <c r="I142" s="9">
        <f t="shared" ref="I142:I146" si="99">2*I75/100</f>
        <v>39.72</v>
      </c>
      <c r="J142" s="12">
        <f>+G142+H142-I142</f>
        <v>377.28</v>
      </c>
      <c r="K142" s="10">
        <f>+W142+60</f>
        <v>1285.5806451612905</v>
      </c>
      <c r="L142" s="10">
        <v>0</v>
      </c>
      <c r="M142" s="10">
        <v>60</v>
      </c>
      <c r="N142" s="12">
        <f>+K142+L142-M142</f>
        <v>1225.5806451612905</v>
      </c>
      <c r="O142"/>
      <c r="P142" s="13">
        <f t="shared" ref="P142:P148" si="100">+P143+E142</f>
        <v>1460</v>
      </c>
      <c r="S142" s="13">
        <f>+S143+I143</f>
        <v>325.88</v>
      </c>
      <c r="T142" s="13"/>
      <c r="U142" s="13"/>
      <c r="W142" s="13">
        <f t="shared" ref="W142:W150" si="101">+W143+M142</f>
        <v>1225.5806451612905</v>
      </c>
      <c r="AC142" s="59">
        <f>+E142/20</f>
        <v>10</v>
      </c>
      <c r="AD142" s="59"/>
      <c r="AE142" s="59">
        <f>+AC142</f>
        <v>10</v>
      </c>
      <c r="AF142" s="59">
        <v>0</v>
      </c>
      <c r="AG142" s="59">
        <v>0</v>
      </c>
      <c r="AH142" s="60">
        <f>+I142/20</f>
        <v>1.986</v>
      </c>
      <c r="AI142" s="59">
        <f>+AH142</f>
        <v>1.986</v>
      </c>
      <c r="AJ142" s="59">
        <v>0</v>
      </c>
      <c r="AK142" s="59">
        <v>0</v>
      </c>
      <c r="AL142" s="61">
        <f>+M142/20</f>
        <v>3</v>
      </c>
      <c r="AM142" s="59">
        <f>+AL142</f>
        <v>3</v>
      </c>
      <c r="AN142" s="59">
        <v>0</v>
      </c>
      <c r="AO142" s="59">
        <v>0</v>
      </c>
    </row>
    <row r="143" spans="2:41" ht="15.95" customHeight="1" x14ac:dyDescent="0.25">
      <c r="B143" s="8">
        <f t="shared" si="98"/>
        <v>44593</v>
      </c>
      <c r="C143" s="12">
        <f>+F142</f>
        <v>1460</v>
      </c>
      <c r="D143" s="10">
        <v>0</v>
      </c>
      <c r="E143" s="10">
        <v>200</v>
      </c>
      <c r="F143" s="12">
        <f t="shared" ref="F143:F154" si="102">+C143+D143-E143</f>
        <v>1260</v>
      </c>
      <c r="G143" s="12">
        <f t="shared" ref="G143:G153" si="103">+J142</f>
        <v>377.28</v>
      </c>
      <c r="H143" s="10">
        <v>0</v>
      </c>
      <c r="I143" s="9">
        <f t="shared" si="99"/>
        <v>39.22</v>
      </c>
      <c r="J143" s="12">
        <f t="shared" ref="J143:J154" si="104">+G143+H143-I143</f>
        <v>338.05999999999995</v>
      </c>
      <c r="K143" s="12">
        <f t="shared" ref="K143:K153" si="105">+N142</f>
        <v>1225.5806451612905</v>
      </c>
      <c r="L143" s="10">
        <v>0</v>
      </c>
      <c r="M143" s="10">
        <f>+M142/31*28</f>
        <v>54.193548387096776</v>
      </c>
      <c r="N143" s="12">
        <f t="shared" ref="N143:N154" si="106">+K143+L143-M143</f>
        <v>1171.3870967741937</v>
      </c>
      <c r="O143"/>
      <c r="P143" s="13">
        <f t="shared" si="100"/>
        <v>1260</v>
      </c>
      <c r="S143" s="13">
        <f t="shared" ref="S143:S148" si="107">+S144+I144</f>
        <v>286.66000000000003</v>
      </c>
      <c r="T143" s="13"/>
      <c r="U143" s="13"/>
      <c r="W143" s="13">
        <f t="shared" si="101"/>
        <v>1165.5806451612905</v>
      </c>
      <c r="AC143" s="59">
        <f t="shared" ref="AC143:AC151" si="108">+E143/20</f>
        <v>10</v>
      </c>
      <c r="AD143" s="59"/>
      <c r="AE143" s="59">
        <f t="shared" ref="AE143:AE154" si="109">+AC143</f>
        <v>10</v>
      </c>
      <c r="AF143" s="59">
        <v>0</v>
      </c>
      <c r="AG143" s="59">
        <v>0</v>
      </c>
      <c r="AH143" s="60">
        <f t="shared" ref="AH143:AH154" si="110">+I143/20</f>
        <v>1.9609999999999999</v>
      </c>
      <c r="AI143" s="59">
        <f t="shared" ref="AI143:AI154" si="111">+AH143</f>
        <v>1.9609999999999999</v>
      </c>
      <c r="AJ143" s="59">
        <v>0</v>
      </c>
      <c r="AK143" s="59">
        <v>0</v>
      </c>
      <c r="AL143" s="61">
        <f t="shared" ref="AL143:AL154" si="112">+M143/20</f>
        <v>2.709677419354839</v>
      </c>
      <c r="AM143" s="59">
        <f t="shared" ref="AM143:AM154" si="113">+AL143</f>
        <v>2.709677419354839</v>
      </c>
      <c r="AN143" s="59">
        <v>0</v>
      </c>
      <c r="AO143" s="59">
        <v>0</v>
      </c>
    </row>
    <row r="144" spans="2:41" ht="15.95" customHeight="1" x14ac:dyDescent="0.25">
      <c r="B144" s="8">
        <f t="shared" si="98"/>
        <v>44621</v>
      </c>
      <c r="C144" s="12">
        <f t="shared" ref="C144:C153" si="114">+F143</f>
        <v>1260</v>
      </c>
      <c r="D144" s="10">
        <v>0</v>
      </c>
      <c r="E144" s="10">
        <v>200</v>
      </c>
      <c r="F144" s="12">
        <f t="shared" si="102"/>
        <v>1060</v>
      </c>
      <c r="G144" s="12">
        <f t="shared" si="103"/>
        <v>338.05999999999995</v>
      </c>
      <c r="H144" s="10">
        <v>0</v>
      </c>
      <c r="I144" s="9">
        <f t="shared" si="99"/>
        <v>35.479999999999997</v>
      </c>
      <c r="J144" s="12">
        <f t="shared" si="104"/>
        <v>302.57999999999993</v>
      </c>
      <c r="K144" s="12">
        <f t="shared" si="105"/>
        <v>1171.3870967741937</v>
      </c>
      <c r="L144" s="10">
        <v>0</v>
      </c>
      <c r="M144" s="10">
        <v>60</v>
      </c>
      <c r="N144" s="12">
        <f t="shared" si="106"/>
        <v>1111.3870967741937</v>
      </c>
      <c r="O144"/>
      <c r="P144" s="13">
        <f t="shared" si="100"/>
        <v>1060</v>
      </c>
      <c r="S144" s="13">
        <f t="shared" si="107"/>
        <v>251.18000000000004</v>
      </c>
      <c r="T144" s="13"/>
      <c r="U144" s="13"/>
      <c r="W144" s="13">
        <f t="shared" si="101"/>
        <v>1111.3870967741937</v>
      </c>
      <c r="AC144" s="59">
        <f t="shared" si="108"/>
        <v>10</v>
      </c>
      <c r="AD144" s="59"/>
      <c r="AE144" s="59">
        <f t="shared" si="109"/>
        <v>10</v>
      </c>
      <c r="AF144" s="59">
        <v>0</v>
      </c>
      <c r="AG144" s="59">
        <v>0</v>
      </c>
      <c r="AH144" s="60">
        <f t="shared" si="110"/>
        <v>1.7739999999999998</v>
      </c>
      <c r="AI144" s="59">
        <f t="shared" si="111"/>
        <v>1.7739999999999998</v>
      </c>
      <c r="AJ144" s="59">
        <v>0</v>
      </c>
      <c r="AK144" s="59">
        <v>0</v>
      </c>
      <c r="AL144" s="61">
        <f t="shared" si="112"/>
        <v>3</v>
      </c>
      <c r="AM144" s="59">
        <f t="shared" si="113"/>
        <v>3</v>
      </c>
      <c r="AN144" s="59">
        <v>0</v>
      </c>
      <c r="AO144" s="59">
        <v>0</v>
      </c>
    </row>
    <row r="145" spans="2:41" ht="15.95" customHeight="1" x14ac:dyDescent="0.25">
      <c r="B145" s="8">
        <f t="shared" si="98"/>
        <v>44652</v>
      </c>
      <c r="C145" s="12">
        <f t="shared" si="114"/>
        <v>1060</v>
      </c>
      <c r="D145" s="10">
        <v>0</v>
      </c>
      <c r="E145" s="10">
        <v>200</v>
      </c>
      <c r="F145" s="12">
        <f t="shared" si="102"/>
        <v>860</v>
      </c>
      <c r="G145" s="12">
        <f t="shared" si="103"/>
        <v>302.57999999999993</v>
      </c>
      <c r="H145" s="10">
        <v>0</v>
      </c>
      <c r="I145" s="9">
        <f t="shared" si="99"/>
        <v>26.46</v>
      </c>
      <c r="J145" s="12">
        <f t="shared" si="104"/>
        <v>276.11999999999995</v>
      </c>
      <c r="K145" s="12">
        <f t="shared" si="105"/>
        <v>1111.3870967741937</v>
      </c>
      <c r="L145" s="10">
        <v>0</v>
      </c>
      <c r="M145" s="10">
        <v>58</v>
      </c>
      <c r="N145" s="12">
        <f t="shared" si="106"/>
        <v>1053.3870967741937</v>
      </c>
      <c r="O145"/>
      <c r="P145" s="13">
        <f t="shared" si="100"/>
        <v>860</v>
      </c>
      <c r="S145" s="13">
        <f t="shared" si="107"/>
        <v>224.72000000000003</v>
      </c>
      <c r="T145" s="13"/>
      <c r="U145" s="13"/>
      <c r="W145" s="13">
        <f t="shared" si="101"/>
        <v>1051.3870967741937</v>
      </c>
      <c r="AC145" s="59">
        <f t="shared" si="108"/>
        <v>10</v>
      </c>
      <c r="AD145" s="59"/>
      <c r="AE145" s="59">
        <f t="shared" si="109"/>
        <v>10</v>
      </c>
      <c r="AF145" s="59">
        <v>0</v>
      </c>
      <c r="AG145" s="59">
        <v>0</v>
      </c>
      <c r="AH145" s="60">
        <f t="shared" si="110"/>
        <v>1.323</v>
      </c>
      <c r="AI145" s="59">
        <f t="shared" si="111"/>
        <v>1.323</v>
      </c>
      <c r="AJ145" s="59">
        <v>0</v>
      </c>
      <c r="AK145" s="59">
        <v>0</v>
      </c>
      <c r="AL145" s="61">
        <f t="shared" si="112"/>
        <v>2.9</v>
      </c>
      <c r="AM145" s="59">
        <f t="shared" si="113"/>
        <v>2.9</v>
      </c>
      <c r="AN145" s="59">
        <v>0</v>
      </c>
      <c r="AO145" s="59">
        <v>0</v>
      </c>
    </row>
    <row r="146" spans="2:41" ht="15.95" customHeight="1" x14ac:dyDescent="0.25">
      <c r="B146" s="8">
        <f t="shared" si="98"/>
        <v>44682</v>
      </c>
      <c r="C146" s="12">
        <f t="shared" si="114"/>
        <v>860</v>
      </c>
      <c r="D146" s="10">
        <v>0</v>
      </c>
      <c r="E146" s="10">
        <v>200</v>
      </c>
      <c r="F146" s="12">
        <f t="shared" si="102"/>
        <v>660</v>
      </c>
      <c r="G146" s="12">
        <f t="shared" si="103"/>
        <v>276.11999999999995</v>
      </c>
      <c r="H146" s="10">
        <v>0</v>
      </c>
      <c r="I146" s="9">
        <f t="shared" si="99"/>
        <v>21.14</v>
      </c>
      <c r="J146" s="11">
        <f t="shared" si="104"/>
        <v>254.97999999999996</v>
      </c>
      <c r="K146" s="12">
        <f t="shared" si="105"/>
        <v>1053.3870967741937</v>
      </c>
      <c r="L146" s="10">
        <v>0</v>
      </c>
      <c r="M146" s="10">
        <v>60</v>
      </c>
      <c r="N146" s="12">
        <f t="shared" si="106"/>
        <v>993.38709677419365</v>
      </c>
      <c r="O146"/>
      <c r="P146" s="13">
        <f t="shared" si="100"/>
        <v>660</v>
      </c>
      <c r="S146" s="13">
        <f t="shared" si="107"/>
        <v>203.58000000000004</v>
      </c>
      <c r="T146" s="13"/>
      <c r="U146" s="13"/>
      <c r="W146" s="13">
        <f t="shared" si="101"/>
        <v>993.38709677419354</v>
      </c>
      <c r="AC146" s="59">
        <f t="shared" si="108"/>
        <v>10</v>
      </c>
      <c r="AD146" s="59"/>
      <c r="AE146" s="59">
        <f t="shared" si="109"/>
        <v>10</v>
      </c>
      <c r="AF146" s="59">
        <v>0</v>
      </c>
      <c r="AG146" s="59">
        <v>0</v>
      </c>
      <c r="AH146" s="60">
        <f t="shared" si="110"/>
        <v>1.0569999999999999</v>
      </c>
      <c r="AI146" s="59">
        <f t="shared" si="111"/>
        <v>1.0569999999999999</v>
      </c>
      <c r="AJ146" s="59">
        <v>0</v>
      </c>
      <c r="AK146" s="59">
        <v>0</v>
      </c>
      <c r="AL146" s="61">
        <f t="shared" si="112"/>
        <v>3</v>
      </c>
      <c r="AM146" s="59">
        <f t="shared" si="113"/>
        <v>3</v>
      </c>
      <c r="AN146" s="59">
        <v>0</v>
      </c>
      <c r="AO146" s="59">
        <v>0</v>
      </c>
    </row>
    <row r="147" spans="2:41" ht="15.95" customHeight="1" x14ac:dyDescent="0.25">
      <c r="B147" s="8">
        <f t="shared" si="98"/>
        <v>44713</v>
      </c>
      <c r="C147" s="12">
        <f t="shared" si="114"/>
        <v>660</v>
      </c>
      <c r="D147" s="10">
        <v>0</v>
      </c>
      <c r="E147" s="10">
        <v>200</v>
      </c>
      <c r="F147" s="12">
        <f t="shared" si="102"/>
        <v>460</v>
      </c>
      <c r="G147" s="12">
        <f t="shared" si="103"/>
        <v>254.97999999999996</v>
      </c>
      <c r="H147" s="10">
        <v>0</v>
      </c>
      <c r="I147" s="9">
        <v>5.8</v>
      </c>
      <c r="J147" s="12">
        <f t="shared" si="104"/>
        <v>249.17999999999995</v>
      </c>
      <c r="K147" s="12">
        <f t="shared" si="105"/>
        <v>993.38709677419365</v>
      </c>
      <c r="L147" s="10">
        <v>0</v>
      </c>
      <c r="M147" s="10">
        <v>58</v>
      </c>
      <c r="N147" s="12">
        <f t="shared" si="106"/>
        <v>935.38709677419365</v>
      </c>
      <c r="O147"/>
      <c r="P147" s="13">
        <f t="shared" si="100"/>
        <v>460</v>
      </c>
      <c r="S147" s="13">
        <f t="shared" si="107"/>
        <v>197.78000000000003</v>
      </c>
      <c r="T147" s="13"/>
      <c r="U147" s="13"/>
      <c r="W147" s="13">
        <f t="shared" si="101"/>
        <v>933.38709677419354</v>
      </c>
      <c r="AC147" s="59">
        <f t="shared" si="108"/>
        <v>10</v>
      </c>
      <c r="AD147" s="59"/>
      <c r="AE147" s="59">
        <f t="shared" si="109"/>
        <v>10</v>
      </c>
      <c r="AF147" s="59">
        <v>0</v>
      </c>
      <c r="AG147" s="59">
        <v>0</v>
      </c>
      <c r="AH147" s="60">
        <f t="shared" si="110"/>
        <v>0.28999999999999998</v>
      </c>
      <c r="AI147" s="59">
        <f t="shared" si="111"/>
        <v>0.28999999999999998</v>
      </c>
      <c r="AJ147" s="59">
        <v>0</v>
      </c>
      <c r="AK147" s="59">
        <v>0</v>
      </c>
      <c r="AL147" s="61">
        <f t="shared" si="112"/>
        <v>2.9</v>
      </c>
      <c r="AM147" s="59">
        <f t="shared" si="113"/>
        <v>2.9</v>
      </c>
      <c r="AN147" s="59">
        <v>0</v>
      </c>
      <c r="AO147" s="59">
        <v>0</v>
      </c>
    </row>
    <row r="148" spans="2:41" ht="15.95" customHeight="1" x14ac:dyDescent="0.25">
      <c r="B148" s="8">
        <f t="shared" si="98"/>
        <v>44743</v>
      </c>
      <c r="C148" s="12">
        <f t="shared" si="114"/>
        <v>460</v>
      </c>
      <c r="D148" s="10">
        <v>0</v>
      </c>
      <c r="E148" s="10">
        <v>200</v>
      </c>
      <c r="F148" s="12">
        <f t="shared" si="102"/>
        <v>260</v>
      </c>
      <c r="G148" s="12">
        <f t="shared" si="103"/>
        <v>249.17999999999995</v>
      </c>
      <c r="H148" s="10">
        <v>0</v>
      </c>
      <c r="I148" s="9">
        <v>5.99</v>
      </c>
      <c r="J148" s="12">
        <f t="shared" si="104"/>
        <v>243.18999999999994</v>
      </c>
      <c r="K148" s="12">
        <f t="shared" si="105"/>
        <v>935.38709677419365</v>
      </c>
      <c r="L148" s="10">
        <v>0</v>
      </c>
      <c r="M148" s="10">
        <v>60</v>
      </c>
      <c r="N148" s="12">
        <f t="shared" si="106"/>
        <v>875.38709677419365</v>
      </c>
      <c r="O148"/>
      <c r="P148" s="13">
        <f t="shared" si="100"/>
        <v>260</v>
      </c>
      <c r="S148" s="13">
        <f t="shared" si="107"/>
        <v>191.79000000000002</v>
      </c>
      <c r="T148" s="13"/>
      <c r="U148" s="13"/>
      <c r="W148" s="13">
        <f t="shared" si="101"/>
        <v>875.38709677419354</v>
      </c>
      <c r="AC148" s="59">
        <f t="shared" si="108"/>
        <v>10</v>
      </c>
      <c r="AD148" s="59"/>
      <c r="AE148" s="59">
        <f t="shared" si="109"/>
        <v>10</v>
      </c>
      <c r="AF148" s="59">
        <v>0</v>
      </c>
      <c r="AG148" s="59">
        <v>0</v>
      </c>
      <c r="AH148" s="60">
        <f t="shared" si="110"/>
        <v>0.29949999999999999</v>
      </c>
      <c r="AI148" s="59">
        <f t="shared" si="111"/>
        <v>0.29949999999999999</v>
      </c>
      <c r="AJ148" s="59">
        <v>0</v>
      </c>
      <c r="AK148" s="59">
        <v>0</v>
      </c>
      <c r="AL148" s="61">
        <f t="shared" si="112"/>
        <v>3</v>
      </c>
      <c r="AM148" s="59">
        <f t="shared" si="113"/>
        <v>3</v>
      </c>
      <c r="AN148" s="59">
        <v>0</v>
      </c>
      <c r="AO148" s="59">
        <v>0</v>
      </c>
    </row>
    <row r="149" spans="2:41" ht="15.95" customHeight="1" x14ac:dyDescent="0.25">
      <c r="B149" s="8">
        <f t="shared" si="98"/>
        <v>44774</v>
      </c>
      <c r="C149" s="12">
        <f t="shared" si="114"/>
        <v>260</v>
      </c>
      <c r="D149" s="10">
        <v>0</v>
      </c>
      <c r="E149" s="10">
        <v>200</v>
      </c>
      <c r="F149" s="12">
        <f t="shared" si="102"/>
        <v>60</v>
      </c>
      <c r="G149" s="12">
        <f t="shared" si="103"/>
        <v>243.18999999999994</v>
      </c>
      <c r="H149" s="10">
        <v>0</v>
      </c>
      <c r="I149" s="9">
        <v>5.99</v>
      </c>
      <c r="J149" s="12">
        <f t="shared" si="104"/>
        <v>237.19999999999993</v>
      </c>
      <c r="K149" s="12">
        <f t="shared" si="105"/>
        <v>875.38709677419365</v>
      </c>
      <c r="L149" s="10">
        <v>0</v>
      </c>
      <c r="M149" s="10">
        <v>60</v>
      </c>
      <c r="N149" s="12">
        <f t="shared" si="106"/>
        <v>815.38709677419365</v>
      </c>
      <c r="O149"/>
      <c r="P149" s="13">
        <v>60</v>
      </c>
      <c r="S149" s="13">
        <f>+S150+I150</f>
        <v>185.8</v>
      </c>
      <c r="T149" s="13"/>
      <c r="U149" s="13"/>
      <c r="W149" s="13">
        <f>+W150+M149</f>
        <v>815.38709677419354</v>
      </c>
      <c r="AC149" s="59">
        <f t="shared" si="108"/>
        <v>10</v>
      </c>
      <c r="AD149" s="59"/>
      <c r="AE149" s="59">
        <f t="shared" si="109"/>
        <v>10</v>
      </c>
      <c r="AF149" s="59">
        <v>0</v>
      </c>
      <c r="AG149" s="59">
        <v>0</v>
      </c>
      <c r="AH149" s="60">
        <f t="shared" si="110"/>
        <v>0.29949999999999999</v>
      </c>
      <c r="AI149" s="59">
        <f t="shared" si="111"/>
        <v>0.29949999999999999</v>
      </c>
      <c r="AJ149" s="59">
        <v>0</v>
      </c>
      <c r="AK149" s="59">
        <v>0</v>
      </c>
      <c r="AL149" s="61">
        <f t="shared" si="112"/>
        <v>3</v>
      </c>
      <c r="AM149" s="59">
        <f t="shared" si="113"/>
        <v>3</v>
      </c>
      <c r="AN149" s="59">
        <v>0</v>
      </c>
      <c r="AO149" s="59">
        <v>0</v>
      </c>
    </row>
    <row r="150" spans="2:41" ht="15.95" customHeight="1" x14ac:dyDescent="0.25">
      <c r="B150" s="8">
        <f t="shared" si="98"/>
        <v>44805</v>
      </c>
      <c r="C150" s="12">
        <f t="shared" si="114"/>
        <v>60</v>
      </c>
      <c r="D150" s="10">
        <v>2000</v>
      </c>
      <c r="E150" s="10">
        <v>200</v>
      </c>
      <c r="F150" s="12">
        <f t="shared" si="102"/>
        <v>1860</v>
      </c>
      <c r="G150" s="12">
        <f t="shared" si="103"/>
        <v>237.19999999999993</v>
      </c>
      <c r="H150" s="10">
        <v>0</v>
      </c>
      <c r="I150" s="9">
        <v>5.8</v>
      </c>
      <c r="J150" s="12">
        <f t="shared" si="104"/>
        <v>231.39999999999992</v>
      </c>
      <c r="K150" s="12">
        <f t="shared" si="105"/>
        <v>815.38709677419365</v>
      </c>
      <c r="L150" s="10">
        <v>0</v>
      </c>
      <c r="M150" s="10">
        <f>+M149/31*25</f>
        <v>48.387096774193552</v>
      </c>
      <c r="N150" s="12">
        <f t="shared" si="106"/>
        <v>767.00000000000011</v>
      </c>
      <c r="O150"/>
      <c r="P150" s="13"/>
      <c r="S150" s="2">
        <v>180</v>
      </c>
      <c r="W150" s="13">
        <f t="shared" si="101"/>
        <v>755.38709677419354</v>
      </c>
      <c r="AC150" s="59">
        <f t="shared" si="108"/>
        <v>10</v>
      </c>
      <c r="AD150" s="59"/>
      <c r="AE150" s="59">
        <f t="shared" si="109"/>
        <v>10</v>
      </c>
      <c r="AF150" s="59">
        <v>0</v>
      </c>
      <c r="AG150" s="59">
        <v>0</v>
      </c>
      <c r="AH150" s="60">
        <f t="shared" si="110"/>
        <v>0.28999999999999998</v>
      </c>
      <c r="AI150" s="59">
        <f t="shared" si="111"/>
        <v>0.28999999999999998</v>
      </c>
      <c r="AJ150" s="59">
        <v>0</v>
      </c>
      <c r="AK150" s="59">
        <v>0</v>
      </c>
      <c r="AL150" s="61">
        <f t="shared" si="112"/>
        <v>2.4193548387096775</v>
      </c>
      <c r="AM150" s="59">
        <f t="shared" si="113"/>
        <v>2.4193548387096775</v>
      </c>
      <c r="AN150" s="59">
        <v>0</v>
      </c>
      <c r="AO150" s="59">
        <v>0</v>
      </c>
    </row>
    <row r="151" spans="2:41" ht="15.95" customHeight="1" x14ac:dyDescent="0.25">
      <c r="B151" s="8">
        <f t="shared" si="98"/>
        <v>44835</v>
      </c>
      <c r="C151" s="12">
        <f t="shared" si="114"/>
        <v>1860</v>
      </c>
      <c r="D151" s="10">
        <v>0</v>
      </c>
      <c r="E151" s="10">
        <v>210</v>
      </c>
      <c r="F151" s="12">
        <f t="shared" si="102"/>
        <v>1650</v>
      </c>
      <c r="G151" s="12">
        <f t="shared" si="103"/>
        <v>231.39999999999992</v>
      </c>
      <c r="H151" s="10">
        <v>0</v>
      </c>
      <c r="I151" s="9">
        <v>5.99</v>
      </c>
      <c r="J151" s="12">
        <f t="shared" si="104"/>
        <v>225.40999999999991</v>
      </c>
      <c r="K151" s="12">
        <f t="shared" si="105"/>
        <v>767.00000000000011</v>
      </c>
      <c r="L151" s="10">
        <v>0</v>
      </c>
      <c r="M151" s="10">
        <v>44.21</v>
      </c>
      <c r="N151" s="12">
        <f t="shared" si="106"/>
        <v>722.79000000000008</v>
      </c>
      <c r="O151"/>
      <c r="P151" s="13"/>
      <c r="W151" s="2">
        <f>640+67</f>
        <v>707</v>
      </c>
      <c r="AC151" s="59">
        <f t="shared" si="108"/>
        <v>10.5</v>
      </c>
      <c r="AD151" s="59"/>
      <c r="AE151" s="59">
        <f t="shared" si="109"/>
        <v>10.5</v>
      </c>
      <c r="AF151" s="59">
        <v>0</v>
      </c>
      <c r="AG151" s="59">
        <v>0</v>
      </c>
      <c r="AH151" s="60">
        <f t="shared" si="110"/>
        <v>0.29949999999999999</v>
      </c>
      <c r="AI151" s="59">
        <f t="shared" si="111"/>
        <v>0.29949999999999999</v>
      </c>
      <c r="AJ151" s="59">
        <v>0</v>
      </c>
      <c r="AK151" s="59">
        <v>0</v>
      </c>
      <c r="AL151" s="61">
        <f t="shared" si="112"/>
        <v>2.2105000000000001</v>
      </c>
      <c r="AM151" s="59">
        <f t="shared" si="113"/>
        <v>2.2105000000000001</v>
      </c>
      <c r="AN151" s="59">
        <v>0</v>
      </c>
      <c r="AO151" s="59">
        <v>0</v>
      </c>
    </row>
    <row r="152" spans="2:41" ht="15.95" customHeight="1" x14ac:dyDescent="0.25">
      <c r="B152" s="8">
        <f t="shared" si="98"/>
        <v>44866</v>
      </c>
      <c r="C152" s="12">
        <f t="shared" si="114"/>
        <v>1650</v>
      </c>
      <c r="D152" s="10">
        <v>0</v>
      </c>
      <c r="E152" s="10">
        <v>210</v>
      </c>
      <c r="F152" s="12">
        <f>+C152+D152-E152</f>
        <v>1440</v>
      </c>
      <c r="G152" s="12">
        <f t="shared" si="103"/>
        <v>225.40999999999991</v>
      </c>
      <c r="H152" s="10">
        <v>0</v>
      </c>
      <c r="I152" s="9">
        <v>5.8</v>
      </c>
      <c r="J152" s="12">
        <f t="shared" si="104"/>
        <v>219.6099999999999</v>
      </c>
      <c r="K152" s="12">
        <f t="shared" si="105"/>
        <v>722.79000000000008</v>
      </c>
      <c r="L152" s="10">
        <v>0</v>
      </c>
      <c r="M152" s="10">
        <v>42.78</v>
      </c>
      <c r="N152" s="12">
        <f t="shared" si="106"/>
        <v>680.0100000000001</v>
      </c>
      <c r="O152"/>
      <c r="P152" s="13">
        <f>+N152/20</f>
        <v>34.000500000000002</v>
      </c>
      <c r="AC152" s="59">
        <f t="shared" ref="AC152:AC153" si="115">+E152/20</f>
        <v>10.5</v>
      </c>
      <c r="AD152" s="59"/>
      <c r="AE152" s="59">
        <f t="shared" si="109"/>
        <v>10.5</v>
      </c>
      <c r="AF152" s="59">
        <v>0</v>
      </c>
      <c r="AG152" s="59">
        <v>0</v>
      </c>
      <c r="AH152" s="60">
        <f t="shared" si="110"/>
        <v>0.28999999999999998</v>
      </c>
      <c r="AI152" s="59">
        <f t="shared" si="111"/>
        <v>0.28999999999999998</v>
      </c>
      <c r="AJ152" s="59">
        <v>0</v>
      </c>
      <c r="AK152" s="59">
        <v>0</v>
      </c>
      <c r="AL152" s="61">
        <f t="shared" si="112"/>
        <v>2.1390000000000002</v>
      </c>
      <c r="AM152" s="59">
        <f t="shared" si="113"/>
        <v>2.1390000000000002</v>
      </c>
      <c r="AN152" s="59">
        <v>0</v>
      </c>
      <c r="AO152" s="59">
        <v>0</v>
      </c>
    </row>
    <row r="153" spans="2:41" ht="15.95" customHeight="1" x14ac:dyDescent="0.25">
      <c r="B153" s="8">
        <f t="shared" si="98"/>
        <v>44896</v>
      </c>
      <c r="C153" s="12">
        <f t="shared" si="114"/>
        <v>1440</v>
      </c>
      <c r="D153" s="10">
        <v>0</v>
      </c>
      <c r="E153" s="10">
        <v>460</v>
      </c>
      <c r="F153" s="12">
        <f>+C153+D153-E153</f>
        <v>980</v>
      </c>
      <c r="G153" s="12">
        <f t="shared" si="103"/>
        <v>219.6099999999999</v>
      </c>
      <c r="H153" s="10">
        <v>0</v>
      </c>
      <c r="I153" s="9">
        <v>25.63</v>
      </c>
      <c r="J153" s="12">
        <f t="shared" si="104"/>
        <v>193.9799999999999</v>
      </c>
      <c r="K153" s="12">
        <f t="shared" si="105"/>
        <v>680.0100000000001</v>
      </c>
      <c r="L153" s="10">
        <v>0</v>
      </c>
      <c r="M153" s="10">
        <v>0</v>
      </c>
      <c r="N153" s="12">
        <f t="shared" si="106"/>
        <v>680.0100000000001</v>
      </c>
      <c r="O153"/>
      <c r="P153" s="13">
        <f>+C153/20</f>
        <v>72</v>
      </c>
      <c r="Q153" s="97">
        <v>49</v>
      </c>
      <c r="R153" s="13">
        <f>+P153-Q153</f>
        <v>23</v>
      </c>
      <c r="S153" s="2">
        <f>+R153*20</f>
        <v>460</v>
      </c>
      <c r="T153" s="2">
        <f>+S153/31</f>
        <v>14.838709677419354</v>
      </c>
      <c r="U153" s="2">
        <f>+F153/20</f>
        <v>49</v>
      </c>
      <c r="AC153" s="59">
        <f t="shared" si="115"/>
        <v>23</v>
      </c>
      <c r="AD153" s="59"/>
      <c r="AE153" s="59">
        <f t="shared" si="109"/>
        <v>23</v>
      </c>
      <c r="AF153" s="59">
        <v>0</v>
      </c>
      <c r="AG153" s="59">
        <v>0</v>
      </c>
      <c r="AH153" s="60">
        <f t="shared" si="110"/>
        <v>1.2814999999999999</v>
      </c>
      <c r="AI153" s="59">
        <f t="shared" si="111"/>
        <v>1.2814999999999999</v>
      </c>
      <c r="AJ153" s="59">
        <v>0</v>
      </c>
      <c r="AK153" s="59">
        <v>0</v>
      </c>
      <c r="AL153" s="61">
        <f t="shared" si="112"/>
        <v>0</v>
      </c>
      <c r="AM153" s="59">
        <f t="shared" si="113"/>
        <v>0</v>
      </c>
      <c r="AN153" s="59">
        <v>0</v>
      </c>
      <c r="AO153" s="59">
        <v>0</v>
      </c>
    </row>
    <row r="154" spans="2:41" ht="15.95" customHeight="1" x14ac:dyDescent="0.25">
      <c r="B154" s="8" t="s">
        <v>5</v>
      </c>
      <c r="C154" s="12">
        <f>+C142</f>
        <v>1660</v>
      </c>
      <c r="D154" s="12">
        <f>SUM(D142:D153)</f>
        <v>2000</v>
      </c>
      <c r="E154" s="12">
        <f>SUM(E142:E153)</f>
        <v>2680</v>
      </c>
      <c r="F154" s="12">
        <f t="shared" si="102"/>
        <v>980</v>
      </c>
      <c r="G154" s="12">
        <f>+G142</f>
        <v>417</v>
      </c>
      <c r="H154" s="12">
        <f>SUM(H142:H153)</f>
        <v>0</v>
      </c>
      <c r="I154" s="12">
        <f>SUM(I142:I153)</f>
        <v>223.02000000000004</v>
      </c>
      <c r="J154" s="12">
        <f t="shared" si="104"/>
        <v>193.97999999999996</v>
      </c>
      <c r="K154" s="12">
        <f>+K142</f>
        <v>1285.5806451612905</v>
      </c>
      <c r="L154" s="12">
        <f>SUM(L142:L153)</f>
        <v>0</v>
      </c>
      <c r="M154" s="12">
        <f>SUM(M142:M153)</f>
        <v>605.57064516129037</v>
      </c>
      <c r="N154" s="12">
        <f t="shared" si="106"/>
        <v>680.0100000000001</v>
      </c>
      <c r="O154"/>
      <c r="P154" s="13"/>
      <c r="AC154" s="59">
        <f t="shared" ref="AC154" si="116">+E154/20</f>
        <v>134</v>
      </c>
      <c r="AD154" s="59"/>
      <c r="AE154" s="59">
        <f t="shared" si="109"/>
        <v>134</v>
      </c>
      <c r="AF154" s="59">
        <v>0</v>
      </c>
      <c r="AG154" s="59">
        <v>0</v>
      </c>
      <c r="AH154" s="60">
        <f t="shared" si="110"/>
        <v>11.151000000000002</v>
      </c>
      <c r="AI154" s="59">
        <f t="shared" si="111"/>
        <v>11.151000000000002</v>
      </c>
      <c r="AJ154" s="59">
        <v>0</v>
      </c>
      <c r="AK154" s="59">
        <v>0</v>
      </c>
      <c r="AL154" s="61">
        <f t="shared" si="112"/>
        <v>30.278532258064519</v>
      </c>
      <c r="AM154" s="59">
        <f t="shared" si="113"/>
        <v>30.278532258064519</v>
      </c>
      <c r="AN154" s="59">
        <v>0</v>
      </c>
      <c r="AO154" s="59">
        <v>0</v>
      </c>
    </row>
    <row r="155" spans="2:41" ht="14.1" customHeight="1" x14ac:dyDescent="0.25">
      <c r="O15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  <c r="AB155" s="15"/>
      <c r="AC155"/>
      <c r="AD155"/>
      <c r="AE155"/>
      <c r="AF155"/>
      <c r="AG155"/>
      <c r="AH155" s="15"/>
      <c r="AI155" s="15"/>
      <c r="AJ155" s="15"/>
      <c r="AK155" s="15"/>
      <c r="AL155" s="15"/>
      <c r="AM155" s="15"/>
    </row>
    <row r="156" spans="2:41" ht="14.1" customHeight="1" x14ac:dyDescent="0.25">
      <c r="B156" s="128" t="s">
        <v>1</v>
      </c>
      <c r="C156" s="3" t="s">
        <v>49</v>
      </c>
      <c r="D156" s="4"/>
      <c r="E156" s="4"/>
      <c r="F156" s="4"/>
      <c r="G156" s="5"/>
      <c r="H156" s="3" t="s">
        <v>50</v>
      </c>
      <c r="I156" s="4"/>
      <c r="J156" s="3" t="s">
        <v>51</v>
      </c>
      <c r="K156" s="4"/>
      <c r="L156" s="3" t="s">
        <v>52</v>
      </c>
      <c r="M156" s="4"/>
      <c r="N156" s="5"/>
      <c r="T156" s="19"/>
      <c r="AF156"/>
      <c r="AG156"/>
      <c r="AH156"/>
      <c r="AI156"/>
      <c r="AJ156"/>
    </row>
    <row r="157" spans="2:41" ht="27.75" customHeight="1" x14ac:dyDescent="0.25">
      <c r="B157" s="129"/>
      <c r="C157" s="6" t="s">
        <v>4</v>
      </c>
      <c r="D157" s="100" t="s">
        <v>123</v>
      </c>
      <c r="E157" s="100" t="s">
        <v>124</v>
      </c>
      <c r="F157" s="100" t="s">
        <v>125</v>
      </c>
      <c r="G157" s="6" t="s">
        <v>3</v>
      </c>
      <c r="H157" s="6" t="s">
        <v>53</v>
      </c>
      <c r="I157" s="6" t="s">
        <v>54</v>
      </c>
      <c r="J157" s="7" t="s">
        <v>24</v>
      </c>
      <c r="K157" s="7" t="s">
        <v>25</v>
      </c>
      <c r="L157" s="7" t="s">
        <v>55</v>
      </c>
      <c r="M157" s="7" t="s">
        <v>56</v>
      </c>
      <c r="N157" s="7" t="s">
        <v>57</v>
      </c>
      <c r="S157" s="2">
        <v>100</v>
      </c>
      <c r="T157" s="19">
        <f>1000*1.22</f>
        <v>1220</v>
      </c>
    </row>
    <row r="158" spans="2:41" ht="14.1" customHeight="1" x14ac:dyDescent="0.25">
      <c r="B158" s="8">
        <f t="shared" ref="B158:B169" si="117">+B6</f>
        <v>44562</v>
      </c>
      <c r="C158" s="106">
        <f>'[5]BU-4'!$E$35</f>
        <v>15.770833333333334</v>
      </c>
      <c r="D158" s="106">
        <f>'[5]BU-4'!$F$35</f>
        <v>0</v>
      </c>
      <c r="E158" s="106">
        <f>'[5]BU-4'!$G$35</f>
        <v>0</v>
      </c>
      <c r="F158" s="106">
        <f>'[5]BU-4'!$H$35</f>
        <v>15</v>
      </c>
      <c r="G158" s="9"/>
      <c r="H158" s="10"/>
      <c r="I158" s="10"/>
      <c r="J158" s="10"/>
      <c r="K158" s="10"/>
      <c r="L158" s="10"/>
      <c r="M158" s="10"/>
      <c r="N158" s="10"/>
      <c r="S158" s="2">
        <v>15.9</v>
      </c>
      <c r="T158" s="2">
        <f>+T157*S158/100</f>
        <v>193.98</v>
      </c>
    </row>
    <row r="159" spans="2:41" ht="14.1" customHeight="1" x14ac:dyDescent="0.25">
      <c r="B159" s="8">
        <f t="shared" si="117"/>
        <v>44593</v>
      </c>
      <c r="C159" s="106">
        <f>'[7]BU-4'!$E$35</f>
        <v>16.142361111111111</v>
      </c>
      <c r="D159" s="106">
        <f>'[7]BU-4'!$F$35</f>
        <v>0</v>
      </c>
      <c r="E159" s="106">
        <f>'[7]BU-4'!$G$35</f>
        <v>1.8576388888888891</v>
      </c>
      <c r="F159" s="106">
        <f>'[7]BU-4'!$H$35</f>
        <v>10</v>
      </c>
      <c r="G159" s="10"/>
      <c r="H159" s="10"/>
      <c r="I159" s="10"/>
      <c r="J159" s="10"/>
      <c r="K159" s="10"/>
      <c r="L159" s="10"/>
      <c r="M159" s="10"/>
      <c r="N159" s="10"/>
      <c r="O159" s="13"/>
      <c r="T159" s="77">
        <f>+J152-T158</f>
        <v>25.62999999999991</v>
      </c>
    </row>
    <row r="160" spans="2:41" ht="14.1" customHeight="1" x14ac:dyDescent="0.25">
      <c r="B160" s="8">
        <f t="shared" si="117"/>
        <v>44621</v>
      </c>
      <c r="C160" s="106">
        <f>'[9]BU-4'!$E$35</f>
        <v>29.913194444444443</v>
      </c>
      <c r="D160" s="106">
        <f>'[9]BU-4'!$F$35</f>
        <v>0</v>
      </c>
      <c r="E160" s="106">
        <f>'[9]BU-4'!$G$35</f>
        <v>0</v>
      </c>
      <c r="F160" s="106">
        <f>'[9]BU-4'!$H$35</f>
        <v>1.0868055555555556</v>
      </c>
      <c r="G160" s="10"/>
      <c r="H160" s="10"/>
      <c r="I160" s="10"/>
      <c r="J160" s="10"/>
      <c r="K160" s="10"/>
      <c r="L160" s="10"/>
      <c r="M160" s="10"/>
      <c r="N160" s="10"/>
    </row>
    <row r="161" spans="2:14" ht="14.1" customHeight="1" x14ac:dyDescent="0.25">
      <c r="B161" s="8">
        <f t="shared" si="117"/>
        <v>44652</v>
      </c>
      <c r="C161" s="106">
        <f>'[11]BU-4'!$E$35</f>
        <v>28.296527777777776</v>
      </c>
      <c r="D161" s="106">
        <f>'[11]BU-4'!$F$35</f>
        <v>0</v>
      </c>
      <c r="E161" s="106">
        <f>'[11]BU-4'!$G$35</f>
        <v>0.23611111111111113</v>
      </c>
      <c r="F161" s="106">
        <f>'[11]BU-4'!$H$35</f>
        <v>1.4673611111111111</v>
      </c>
      <c r="G161" s="10"/>
      <c r="H161" s="10"/>
      <c r="I161" s="10"/>
      <c r="J161" s="10"/>
      <c r="K161" s="10"/>
      <c r="L161" s="10"/>
      <c r="M161" s="10"/>
      <c r="N161" s="10"/>
    </row>
    <row r="162" spans="2:14" ht="14.1" customHeight="1" x14ac:dyDescent="0.25">
      <c r="B162" s="8">
        <f t="shared" si="117"/>
        <v>44682</v>
      </c>
      <c r="C162" s="106">
        <f>'[13]BU-4'!$E$35</f>
        <v>31</v>
      </c>
      <c r="D162" s="106">
        <f>'[13]BU-4'!$F$35</f>
        <v>0</v>
      </c>
      <c r="E162" s="106">
        <f>'[13]BU-4'!$G$35</f>
        <v>0</v>
      </c>
      <c r="F162" s="106">
        <f>'[13]BU-4'!$H$35</f>
        <v>0</v>
      </c>
      <c r="G162" s="10"/>
      <c r="H162" s="10"/>
      <c r="I162" s="10"/>
      <c r="J162" s="10"/>
      <c r="K162" s="10"/>
      <c r="L162" s="10"/>
      <c r="M162" s="10"/>
      <c r="N162" s="10"/>
    </row>
    <row r="163" spans="2:14" ht="14.1" customHeight="1" x14ac:dyDescent="0.25">
      <c r="B163" s="8">
        <f t="shared" si="117"/>
        <v>44713</v>
      </c>
      <c r="C163" s="106">
        <f>'[15]BU-4'!$E$35</f>
        <v>29.822916666666668</v>
      </c>
      <c r="D163" s="106">
        <f>'[15]BU-4'!$F$35</f>
        <v>0</v>
      </c>
      <c r="E163" s="106">
        <f>'[15]BU-4'!$G$35</f>
        <v>0</v>
      </c>
      <c r="F163" s="106">
        <f>'[15]BU-4'!$H$35</f>
        <v>0.17708333333333334</v>
      </c>
      <c r="G163" s="10"/>
      <c r="H163" s="10"/>
      <c r="I163" s="10"/>
      <c r="J163" s="10"/>
      <c r="K163" s="10"/>
      <c r="L163" s="10"/>
      <c r="M163" s="10"/>
      <c r="N163" s="10"/>
    </row>
    <row r="164" spans="2:14" ht="14.1" customHeight="1" x14ac:dyDescent="0.25">
      <c r="B164" s="8">
        <f t="shared" si="117"/>
        <v>44743</v>
      </c>
      <c r="C164" s="106">
        <f>'[17]BU-4'!$E$35</f>
        <v>29.061111111111114</v>
      </c>
      <c r="D164" s="106">
        <f>'[17]BU-4'!$F$35</f>
        <v>0</v>
      </c>
      <c r="E164" s="106">
        <f>'[17]BU-4'!$G$35</f>
        <v>0</v>
      </c>
      <c r="F164" s="106">
        <f>'[17]BU-4'!$H$35</f>
        <v>1.9388888888888891</v>
      </c>
      <c r="G164" s="10"/>
      <c r="H164" s="10"/>
      <c r="I164" s="10"/>
      <c r="J164" s="10"/>
      <c r="K164" s="10"/>
      <c r="L164" s="10"/>
      <c r="M164" s="10"/>
      <c r="N164" s="10"/>
    </row>
    <row r="165" spans="2:14" ht="14.1" customHeight="1" x14ac:dyDescent="0.25">
      <c r="B165" s="8">
        <f t="shared" si="117"/>
        <v>44774</v>
      </c>
      <c r="C165" s="106">
        <f>'[19]BU-4'!$E$35</f>
        <v>29.073611111111109</v>
      </c>
      <c r="D165" s="106">
        <f>'[19]BU-4'!$F$35</f>
        <v>0</v>
      </c>
      <c r="E165" s="106">
        <f>'[19]BU-4'!$G$35</f>
        <v>0</v>
      </c>
      <c r="F165" s="106">
        <f>'[19]BU-4'!$H$35</f>
        <v>1.9263888888888889</v>
      </c>
      <c r="G165" s="10"/>
      <c r="H165" s="10"/>
      <c r="I165" s="10"/>
      <c r="J165" s="10"/>
      <c r="K165" s="10"/>
      <c r="L165" s="10"/>
      <c r="M165" s="10"/>
      <c r="N165" s="10"/>
    </row>
    <row r="166" spans="2:14" ht="14.1" customHeight="1" x14ac:dyDescent="0.25">
      <c r="B166" s="8">
        <f t="shared" si="117"/>
        <v>44805</v>
      </c>
      <c r="C166" s="106">
        <f>'[21]BU-4'!$E$35</f>
        <v>30</v>
      </c>
      <c r="D166" s="106">
        <f>'[21]BU-4'!$F$35</f>
        <v>0</v>
      </c>
      <c r="E166" s="106">
        <f>'[21]BU-4'!$G$35</f>
        <v>0</v>
      </c>
      <c r="F166" s="106">
        <f>'[21]BU-4'!$H$35</f>
        <v>0</v>
      </c>
      <c r="G166" s="10"/>
      <c r="H166" s="10"/>
      <c r="I166" s="10"/>
      <c r="J166" s="10"/>
      <c r="K166" s="10"/>
      <c r="L166" s="10"/>
      <c r="M166" s="10"/>
      <c r="N166" s="10"/>
    </row>
    <row r="167" spans="2:14" ht="14.1" customHeight="1" x14ac:dyDescent="0.25">
      <c r="B167" s="8">
        <f t="shared" si="117"/>
        <v>44835</v>
      </c>
      <c r="C167" s="106">
        <f>'[23]BU-4'!$E$35</f>
        <v>31</v>
      </c>
      <c r="D167" s="106">
        <f>'[23]BU-4'!$F$35</f>
        <v>0</v>
      </c>
      <c r="E167" s="106">
        <f>'[23]BU-4'!$G$35</f>
        <v>0</v>
      </c>
      <c r="F167" s="106">
        <f>'[23]BU-4'!$H$35</f>
        <v>0</v>
      </c>
      <c r="G167" s="10"/>
      <c r="H167" s="10"/>
      <c r="I167" s="10"/>
      <c r="J167" s="10"/>
      <c r="K167" s="10"/>
      <c r="L167" s="10"/>
      <c r="M167" s="10"/>
      <c r="N167" s="10"/>
    </row>
    <row r="168" spans="2:14" ht="14.1" customHeight="1" x14ac:dyDescent="0.25">
      <c r="B168" s="8">
        <f t="shared" si="117"/>
        <v>44866</v>
      </c>
      <c r="C168" s="106">
        <f>'[25]BU-4'!$E$35</f>
        <v>29.979166666666668</v>
      </c>
      <c r="D168" s="106">
        <f>'[25]BU-4'!$F$35</f>
        <v>0</v>
      </c>
      <c r="E168" s="106">
        <f>'[25]BU-4'!$G$35</f>
        <v>0</v>
      </c>
      <c r="F168" s="106">
        <f>'[25]BU-4'!$H$35</f>
        <v>2.083333333333337E-2</v>
      </c>
      <c r="G168" s="10"/>
      <c r="H168" s="10"/>
      <c r="I168" s="10"/>
      <c r="J168" s="10"/>
      <c r="K168" s="10"/>
      <c r="L168" s="10"/>
      <c r="M168" s="10"/>
      <c r="N168" s="10"/>
    </row>
    <row r="169" spans="2:14" ht="14.1" customHeight="1" x14ac:dyDescent="0.25">
      <c r="B169" s="8">
        <f t="shared" si="117"/>
        <v>44896</v>
      </c>
      <c r="C169" s="106">
        <f>'[27]BU-4'!$E$35</f>
        <v>22.426388888888887</v>
      </c>
      <c r="D169" s="106">
        <f>'[27]BU-4'!$F$35</f>
        <v>0</v>
      </c>
      <c r="E169" s="106">
        <f>'[27]BU-4'!$G$35</f>
        <v>0</v>
      </c>
      <c r="F169" s="106">
        <f>'[27]BU-4'!$H$35</f>
        <v>8.5736111111111111</v>
      </c>
      <c r="G169" s="10"/>
      <c r="H169" s="10"/>
      <c r="I169" s="10"/>
      <c r="J169" s="10"/>
      <c r="K169" s="10"/>
      <c r="L169" s="10"/>
      <c r="M169" s="10"/>
      <c r="N169" s="10"/>
    </row>
    <row r="170" spans="2:14" ht="14.1" customHeight="1" x14ac:dyDescent="0.25">
      <c r="B170" s="8" t="s">
        <v>5</v>
      </c>
      <c r="C170" s="107">
        <f>SUM(C158:C169)</f>
        <v>322.48611111111109</v>
      </c>
      <c r="D170" s="107">
        <f t="shared" ref="D170:K170" si="118">SUM(G158:G169)</f>
        <v>0</v>
      </c>
      <c r="E170" s="107">
        <f t="shared" si="118"/>
        <v>0</v>
      </c>
      <c r="F170" s="107">
        <f t="shared" si="118"/>
        <v>0</v>
      </c>
      <c r="G170" s="12">
        <f t="shared" si="118"/>
        <v>0</v>
      </c>
      <c r="H170" s="12">
        <f t="shared" si="118"/>
        <v>0</v>
      </c>
      <c r="I170" s="12">
        <f t="shared" si="118"/>
        <v>0</v>
      </c>
      <c r="J170" s="12">
        <f t="shared" si="118"/>
        <v>0</v>
      </c>
      <c r="K170" s="12">
        <f t="shared" si="118"/>
        <v>0</v>
      </c>
    </row>
    <row r="171" spans="2:14" ht="9.9499999999999993" customHeight="1" x14ac:dyDescent="0.25"/>
  </sheetData>
  <mergeCells count="57">
    <mergeCell ref="B156:B157"/>
    <mergeCell ref="C4:C5"/>
    <mergeCell ref="D4:D5"/>
    <mergeCell ref="G21:L21"/>
    <mergeCell ref="J22:L22"/>
    <mergeCell ref="B90:B91"/>
    <mergeCell ref="C73:G73"/>
    <mergeCell ref="C90:H90"/>
    <mergeCell ref="B108:B109"/>
    <mergeCell ref="B124:B125"/>
    <mergeCell ref="B4:B5"/>
    <mergeCell ref="B21:B23"/>
    <mergeCell ref="B39:B40"/>
    <mergeCell ref="I39:M39"/>
    <mergeCell ref="E4:H4"/>
    <mergeCell ref="I4:L4"/>
    <mergeCell ref="C21:C23"/>
    <mergeCell ref="G22:I22"/>
    <mergeCell ref="AJ73:AK73"/>
    <mergeCell ref="Y71:AG71"/>
    <mergeCell ref="N73:S73"/>
    <mergeCell ref="G56:J56"/>
    <mergeCell ref="L56:L57"/>
    <mergeCell ref="M56:P56"/>
    <mergeCell ref="Q56:V56"/>
    <mergeCell ref="H73:M73"/>
    <mergeCell ref="B56:B57"/>
    <mergeCell ref="B73:B74"/>
    <mergeCell ref="AG140:AG141"/>
    <mergeCell ref="B140:B141"/>
    <mergeCell ref="AC140:AC141"/>
    <mergeCell ref="AE140:AE141"/>
    <mergeCell ref="AF140:AF141"/>
    <mergeCell ref="AA73:AC73"/>
    <mergeCell ref="AD73:AE73"/>
    <mergeCell ref="AG73:AH73"/>
    <mergeCell ref="AM140:AM141"/>
    <mergeCell ref="AN140:AN141"/>
    <mergeCell ref="AO140:AO141"/>
    <mergeCell ref="AH140:AH141"/>
    <mergeCell ref="AI140:AI141"/>
    <mergeCell ref="AJ140:AJ141"/>
    <mergeCell ref="AK140:AK141"/>
    <mergeCell ref="AL140:AL141"/>
    <mergeCell ref="E3:T3"/>
    <mergeCell ref="AO4:AO5"/>
    <mergeCell ref="AP4:AP5"/>
    <mergeCell ref="AQ4:AQ5"/>
    <mergeCell ref="AR4:AR5"/>
    <mergeCell ref="AO3:AR3"/>
    <mergeCell ref="AE3:AK3"/>
    <mergeCell ref="AE4:AE5"/>
    <mergeCell ref="AF4:AF5"/>
    <mergeCell ref="AG4:AG5"/>
    <mergeCell ref="AH4:AK4"/>
    <mergeCell ref="Q4:T4"/>
    <mergeCell ref="M4:P4"/>
  </mergeCells>
  <printOptions horizontalCentered="1"/>
  <pageMargins left="0" right="0" top="0.19685039370078741" bottom="0.19685039370078741" header="0.51181102362204722" footer="0.51181102362204722"/>
  <pageSetup paperSize="9" scale="84" fitToHeight="4" orientation="landscape" r:id="rId1"/>
  <headerFooter alignWithMargins="0"/>
  <rowBreaks count="3" manualBreakCount="3">
    <brk id="37" min="1" max="21" man="1"/>
    <brk id="71" min="1" max="21" man="1"/>
    <brk id="104" min="1" max="21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5"/>
    <pageSetUpPr fitToPage="1"/>
  </sheetPr>
  <dimension ref="B7:DX176"/>
  <sheetViews>
    <sheetView showGridLines="0" topLeftCell="DB1" workbookViewId="0">
      <selection activeCell="DL11" sqref="DL11:DP23"/>
    </sheetView>
  </sheetViews>
  <sheetFormatPr baseColWidth="10" defaultColWidth="8.625" defaultRowHeight="12" x14ac:dyDescent="0.25"/>
  <cols>
    <col min="1" max="1" width="8.625" style="2"/>
    <col min="2" max="2" width="6.625" style="2" customWidth="1"/>
    <col min="3" max="3" width="8.625" style="2" customWidth="1"/>
    <col min="4" max="4" width="7.875" style="2" customWidth="1"/>
    <col min="5" max="5" width="8.875" style="2" customWidth="1"/>
    <col min="6" max="6" width="8" style="2" customWidth="1"/>
    <col min="7" max="7" width="7.75" style="2" customWidth="1"/>
    <col min="8" max="8" width="6.625" style="2" customWidth="1"/>
    <col min="9" max="9" width="3.375" style="2" customWidth="1"/>
    <col min="10" max="10" width="7.875" style="2" customWidth="1"/>
    <col min="11" max="11" width="6.625" style="2" customWidth="1"/>
    <col min="12" max="12" width="6.875" style="2" customWidth="1"/>
    <col min="13" max="13" width="6.625" style="2" customWidth="1"/>
    <col min="14" max="14" width="7.75" style="2" customWidth="1"/>
    <col min="15" max="19" width="6.625" style="2" customWidth="1"/>
    <col min="20" max="20" width="7.625" style="2" customWidth="1"/>
    <col min="21" max="21" width="7.875" style="2" customWidth="1"/>
    <col min="22" max="25" width="6.625" style="2" customWidth="1"/>
    <col min="26" max="34" width="8.625" style="2" customWidth="1"/>
    <col min="35" max="35" width="9" style="2" customWidth="1"/>
    <col min="36" max="44" width="8.625" style="2" customWidth="1"/>
    <col min="45" max="45" width="7.5" style="2" customWidth="1"/>
    <col min="46" max="46" width="6.625" style="2" customWidth="1"/>
    <col min="47" max="48" width="5.625" style="2" customWidth="1"/>
    <col min="49" max="49" width="6.875" style="2" customWidth="1"/>
    <col min="50" max="51" width="5.75" style="2" customWidth="1"/>
    <col min="52" max="52" width="5.625" style="2" customWidth="1"/>
    <col min="53" max="53" width="6.875" style="2" customWidth="1"/>
    <col min="54" max="54" width="5.625" style="2" customWidth="1"/>
    <col min="55" max="55" width="6.125" style="2" customWidth="1"/>
    <col min="56" max="57" width="7.625" style="2" customWidth="1"/>
    <col min="58" max="59" width="5.625" style="2" customWidth="1"/>
    <col min="60" max="60" width="6.875" style="2" customWidth="1"/>
    <col min="61" max="65" width="5.625" style="2" customWidth="1"/>
    <col min="66" max="67" width="5.75" style="2" customWidth="1"/>
    <col min="68" max="68" width="5.625" style="2" customWidth="1"/>
    <col min="69" max="16384" width="8.625" style="2"/>
  </cols>
  <sheetData>
    <row r="7" spans="2:128" x14ac:dyDescent="0.25">
      <c r="J7" s="44" t="s">
        <v>10</v>
      </c>
      <c r="K7" s="44"/>
      <c r="L7" s="44"/>
      <c r="M7" s="44"/>
      <c r="N7" s="44"/>
      <c r="O7" s="44"/>
      <c r="P7" s="44"/>
      <c r="Q7" s="44"/>
      <c r="R7" s="44"/>
      <c r="S7" s="44"/>
      <c r="T7" s="44"/>
    </row>
    <row r="8" spans="2:128" ht="15.75" x14ac:dyDescent="0.25">
      <c r="B8" s="117" t="s">
        <v>0</v>
      </c>
      <c r="C8" s="117"/>
      <c r="D8" s="117"/>
      <c r="E8" s="117"/>
      <c r="F8" s="117"/>
      <c r="G8" s="117"/>
      <c r="H8" s="117"/>
      <c r="I8"/>
      <c r="J8" s="128" t="s">
        <v>1</v>
      </c>
      <c r="K8" s="131" t="s">
        <v>67</v>
      </c>
      <c r="L8" s="45" t="s">
        <v>2</v>
      </c>
      <c r="M8" s="46"/>
      <c r="N8" s="47"/>
      <c r="O8" s="123" t="s">
        <v>69</v>
      </c>
      <c r="P8" s="124"/>
      <c r="Q8" s="124"/>
      <c r="R8" s="124"/>
      <c r="S8" s="124"/>
      <c r="T8" s="125"/>
      <c r="V8" s="44" t="s">
        <v>74</v>
      </c>
      <c r="W8" s="44"/>
      <c r="X8" s="44"/>
      <c r="Y8" s="44"/>
      <c r="Z8" s="44"/>
      <c r="AA8" s="44"/>
      <c r="AB8" s="44"/>
      <c r="AC8" s="44"/>
      <c r="AD8" s="44"/>
      <c r="AE8" s="44"/>
      <c r="AF8" s="44"/>
      <c r="AG8" s="44"/>
      <c r="AI8" s="145" t="s">
        <v>14</v>
      </c>
      <c r="AJ8" s="145"/>
      <c r="AK8" s="145"/>
      <c r="AL8" s="145"/>
      <c r="AM8" s="145"/>
      <c r="AN8" s="145"/>
      <c r="AO8" s="145"/>
      <c r="AP8" s="145"/>
      <c r="AQ8" s="145"/>
      <c r="AR8"/>
      <c r="AS8" s="40" t="s">
        <v>85</v>
      </c>
      <c r="AT8" s="40"/>
      <c r="AU8" s="40"/>
      <c r="AV8" s="40"/>
      <c r="AW8" s="40"/>
      <c r="AX8" s="40"/>
      <c r="AY8" s="40"/>
      <c r="AZ8" s="40"/>
      <c r="BA8" s="40"/>
      <c r="BC8" s="145" t="s">
        <v>16</v>
      </c>
      <c r="BD8" s="145"/>
      <c r="BE8" s="145"/>
      <c r="BF8" s="145"/>
      <c r="BG8" s="145"/>
      <c r="BH8" s="145"/>
      <c r="BI8" s="145" t="s">
        <v>17</v>
      </c>
      <c r="BJ8" s="145"/>
      <c r="BK8" s="145"/>
      <c r="BL8" s="145"/>
      <c r="BM8" s="145"/>
      <c r="BN8" s="145"/>
      <c r="BO8" s="145" t="s">
        <v>27</v>
      </c>
      <c r="BP8" s="145"/>
      <c r="BQ8" s="145"/>
      <c r="BR8" s="145"/>
      <c r="BS8" s="145"/>
      <c r="BT8" s="145"/>
      <c r="BW8" s="146" t="s">
        <v>30</v>
      </c>
      <c r="BX8" s="146"/>
      <c r="BY8" s="146"/>
      <c r="BZ8" s="146"/>
      <c r="CA8" s="146"/>
      <c r="CB8" s="146"/>
      <c r="CC8" s="146"/>
      <c r="CE8" s="15" t="s">
        <v>37</v>
      </c>
      <c r="CM8" s="15"/>
      <c r="CN8" s="15"/>
      <c r="CO8" s="15"/>
      <c r="CP8" s="15"/>
      <c r="CQ8" s="15"/>
      <c r="CR8" s="15"/>
      <c r="CS8" s="15"/>
      <c r="CT8" s="15"/>
      <c r="CU8" s="15"/>
      <c r="DE8" s="26"/>
      <c r="DG8" s="19"/>
      <c r="DR8" s="25"/>
    </row>
    <row r="9" spans="2:128" ht="22.5" customHeight="1" x14ac:dyDescent="0.25">
      <c r="B9" s="116" t="s">
        <v>1</v>
      </c>
      <c r="C9" s="119" t="s">
        <v>62</v>
      </c>
      <c r="D9" s="119" t="s">
        <v>63</v>
      </c>
      <c r="E9" s="116" t="s">
        <v>60</v>
      </c>
      <c r="F9" s="116"/>
      <c r="G9" s="116"/>
      <c r="H9" s="116"/>
      <c r="I9"/>
      <c r="J9" s="130"/>
      <c r="K9" s="132"/>
      <c r="L9" s="48"/>
      <c r="M9" s="49"/>
      <c r="N9" s="50"/>
      <c r="O9" s="123" t="s">
        <v>70</v>
      </c>
      <c r="P9" s="124"/>
      <c r="Q9" s="125"/>
      <c r="R9" s="123" t="s">
        <v>73</v>
      </c>
      <c r="S9" s="124"/>
      <c r="T9" s="125"/>
      <c r="V9" s="128" t="s">
        <v>1</v>
      </c>
      <c r="W9" s="41" t="s">
        <v>76</v>
      </c>
      <c r="X9" s="42"/>
      <c r="Y9" s="42"/>
      <c r="Z9" s="42"/>
      <c r="AA9" s="42"/>
      <c r="AB9" s="43"/>
      <c r="AC9" s="123" t="s">
        <v>2</v>
      </c>
      <c r="AD9" s="124"/>
      <c r="AE9" s="124"/>
      <c r="AF9" s="124"/>
      <c r="AG9" s="125"/>
      <c r="AI9" s="128" t="s">
        <v>1</v>
      </c>
      <c r="AJ9" s="3" t="s">
        <v>76</v>
      </c>
      <c r="AK9" s="4"/>
      <c r="AL9" s="4"/>
      <c r="AM9" s="4"/>
      <c r="AN9" s="116" t="s">
        <v>2</v>
      </c>
      <c r="AO9" s="116"/>
      <c r="AP9" s="116"/>
      <c r="AQ9" s="116"/>
      <c r="AR9"/>
      <c r="AS9" s="128" t="s">
        <v>1</v>
      </c>
      <c r="AT9" s="116" t="s">
        <v>76</v>
      </c>
      <c r="AU9" s="116"/>
      <c r="AV9" s="116"/>
      <c r="AW9" s="116"/>
      <c r="AX9" s="143" t="s">
        <v>87</v>
      </c>
      <c r="AY9" s="144"/>
      <c r="AZ9" s="144"/>
      <c r="BA9" s="144"/>
      <c r="BC9" s="128" t="s">
        <v>1</v>
      </c>
      <c r="BD9" s="123" t="s">
        <v>18</v>
      </c>
      <c r="BE9" s="124"/>
      <c r="BF9" s="124"/>
      <c r="BG9" s="124"/>
      <c r="BH9" s="125"/>
      <c r="BI9" s="135" t="s">
        <v>19</v>
      </c>
      <c r="BJ9" s="124"/>
      <c r="BK9" s="124"/>
      <c r="BL9" s="124"/>
      <c r="BM9" s="124"/>
      <c r="BN9" s="136"/>
      <c r="BO9" s="135" t="s">
        <v>93</v>
      </c>
      <c r="BP9" s="124"/>
      <c r="BQ9" s="124"/>
      <c r="BR9" s="124"/>
      <c r="BS9" s="124"/>
      <c r="BT9" s="136"/>
      <c r="BW9" s="128" t="s">
        <v>1</v>
      </c>
      <c r="BX9" s="123" t="s">
        <v>31</v>
      </c>
      <c r="BY9" s="124"/>
      <c r="BZ9" s="124"/>
      <c r="CA9" s="124"/>
      <c r="CB9" s="124"/>
      <c r="CC9" s="125"/>
      <c r="CE9" s="128" t="s">
        <v>1</v>
      </c>
      <c r="CF9" s="3" t="s">
        <v>38</v>
      </c>
      <c r="CG9" s="4"/>
      <c r="CH9" s="4"/>
      <c r="CI9" s="4"/>
      <c r="CJ9" s="4"/>
      <c r="CK9" s="5"/>
      <c r="CM9" s="128" t="s">
        <v>1</v>
      </c>
      <c r="CN9" s="3" t="s">
        <v>39</v>
      </c>
      <c r="CO9" s="4"/>
      <c r="CP9" s="4"/>
      <c r="CQ9" s="4"/>
      <c r="CR9" s="3" t="s">
        <v>40</v>
      </c>
      <c r="CS9" s="4"/>
      <c r="CT9" s="4"/>
      <c r="CU9" s="5"/>
      <c r="CW9" s="128" t="s">
        <v>1</v>
      </c>
      <c r="CX9" s="3" t="s">
        <v>43</v>
      </c>
      <c r="CY9" s="4"/>
      <c r="CZ9" s="4"/>
      <c r="DA9" s="4"/>
      <c r="DB9" s="5"/>
      <c r="DC9" s="3" t="s">
        <v>44</v>
      </c>
      <c r="DD9" s="4"/>
      <c r="DE9" s="4"/>
      <c r="DF9" s="5"/>
      <c r="DG9" s="3" t="s">
        <v>45</v>
      </c>
      <c r="DH9" s="4"/>
      <c r="DI9" s="4"/>
      <c r="DJ9" s="5"/>
      <c r="DL9" s="128" t="s">
        <v>1</v>
      </c>
      <c r="DM9" s="3" t="s">
        <v>49</v>
      </c>
      <c r="DN9" s="5"/>
      <c r="DO9" s="4"/>
      <c r="DP9" s="4"/>
      <c r="DQ9" s="4"/>
      <c r="DR9" s="3" t="s">
        <v>50</v>
      </c>
      <c r="DS9" s="4"/>
      <c r="DT9" s="3" t="s">
        <v>51</v>
      </c>
      <c r="DU9" s="4"/>
      <c r="DV9" s="3" t="s">
        <v>52</v>
      </c>
      <c r="DW9" s="4"/>
      <c r="DX9" s="5"/>
    </row>
    <row r="10" spans="2:128" ht="30" customHeight="1" x14ac:dyDescent="0.25">
      <c r="B10" s="116"/>
      <c r="C10" s="116"/>
      <c r="D10" s="116"/>
      <c r="E10" s="54" t="s">
        <v>64</v>
      </c>
      <c r="F10" s="54" t="s">
        <v>65</v>
      </c>
      <c r="G10" s="54" t="s">
        <v>58</v>
      </c>
      <c r="H10" s="54" t="s">
        <v>59</v>
      </c>
      <c r="I10"/>
      <c r="J10" s="129"/>
      <c r="K10" s="133"/>
      <c r="L10" s="55" t="s">
        <v>61</v>
      </c>
      <c r="M10" s="55" t="s">
        <v>68</v>
      </c>
      <c r="N10" s="32" t="s">
        <v>5</v>
      </c>
      <c r="O10" s="55" t="s">
        <v>72</v>
      </c>
      <c r="P10" s="53" t="s">
        <v>71</v>
      </c>
      <c r="Q10" s="34" t="s">
        <v>5</v>
      </c>
      <c r="R10" s="55" t="s">
        <v>72</v>
      </c>
      <c r="S10" s="53" t="s">
        <v>71</v>
      </c>
      <c r="T10" s="35" t="s">
        <v>5</v>
      </c>
      <c r="V10" s="129"/>
      <c r="W10" s="37" t="s">
        <v>66</v>
      </c>
      <c r="X10" s="38" t="s">
        <v>75</v>
      </c>
      <c r="Y10" s="38" t="s">
        <v>95</v>
      </c>
      <c r="Z10" s="38" t="s">
        <v>77</v>
      </c>
      <c r="AA10" s="38" t="s">
        <v>78</v>
      </c>
      <c r="AB10" s="54" t="s">
        <v>5</v>
      </c>
      <c r="AC10" s="54" t="s">
        <v>79</v>
      </c>
      <c r="AD10" s="54" t="s">
        <v>12</v>
      </c>
      <c r="AE10" s="55" t="s">
        <v>80</v>
      </c>
      <c r="AF10" s="55" t="s">
        <v>81</v>
      </c>
      <c r="AG10" s="54" t="s">
        <v>5</v>
      </c>
      <c r="AI10" s="129"/>
      <c r="AJ10" s="54" t="s">
        <v>15</v>
      </c>
      <c r="AK10" s="2" t="s">
        <v>82</v>
      </c>
      <c r="AL10" s="54" t="s">
        <v>83</v>
      </c>
      <c r="AM10" s="55" t="s">
        <v>5</v>
      </c>
      <c r="AN10" s="54" t="s">
        <v>66</v>
      </c>
      <c r="AO10" s="55" t="s">
        <v>84</v>
      </c>
      <c r="AP10" s="54" t="s">
        <v>83</v>
      </c>
      <c r="AQ10" s="55" t="s">
        <v>5</v>
      </c>
      <c r="AR10"/>
      <c r="AS10" s="129"/>
      <c r="AT10" s="55" t="s">
        <v>11</v>
      </c>
      <c r="AU10" s="55" t="s">
        <v>13</v>
      </c>
      <c r="AV10" s="54" t="s">
        <v>86</v>
      </c>
      <c r="AW10" s="55" t="s">
        <v>5</v>
      </c>
      <c r="AX10" s="54" t="s">
        <v>88</v>
      </c>
      <c r="AY10" s="54" t="s">
        <v>89</v>
      </c>
      <c r="AZ10" s="54" t="s">
        <v>90</v>
      </c>
      <c r="BA10" s="55" t="s">
        <v>5</v>
      </c>
      <c r="BC10" s="129"/>
      <c r="BD10" s="54" t="s">
        <v>91</v>
      </c>
      <c r="BE10" s="55" t="s">
        <v>79</v>
      </c>
      <c r="BF10" s="55" t="s">
        <v>6</v>
      </c>
      <c r="BG10" s="55" t="s">
        <v>92</v>
      </c>
      <c r="BH10" s="56" t="s">
        <v>5</v>
      </c>
      <c r="BI10" s="17" t="s">
        <v>20</v>
      </c>
      <c r="BJ10" s="55" t="s">
        <v>21</v>
      </c>
      <c r="BK10" s="54" t="s">
        <v>22</v>
      </c>
      <c r="BL10" s="54" t="s">
        <v>24</v>
      </c>
      <c r="BM10" s="54" t="s">
        <v>25</v>
      </c>
      <c r="BN10" s="54" t="s">
        <v>26</v>
      </c>
      <c r="BO10" s="55" t="s">
        <v>8</v>
      </c>
      <c r="BP10" s="54" t="s">
        <v>28</v>
      </c>
      <c r="BQ10" s="55" t="s">
        <v>7</v>
      </c>
      <c r="BR10" s="54" t="s">
        <v>23</v>
      </c>
      <c r="BS10" s="54" t="s">
        <v>29</v>
      </c>
      <c r="BT10" s="54" t="s">
        <v>5</v>
      </c>
      <c r="BW10" s="129"/>
      <c r="BX10" s="53" t="s">
        <v>91</v>
      </c>
      <c r="BY10" s="54" t="s">
        <v>94</v>
      </c>
      <c r="BZ10" s="54" t="s">
        <v>66</v>
      </c>
      <c r="CA10" s="54" t="s">
        <v>79</v>
      </c>
      <c r="CB10" s="54" t="s">
        <v>32</v>
      </c>
      <c r="CC10" s="55" t="s">
        <v>5</v>
      </c>
      <c r="CE10" s="129"/>
      <c r="CF10" s="54" t="s">
        <v>33</v>
      </c>
      <c r="CG10" s="55" t="s">
        <v>34</v>
      </c>
      <c r="CH10" s="54" t="s">
        <v>3</v>
      </c>
      <c r="CI10" s="54" t="s">
        <v>66</v>
      </c>
      <c r="CJ10" s="54" t="s">
        <v>35</v>
      </c>
      <c r="CK10" s="54" t="s">
        <v>36</v>
      </c>
      <c r="CM10" s="129"/>
      <c r="CN10" s="54" t="s">
        <v>33</v>
      </c>
      <c r="CO10" s="55" t="s">
        <v>34</v>
      </c>
      <c r="CP10" s="54" t="s">
        <v>41</v>
      </c>
      <c r="CQ10" s="54" t="s">
        <v>36</v>
      </c>
      <c r="CR10" s="54" t="s">
        <v>33</v>
      </c>
      <c r="CS10" s="55" t="s">
        <v>34</v>
      </c>
      <c r="CT10" s="54" t="s">
        <v>42</v>
      </c>
      <c r="CU10" s="54" t="s">
        <v>36</v>
      </c>
      <c r="CW10" s="129"/>
      <c r="CX10" s="54" t="s">
        <v>33</v>
      </c>
      <c r="CY10" s="55" t="s">
        <v>34</v>
      </c>
      <c r="CZ10" s="54" t="s">
        <v>46</v>
      </c>
      <c r="DA10" s="54" t="s">
        <v>47</v>
      </c>
      <c r="DB10" s="54" t="s">
        <v>36</v>
      </c>
      <c r="DC10" s="54" t="s">
        <v>33</v>
      </c>
      <c r="DD10" s="55" t="s">
        <v>34</v>
      </c>
      <c r="DE10" s="54" t="s">
        <v>9</v>
      </c>
      <c r="DF10" s="54" t="s">
        <v>36</v>
      </c>
      <c r="DG10" s="54" t="s">
        <v>33</v>
      </c>
      <c r="DH10" s="55" t="s">
        <v>34</v>
      </c>
      <c r="DI10" s="54" t="s">
        <v>9</v>
      </c>
      <c r="DJ10" s="54" t="s">
        <v>36</v>
      </c>
      <c r="DL10" s="129"/>
      <c r="DM10" s="100" t="s">
        <v>4</v>
      </c>
      <c r="DN10" s="100" t="s">
        <v>123</v>
      </c>
      <c r="DO10" s="100" t="s">
        <v>124</v>
      </c>
      <c r="DP10" s="100" t="s">
        <v>125</v>
      </c>
      <c r="DQ10" s="55" t="s">
        <v>3</v>
      </c>
      <c r="DR10" s="55" t="s">
        <v>53</v>
      </c>
      <c r="DS10" s="55" t="s">
        <v>54</v>
      </c>
      <c r="DT10" s="54" t="s">
        <v>24</v>
      </c>
      <c r="DU10" s="54" t="s">
        <v>25</v>
      </c>
      <c r="DV10" s="54" t="s">
        <v>55</v>
      </c>
      <c r="DW10" s="54" t="s">
        <v>56</v>
      </c>
      <c r="DX10" s="54" t="s">
        <v>57</v>
      </c>
    </row>
    <row r="11" spans="2:128" ht="15.95" customHeight="1" x14ac:dyDescent="0.2">
      <c r="B11" s="8">
        <v>44197</v>
      </c>
      <c r="C11" s="10">
        <f>+'[29]BU-2'!$E$10</f>
        <v>11907</v>
      </c>
      <c r="D11" s="10">
        <f>+'[29]BU-3'!$F$11</f>
        <v>6842.3070624999773</v>
      </c>
      <c r="E11" s="10">
        <f>+'[29]BU-2'!$E$28</f>
        <v>1214.7403340887527</v>
      </c>
      <c r="F11" s="10">
        <f>+'[29]BU-2'!$E$29</f>
        <v>3970.5124784112286</v>
      </c>
      <c r="G11" s="31">
        <f t="shared" ref="G11:G22" si="0">SUM(E11:F11)</f>
        <v>5185.2528124999808</v>
      </c>
      <c r="H11" s="10">
        <f>+'[29]BU-2'!$E$27</f>
        <v>120.56000000000131</v>
      </c>
      <c r="I11" s="52">
        <f>+C11+H11-D11-G11</f>
        <v>1.2500004322646419E-4</v>
      </c>
      <c r="J11" s="8">
        <f t="shared" ref="J11:J22" si="1">+B11</f>
        <v>44197</v>
      </c>
      <c r="K11" s="10">
        <f>'[29]BU-2'!$E$11</f>
        <v>89872</v>
      </c>
      <c r="L11" s="10">
        <f>'[29]BU-3'!$F$37</f>
        <v>81356</v>
      </c>
      <c r="M11" s="12">
        <f>'[29]BU-3'!$F$38</f>
        <v>8516</v>
      </c>
      <c r="N11" s="33">
        <f t="shared" ref="N11:N22" si="2">L11+M11</f>
        <v>89872</v>
      </c>
      <c r="O11" s="12">
        <f>'[29]BU-2'!$E$30</f>
        <v>7438</v>
      </c>
      <c r="P11" s="10">
        <f>'[29]BU-2'!$E$31</f>
        <v>1040</v>
      </c>
      <c r="Q11" s="33">
        <f t="shared" ref="Q11:Q22" si="3">+P11+O11</f>
        <v>8478</v>
      </c>
      <c r="R11" s="10">
        <f>'[29]BU-2'!$E$32</f>
        <v>152</v>
      </c>
      <c r="S11" s="10">
        <f>'[29]BU-2'!$E$33</f>
        <v>0</v>
      </c>
      <c r="T11" s="33">
        <f t="shared" ref="T11:T22" si="4">+S11+R11</f>
        <v>152</v>
      </c>
      <c r="V11" s="8">
        <f t="shared" ref="V11:V22" si="5">+B11</f>
        <v>44197</v>
      </c>
      <c r="W11" s="10">
        <f>[30]Feuil1!$K$40</f>
        <v>36863</v>
      </c>
      <c r="X11" s="10">
        <f>[30]Feuil1!$L$40</f>
        <v>54073</v>
      </c>
      <c r="Y11" s="10">
        <f>[30]Feuil1!$M$40</f>
        <v>255</v>
      </c>
      <c r="Z11" s="10">
        <f>[30]Feuil1!$N$40</f>
        <v>8516</v>
      </c>
      <c r="AA11" s="10">
        <f>[30]Feuil1!$O$40</f>
        <v>6694</v>
      </c>
      <c r="AB11" s="12">
        <f t="shared" ref="AB11:AB22" si="6">+Y11+Z11+AA11+X11+W11</f>
        <v>106401</v>
      </c>
      <c r="AC11" s="10">
        <f>[30]Feuil1!$Q$40</f>
        <v>79681</v>
      </c>
      <c r="AD11" s="10">
        <f>[30]Feuil1!$R$40</f>
        <v>13535</v>
      </c>
      <c r="AE11" s="10">
        <f>[30]Feuil1!$S$40</f>
        <v>0</v>
      </c>
      <c r="AF11" s="18">
        <f>[30]Feuil1!$T$40</f>
        <v>13572</v>
      </c>
      <c r="AG11" s="12">
        <f t="shared" ref="AG11:AG22" si="7">SUM(AC11:AF11)</f>
        <v>106788</v>
      </c>
      <c r="AH11" s="13">
        <f t="shared" ref="AH11:AH22" si="8">+AG11-AB11</f>
        <v>387</v>
      </c>
      <c r="AI11" s="8">
        <f t="shared" ref="AI11:AI22" si="9">+B11</f>
        <v>44197</v>
      </c>
      <c r="AJ11" s="12">
        <f>'[29]BU-2'!$E$20</f>
        <v>151235</v>
      </c>
      <c r="AK11" s="12">
        <f>'[29]BU-3'!$F$39</f>
        <v>13535</v>
      </c>
      <c r="AL11" s="12">
        <f>'[29]BU-2'!$E$34</f>
        <v>0</v>
      </c>
      <c r="AM11" s="12">
        <f>SUM(AJ11:AL11)</f>
        <v>164770</v>
      </c>
      <c r="AN11" s="12">
        <f>'[29]BU-3'!$F$56</f>
        <v>143560</v>
      </c>
      <c r="AO11" s="10">
        <f>'[29]BU-3'!$F$40</f>
        <v>6694</v>
      </c>
      <c r="AP11" s="10">
        <f>'[29]BU-2'!$E$35</f>
        <v>981</v>
      </c>
      <c r="AQ11" s="12">
        <f>SUM(AN11:AP11)</f>
        <v>151235</v>
      </c>
      <c r="AR11" s="51">
        <f>+AQ11-AJ11</f>
        <v>0</v>
      </c>
      <c r="AS11" s="8">
        <f>+AI11</f>
        <v>44197</v>
      </c>
      <c r="AT11" s="10">
        <f>'[29]BU-3'!$F$72</f>
        <v>70674</v>
      </c>
      <c r="AU11" s="10">
        <f>'[29]BU-3'!$F$47</f>
        <v>27028</v>
      </c>
      <c r="AV11" s="10">
        <f>[30]Feuil1!$BB$40</f>
        <v>40043</v>
      </c>
      <c r="AW11" s="12">
        <f>SUM(AT11:AV11)</f>
        <v>137745</v>
      </c>
      <c r="AX11" s="10">
        <f>[30]Feuil1!$BD$40</f>
        <v>40954</v>
      </c>
      <c r="AY11" s="20">
        <f>[30]Feuil1!$BE$40</f>
        <v>53178</v>
      </c>
      <c r="AZ11" s="12">
        <f>[30]Feuil1!$BF$40</f>
        <v>43613</v>
      </c>
      <c r="BA11" s="12">
        <f>SUM(AX11:AZ11)</f>
        <v>137745</v>
      </c>
      <c r="BB11" s="13">
        <f>+BA11-AW11</f>
        <v>0</v>
      </c>
      <c r="BC11" s="8">
        <f t="shared" ref="BC11:BC22" si="10">+B11</f>
        <v>44197</v>
      </c>
      <c r="BD11" s="10">
        <f>'[29]BU-2'!$E$15</f>
        <v>234190</v>
      </c>
      <c r="BE11" s="10">
        <f>'[29]BU-3'!$F$69</f>
        <v>161049</v>
      </c>
      <c r="BF11" s="10">
        <f>'[29]BU-3'!$F$13-BE11</f>
        <v>73147</v>
      </c>
      <c r="BG11" s="10">
        <f>'[29]BU-3'!$F$41</f>
        <v>0</v>
      </c>
      <c r="BH11" s="10">
        <f>+SUM(BE11:BG11)</f>
        <v>234196</v>
      </c>
      <c r="BI11" s="10">
        <f>'[29]BU-2'!$E$17</f>
        <v>73147</v>
      </c>
      <c r="BJ11" s="10">
        <f>'[29]BU-3'!$F$12</f>
        <v>1057</v>
      </c>
      <c r="BK11" s="10">
        <f>'[29]BU-3'!$F$45</f>
        <v>1693</v>
      </c>
      <c r="BL11" s="10">
        <f>[30]Feuil1!$AO$40</f>
        <v>37236</v>
      </c>
      <c r="BM11" s="10">
        <f>[30]Feuil1!$AP$40</f>
        <v>33131</v>
      </c>
      <c r="BN11" s="10">
        <f>SUM(BJ11:BM11)</f>
        <v>73117</v>
      </c>
      <c r="BO11" s="10">
        <f>'[29]BU-2'!$E$18</f>
        <v>70367</v>
      </c>
      <c r="BP11" s="10">
        <f>[30]Feuil1!$AX$40</f>
        <v>40063</v>
      </c>
      <c r="BQ11" s="10">
        <f>'[29]BU-3'!$F$58</f>
        <v>21050</v>
      </c>
      <c r="BR11" s="10">
        <f>'[29]BU-3'!$F$44</f>
        <v>9324</v>
      </c>
      <c r="BS11" s="10"/>
      <c r="BT11" s="10">
        <f t="shared" ref="BT11:BT15" si="11">SUM(BP11:BS11)</f>
        <v>70437</v>
      </c>
      <c r="BU11" s="13">
        <f>+BT11-BO11</f>
        <v>70</v>
      </c>
      <c r="BV11" s="13">
        <f>+BN11-BI11</f>
        <v>-30</v>
      </c>
      <c r="BW11" s="8">
        <f t="shared" ref="BW11:BW22" si="12">+B11</f>
        <v>44197</v>
      </c>
      <c r="BX11" s="10">
        <f>'[29]BU-2'!$E$19</f>
        <v>9275.2530000000006</v>
      </c>
      <c r="BY11" s="10">
        <f>'[29]BU-3'!$F$46</f>
        <v>0</v>
      </c>
      <c r="BZ11" s="10">
        <f>'[29]BU-3'!$F$59</f>
        <v>4421.1130000000003</v>
      </c>
      <c r="CA11" s="10">
        <f>'[29]BU-3'!$F$71</f>
        <v>4854.1400000000003</v>
      </c>
      <c r="CB11" s="10">
        <f>'[29]BU-3'!$F$46</f>
        <v>0</v>
      </c>
      <c r="CC11" s="11">
        <f>+SUM(BY11:CB11)</f>
        <v>9275.2530000000006</v>
      </c>
      <c r="CD11" s="13">
        <f>+CC11-BX11</f>
        <v>0</v>
      </c>
      <c r="CE11" s="8">
        <f t="shared" ref="CE11:CE22" si="13">+B11</f>
        <v>44197</v>
      </c>
      <c r="CF11" s="23">
        <f>'[29]BU-3'!$F$83</f>
        <v>53.420200000000023</v>
      </c>
      <c r="CG11" s="23">
        <f>'[29]BU-3'!$H$83</f>
        <v>0</v>
      </c>
      <c r="CH11" s="23">
        <v>0</v>
      </c>
      <c r="CI11" s="23">
        <f>'[29]BU-3'!$J$83</f>
        <v>0</v>
      </c>
      <c r="CJ11" s="21">
        <f t="shared" ref="CJ11:CJ22" si="14">SUM(CH11:CI11)</f>
        <v>0</v>
      </c>
      <c r="CK11" s="21">
        <f t="shared" ref="CK11:CK23" si="15">+CF11+CG11-CJ11</f>
        <v>53.420200000000023</v>
      </c>
      <c r="CM11" s="8">
        <f t="shared" ref="CM11:CM22" si="16">+B11</f>
        <v>44197</v>
      </c>
      <c r="CN11" s="9">
        <f>'[29]BU-3'!$F$82</f>
        <v>16.761838960000119</v>
      </c>
      <c r="CO11" s="9">
        <f>'[29]BU-3'!$H$82</f>
        <v>38.4</v>
      </c>
      <c r="CP11" s="9">
        <f>'[29]BU-3'!$J$82</f>
        <v>41.392810199999992</v>
      </c>
      <c r="CQ11" s="11">
        <f>+CN11+CO11-CP11</f>
        <v>13.769028760000126</v>
      </c>
      <c r="CR11" s="23">
        <f>'[29]BU-3'!$F$84</f>
        <v>12.721327737499877</v>
      </c>
      <c r="CS11" s="23">
        <f>'[29]BU-3'!$H$84</f>
        <v>89.144223749999981</v>
      </c>
      <c r="CT11" s="23">
        <f>'[29]BU-3'!$J$84</f>
        <v>86</v>
      </c>
      <c r="CU11" s="21">
        <f>+CR11+CS11-CT11</f>
        <v>15.865551487499857</v>
      </c>
      <c r="CW11" s="8">
        <f t="shared" ref="CW11:CW22" si="17">+B11</f>
        <v>44197</v>
      </c>
      <c r="CX11" s="10">
        <v>448</v>
      </c>
      <c r="CY11" s="10"/>
      <c r="CZ11" s="10"/>
      <c r="DA11" s="10"/>
      <c r="DB11" s="12">
        <f>+CX11+CY11-CZ11-DA11</f>
        <v>448</v>
      </c>
      <c r="DC11" s="10">
        <v>20</v>
      </c>
      <c r="DD11" s="10"/>
      <c r="DE11" s="10"/>
      <c r="DF11" s="12">
        <f>+DC11+DD11-DE11</f>
        <v>20</v>
      </c>
      <c r="DG11" s="10">
        <v>2290</v>
      </c>
      <c r="DH11" s="10"/>
      <c r="DI11" s="10"/>
      <c r="DJ11" s="12">
        <f>+DG11+DH11-DI11</f>
        <v>2290</v>
      </c>
      <c r="DK11" s="13"/>
      <c r="DL11" s="8">
        <f t="shared" ref="DL11:DL22" si="18">+B11</f>
        <v>44197</v>
      </c>
      <c r="DM11" s="106">
        <f>'[29]BU-4'!$E$35</f>
        <v>30.320833333333333</v>
      </c>
      <c r="DN11" s="106">
        <f>'[29]BU-4'!$F$35</f>
        <v>0</v>
      </c>
      <c r="DO11" s="106">
        <f>'[29]BU-4'!$G$35</f>
        <v>0.20833333333333334</v>
      </c>
      <c r="DP11" s="106">
        <f>'[29]BU-4'!$H$35</f>
        <v>0.47083333333333338</v>
      </c>
      <c r="DQ11" s="9"/>
      <c r="DR11" s="10"/>
      <c r="DS11" s="10"/>
      <c r="DT11" s="10"/>
      <c r="DU11" s="10"/>
      <c r="DV11" s="10"/>
      <c r="DW11" s="10"/>
      <c r="DX11" s="10"/>
    </row>
    <row r="12" spans="2:128" ht="15.95" customHeight="1" x14ac:dyDescent="0.2">
      <c r="B12" s="8">
        <v>44228</v>
      </c>
      <c r="C12" s="10">
        <f>+'[31]BU-2'!$E$10</f>
        <v>10763</v>
      </c>
      <c r="D12" s="10">
        <f>+'[31]BU-3'!$F$11</f>
        <v>6078.2192500000001</v>
      </c>
      <c r="E12" s="10">
        <f>+'[31]BU-2'!$E$28</f>
        <v>1390.8820510971339</v>
      </c>
      <c r="F12" s="10">
        <f>+'[31]BU-2'!$E$29</f>
        <v>3293.8991989028668</v>
      </c>
      <c r="G12" s="31">
        <f t="shared" si="0"/>
        <v>4684.7812500000009</v>
      </c>
      <c r="H12" s="10">
        <f>+'[31]BU-2'!$E$27</f>
        <v>0</v>
      </c>
      <c r="I12" s="52">
        <f t="shared" ref="I12:I22" si="19">+C12+H12-D12-G12</f>
        <v>-5.0000000101135811E-4</v>
      </c>
      <c r="J12" s="8">
        <f t="shared" si="1"/>
        <v>44228</v>
      </c>
      <c r="K12" s="10">
        <f>'[31]BU-2'!$E$11</f>
        <v>80043</v>
      </c>
      <c r="L12" s="10">
        <f>'[31]BU-3'!$F$37</f>
        <v>73204</v>
      </c>
      <c r="M12" s="12">
        <f>'[31]BU-3'!$F$38</f>
        <v>6839</v>
      </c>
      <c r="N12" s="33">
        <f t="shared" si="2"/>
        <v>80043</v>
      </c>
      <c r="O12" s="12">
        <f>'[31]BU-2'!$E$30</f>
        <v>8443</v>
      </c>
      <c r="P12" s="10">
        <f>'[31]BU-2'!$E$31</f>
        <v>353</v>
      </c>
      <c r="Q12" s="33">
        <f t="shared" si="3"/>
        <v>8796</v>
      </c>
      <c r="R12" s="10">
        <f>'[31]BU-2'!$E$32</f>
        <v>0</v>
      </c>
      <c r="S12" s="10">
        <f>'[31]BU-2'!$E$33</f>
        <v>0</v>
      </c>
      <c r="T12" s="33">
        <f t="shared" si="4"/>
        <v>0</v>
      </c>
      <c r="U12" s="13">
        <f t="shared" ref="U12:U23" si="20">+K11+T11-N11-Q11</f>
        <v>-8326</v>
      </c>
      <c r="V12" s="8">
        <f t="shared" si="5"/>
        <v>44228</v>
      </c>
      <c r="W12" s="10">
        <f>[32]Feuil1!$K$40</f>
        <v>34382</v>
      </c>
      <c r="X12" s="10">
        <f>[32]Feuil1!$L$40</f>
        <v>48851</v>
      </c>
      <c r="Y12" s="10">
        <f>[32]Feuil1!$M$40</f>
        <v>845</v>
      </c>
      <c r="Z12" s="10">
        <f>[32]Feuil1!$N$40</f>
        <v>6839</v>
      </c>
      <c r="AA12" s="10">
        <f>[32]Feuil1!$O$40</f>
        <v>5746</v>
      </c>
      <c r="AB12" s="12">
        <f t="shared" si="6"/>
        <v>96663</v>
      </c>
      <c r="AC12" s="10">
        <f>[32]Feuil1!$Q$40</f>
        <v>66545</v>
      </c>
      <c r="AD12" s="10">
        <f>[32]Feuil1!$R$40</f>
        <v>11027</v>
      </c>
      <c r="AE12" s="10">
        <f>[32]Feuil1!$S$40</f>
        <v>0</v>
      </c>
      <c r="AF12" s="18">
        <f>[32]Feuil1!$T$40</f>
        <v>19091</v>
      </c>
      <c r="AG12" s="12">
        <f t="shared" si="7"/>
        <v>96663</v>
      </c>
      <c r="AH12" s="13">
        <f t="shared" si="8"/>
        <v>0</v>
      </c>
      <c r="AI12" s="8">
        <f t="shared" si="9"/>
        <v>44228</v>
      </c>
      <c r="AJ12" s="12">
        <f>'[31]BU-2'!$E$20</f>
        <v>135859</v>
      </c>
      <c r="AK12" s="12">
        <f>'[31]BU-3'!$F$39</f>
        <v>11027</v>
      </c>
      <c r="AL12" s="12">
        <f>'[31]BU-2'!$E$34</f>
        <v>54</v>
      </c>
      <c r="AM12" s="12">
        <f>SUM(AJ12:AL12)</f>
        <v>146940</v>
      </c>
      <c r="AN12" s="12">
        <f>'[31]BU-3'!$F$56</f>
        <v>130113</v>
      </c>
      <c r="AO12" s="10">
        <f>'[31]BU-3'!$F$40</f>
        <v>5746</v>
      </c>
      <c r="AP12" s="10">
        <f>'[31]BU-2'!$E$35</f>
        <v>0</v>
      </c>
      <c r="AQ12" s="12">
        <f t="shared" ref="AQ12:AQ22" si="21">SUM(AN12:AP12)</f>
        <v>135859</v>
      </c>
      <c r="AR12" s="51">
        <f t="shared" ref="AR12:AR22" si="22">+AQ12-AJ12</f>
        <v>0</v>
      </c>
      <c r="AS12" s="8">
        <f t="shared" ref="AS12:AS22" si="23">+AI12</f>
        <v>44228</v>
      </c>
      <c r="AT12" s="10">
        <f>'[31]BU-3'!$F$72</f>
        <v>50468</v>
      </c>
      <c r="AU12" s="10">
        <f>'[31]BU-3'!$F$47</f>
        <v>23508</v>
      </c>
      <c r="AV12" s="10">
        <f>[32]Feuil1!$BB$40</f>
        <v>50727</v>
      </c>
      <c r="AW12" s="12">
        <f t="shared" ref="AW12:AW22" si="24">SUM(AT12:AV12)</f>
        <v>124703</v>
      </c>
      <c r="AX12" s="10">
        <f>[32]Feuil1!$BD$40</f>
        <v>46660</v>
      </c>
      <c r="AY12" s="20">
        <f>[32]Feuil1!$BE$40</f>
        <v>42542</v>
      </c>
      <c r="AZ12" s="12">
        <f>[32]Feuil1!$BF$40</f>
        <v>35501</v>
      </c>
      <c r="BA12" s="12">
        <f t="shared" ref="BA12:BA22" si="25">SUM(AX12:AZ12)</f>
        <v>124703</v>
      </c>
      <c r="BB12" s="13">
        <f t="shared" ref="BB12:BB22" si="26">+BA12-AW12</f>
        <v>0</v>
      </c>
      <c r="BC12" s="8">
        <f t="shared" si="10"/>
        <v>44228</v>
      </c>
      <c r="BD12" s="10">
        <f>'[31]BU-2'!$E$15</f>
        <v>216620</v>
      </c>
      <c r="BE12" s="10">
        <f>'[31]BU-3'!$F$69</f>
        <v>133380</v>
      </c>
      <c r="BF12" s="10">
        <f>'[31]BU-3'!$F$13-BE12</f>
        <v>83290</v>
      </c>
      <c r="BG12" s="10">
        <f>'[31]BU-3'!$F$41</f>
        <v>0</v>
      </c>
      <c r="BH12" s="10">
        <f t="shared" ref="BH12:BH22" si="27">+SUM(BE12:BG12)</f>
        <v>216670</v>
      </c>
      <c r="BI12" s="10">
        <f>'[31]BU-2'!$E$17</f>
        <v>83290</v>
      </c>
      <c r="BJ12" s="10">
        <f>'[31]BU-3'!$F$12</f>
        <v>414</v>
      </c>
      <c r="BK12" s="10">
        <f>'[31]BU-3'!$F$45</f>
        <v>2065</v>
      </c>
      <c r="BL12" s="10">
        <f>[32]Feuil1!$AO$40</f>
        <v>42175</v>
      </c>
      <c r="BM12" s="10">
        <f>[32]Feuil1!$AP$40</f>
        <v>38596</v>
      </c>
      <c r="BN12" s="10">
        <f>SUM(BJ12:BM12)</f>
        <v>83250</v>
      </c>
      <c r="BO12" s="10">
        <f>'[31]BU-2'!$E$18</f>
        <v>80771</v>
      </c>
      <c r="BP12" s="10">
        <f>[32]Feuil1!$AX$40</f>
        <v>50697</v>
      </c>
      <c r="BQ12" s="10">
        <f>'[31]BU-3'!$F$58</f>
        <v>18650</v>
      </c>
      <c r="BR12" s="10">
        <f>'[31]BU-3'!$F$44</f>
        <v>11324</v>
      </c>
      <c r="BS12" s="10"/>
      <c r="BT12" s="10">
        <f t="shared" si="11"/>
        <v>80671</v>
      </c>
      <c r="BU12" s="13">
        <f t="shared" ref="BU12:BU22" si="28">+BT12-BO12</f>
        <v>-100</v>
      </c>
      <c r="BV12" s="13">
        <f t="shared" ref="BV12:BV22" si="29">+BN12-BI12</f>
        <v>-40</v>
      </c>
      <c r="BW12" s="8">
        <f t="shared" si="12"/>
        <v>44228</v>
      </c>
      <c r="BX12" s="10">
        <f>'[31]BU-2'!$E$19</f>
        <v>8210.9470000000001</v>
      </c>
      <c r="BY12" s="10">
        <f>'[31]BU-3'!$F$46</f>
        <v>0</v>
      </c>
      <c r="BZ12" s="10">
        <f>'[31]BU-3'!$F$59</f>
        <v>3606.9279999999999</v>
      </c>
      <c r="CA12" s="10">
        <f>'[31]BU-3'!$F$71</f>
        <v>4604.0190000000002</v>
      </c>
      <c r="CB12" s="10">
        <f>'[31]BU-3'!$F$46</f>
        <v>0</v>
      </c>
      <c r="CC12" s="11">
        <f t="shared" ref="CC12:CC22" si="30">+SUM(BY12:CB12)</f>
        <v>8210.9470000000001</v>
      </c>
      <c r="CD12" s="13">
        <f t="shared" ref="CD12:CD22" si="31">+CC12-BX12</f>
        <v>0</v>
      </c>
      <c r="CE12" s="8">
        <f t="shared" si="13"/>
        <v>44228</v>
      </c>
      <c r="CF12" s="23">
        <f>'[31]BU-3'!$F$83</f>
        <v>53.420200000000023</v>
      </c>
      <c r="CG12" s="23">
        <f>'[31]BU-3'!$H$83</f>
        <v>0</v>
      </c>
      <c r="CH12" s="23">
        <v>0</v>
      </c>
      <c r="CI12" s="23">
        <f>'[31]BU-3'!$J$83</f>
        <v>0</v>
      </c>
      <c r="CJ12" s="21">
        <f t="shared" si="14"/>
        <v>0</v>
      </c>
      <c r="CK12" s="21">
        <f t="shared" si="15"/>
        <v>53.420200000000023</v>
      </c>
      <c r="CM12" s="8">
        <f t="shared" si="16"/>
        <v>44228</v>
      </c>
      <c r="CN12" s="9">
        <f>'[31]BU-3'!$F$82</f>
        <v>13.769028760000126</v>
      </c>
      <c r="CO12" s="9">
        <f>'[31]BU-3'!$H$82</f>
        <v>48.2</v>
      </c>
      <c r="CP12" s="9">
        <f>'[31]BU-3'!$J$82</f>
        <v>52.509287040000004</v>
      </c>
      <c r="CQ12" s="11">
        <f>+CN12+CO12-CP12</f>
        <v>9.4597417200001246</v>
      </c>
      <c r="CR12" s="23">
        <f>'[31]BU-3'!$F$84</f>
        <v>15.865551487499857</v>
      </c>
      <c r="CS12" s="23">
        <f>'[31]BU-3'!$H$84</f>
        <v>109.52929125</v>
      </c>
      <c r="CT12" s="23">
        <f>'[31]BU-3'!$J$84</f>
        <v>117.65</v>
      </c>
      <c r="CU12" s="21">
        <f t="shared" ref="CU12:CU22" si="32">+CR12+CS12-CT12</f>
        <v>7.7448427374998516</v>
      </c>
      <c r="CW12" s="8">
        <f t="shared" si="17"/>
        <v>44228</v>
      </c>
      <c r="CX12" s="12">
        <f>+DB11</f>
        <v>448</v>
      </c>
      <c r="CY12" s="10"/>
      <c r="CZ12" s="10"/>
      <c r="DA12" s="10"/>
      <c r="DB12" s="12">
        <f t="shared" ref="DB12:DB23" si="33">+CX12+CY12-CZ12-DA12</f>
        <v>448</v>
      </c>
      <c r="DC12" s="12">
        <f>+DF11</f>
        <v>20</v>
      </c>
      <c r="DD12" s="10"/>
      <c r="DE12" s="10"/>
      <c r="DF12" s="12">
        <f t="shared" ref="DF12:DF23" si="34">+DC12+DD12-DE12</f>
        <v>20</v>
      </c>
      <c r="DG12" s="12">
        <f>+DJ11</f>
        <v>2290</v>
      </c>
      <c r="DH12" s="10"/>
      <c r="DI12" s="10"/>
      <c r="DJ12" s="12">
        <f t="shared" ref="DJ12:DJ23" si="35">+DG12+DH12-DI12</f>
        <v>2290</v>
      </c>
      <c r="DK12" s="13"/>
      <c r="DL12" s="8">
        <f t="shared" si="18"/>
        <v>44228</v>
      </c>
      <c r="DM12" s="106">
        <f>'[31]BU-4'!$E$35</f>
        <v>28</v>
      </c>
      <c r="DN12" s="106">
        <f>'[31]BU-4'!$F$35</f>
        <v>0</v>
      </c>
      <c r="DO12" s="106">
        <f>'[31]BU-4'!$G$35</f>
        <v>0</v>
      </c>
      <c r="DP12" s="106">
        <f>'[31]BU-4'!$H$35</f>
        <v>0</v>
      </c>
      <c r="DQ12" s="10"/>
      <c r="DR12" s="10"/>
      <c r="DS12" s="10"/>
      <c r="DT12" s="10"/>
      <c r="DU12" s="10"/>
      <c r="DV12" s="10"/>
      <c r="DW12" s="10"/>
      <c r="DX12" s="10"/>
    </row>
    <row r="13" spans="2:128" ht="15.95" customHeight="1" x14ac:dyDescent="0.2">
      <c r="B13" s="8">
        <v>44256</v>
      </c>
      <c r="C13" s="10">
        <f>+'[33]BU-2'!$E$10</f>
        <v>15125</v>
      </c>
      <c r="D13" s="10">
        <f>+'[33]BU-3'!$F$11</f>
        <v>6599.4420000000009</v>
      </c>
      <c r="E13" s="10">
        <f>+'[33]BU-2'!$E$28</f>
        <v>3603.8380000000002</v>
      </c>
      <c r="F13" s="10">
        <f>+'[33]BU-2'!$E$29</f>
        <v>5020.0600000000004</v>
      </c>
      <c r="G13" s="31">
        <f t="shared" si="0"/>
        <v>8623.898000000001</v>
      </c>
      <c r="H13" s="10">
        <f>+'[33]BU-2'!$E$27</f>
        <v>98.34</v>
      </c>
      <c r="I13" s="52">
        <f t="shared" si="19"/>
        <v>0</v>
      </c>
      <c r="J13" s="8">
        <f t="shared" si="1"/>
        <v>44256</v>
      </c>
      <c r="K13" s="10">
        <f>'[33]BU-2'!$E$11</f>
        <v>91529</v>
      </c>
      <c r="L13" s="10">
        <f>'[33]BU-3'!$F$37</f>
        <v>87367</v>
      </c>
      <c r="M13" s="12">
        <f>'[33]BU-3'!$F$38</f>
        <v>4162</v>
      </c>
      <c r="N13" s="33">
        <f t="shared" si="2"/>
        <v>91529</v>
      </c>
      <c r="O13" s="12">
        <f>'[33]BU-2'!$E$30</f>
        <v>1872</v>
      </c>
      <c r="P13" s="10">
        <f>'[33]BU-2'!$E$31</f>
        <v>2582</v>
      </c>
      <c r="Q13" s="33">
        <f t="shared" si="3"/>
        <v>4454</v>
      </c>
      <c r="R13" s="10">
        <f>'[33]BU-2'!$E$32</f>
        <v>319</v>
      </c>
      <c r="S13" s="10">
        <f>'[33]BU-2'!$E$33</f>
        <v>0</v>
      </c>
      <c r="T13" s="33">
        <f t="shared" si="4"/>
        <v>319</v>
      </c>
      <c r="U13" s="13">
        <f t="shared" si="20"/>
        <v>-8796</v>
      </c>
      <c r="V13" s="8">
        <f t="shared" si="5"/>
        <v>44256</v>
      </c>
      <c r="W13" s="10">
        <f>[34]Feuil1!$K$40</f>
        <v>35777</v>
      </c>
      <c r="X13" s="10">
        <f>[34]Feuil1!$L$40</f>
        <v>54182</v>
      </c>
      <c r="Y13" s="10">
        <f>[34]Feuil1!$M$40</f>
        <v>313</v>
      </c>
      <c r="Z13" s="10">
        <f>[34]Feuil1!$N$40</f>
        <v>4162</v>
      </c>
      <c r="AA13" s="10">
        <f>[34]Feuil1!$O$40</f>
        <v>5460</v>
      </c>
      <c r="AB13" s="12">
        <f t="shared" si="6"/>
        <v>99894</v>
      </c>
      <c r="AC13" s="10">
        <f>[34]Feuil1!$Q$40</f>
        <v>77661</v>
      </c>
      <c r="AD13" s="10">
        <f>[34]Feuil1!$R$40</f>
        <v>11822</v>
      </c>
      <c r="AE13" s="10">
        <f>[34]Feuil1!$S$40</f>
        <v>0</v>
      </c>
      <c r="AF13" s="18">
        <f>[34]Feuil1!$T$40</f>
        <v>10411</v>
      </c>
      <c r="AG13" s="12">
        <f t="shared" si="7"/>
        <v>99894</v>
      </c>
      <c r="AH13" s="13">
        <f t="shared" si="8"/>
        <v>0</v>
      </c>
      <c r="AI13" s="8">
        <f t="shared" si="9"/>
        <v>44256</v>
      </c>
      <c r="AJ13" s="12">
        <f>'[33]BU-2'!$E$20</f>
        <v>146207</v>
      </c>
      <c r="AK13" s="12">
        <f>'[33]BU-3'!$F$39</f>
        <v>11822</v>
      </c>
      <c r="AL13" s="12">
        <f>'[33]BU-2'!$E$34</f>
        <v>0</v>
      </c>
      <c r="AM13" s="12">
        <f t="shared" ref="AM13:AM22" si="36">SUM(AJ13:AL13)</f>
        <v>158029</v>
      </c>
      <c r="AN13" s="12">
        <f>'[33]BU-3'!$F$56</f>
        <v>140747</v>
      </c>
      <c r="AO13" s="10">
        <f>'[33]BU-3'!$F$40</f>
        <v>5460</v>
      </c>
      <c r="AP13" s="10">
        <f>'[33]BU-2'!$E$35</f>
        <v>0</v>
      </c>
      <c r="AQ13" s="12">
        <f t="shared" si="21"/>
        <v>146207</v>
      </c>
      <c r="AR13" s="51">
        <f t="shared" si="22"/>
        <v>0</v>
      </c>
      <c r="AS13" s="8">
        <f t="shared" si="23"/>
        <v>44256</v>
      </c>
      <c r="AT13" s="10">
        <f>'[33]BU-3'!$F$72</f>
        <v>68983</v>
      </c>
      <c r="AU13" s="10">
        <f>'[33]BU-3'!$F$47</f>
        <v>32872</v>
      </c>
      <c r="AV13" s="10">
        <f>[34]Feuil1!$BB$40</f>
        <v>32560</v>
      </c>
      <c r="AW13" s="12">
        <f t="shared" si="24"/>
        <v>134415</v>
      </c>
      <c r="AX13" s="10">
        <f>[34]Feuil1!$BD$40</f>
        <v>54080</v>
      </c>
      <c r="AY13" s="20">
        <f>[34]Feuil1!$BE$40</f>
        <v>49979</v>
      </c>
      <c r="AZ13" s="12">
        <f>[34]Feuil1!$BF$40</f>
        <v>30356</v>
      </c>
      <c r="BA13" s="12">
        <f t="shared" si="25"/>
        <v>134415</v>
      </c>
      <c r="BB13" s="13">
        <f t="shared" si="26"/>
        <v>0</v>
      </c>
      <c r="BC13" s="8">
        <f t="shared" si="10"/>
        <v>44256</v>
      </c>
      <c r="BD13" s="10">
        <f>'[33]BU-2'!$E$15</f>
        <v>218146</v>
      </c>
      <c r="BE13" s="10">
        <f>'[33]BU-3'!$F$69</f>
        <v>152774</v>
      </c>
      <c r="BF13" s="10">
        <f>'[33]BU-3'!$F$13-BE13</f>
        <v>65272</v>
      </c>
      <c r="BG13" s="10">
        <f>'[33]BU-3'!$F$41</f>
        <v>0</v>
      </c>
      <c r="BH13" s="10">
        <f t="shared" si="27"/>
        <v>218046</v>
      </c>
      <c r="BI13" s="10">
        <f>'[33]BU-2'!$E$17</f>
        <v>65272</v>
      </c>
      <c r="BJ13" s="10">
        <f>'[33]BU-3'!$F$12</f>
        <v>1425</v>
      </c>
      <c r="BK13" s="10">
        <f>'[33]BU-3'!$F$45</f>
        <v>1490</v>
      </c>
      <c r="BL13" s="10">
        <f>[34]Feuil1!$AO$40</f>
        <v>33148</v>
      </c>
      <c r="BM13" s="10">
        <f>[34]Feuil1!$AP$40</f>
        <v>29249</v>
      </c>
      <c r="BN13" s="10">
        <f>SUM(BJ13:BM13)</f>
        <v>65312</v>
      </c>
      <c r="BO13" s="10">
        <f>'[33]BU-2'!$E$18</f>
        <v>62397</v>
      </c>
      <c r="BP13" s="10">
        <f>[34]Feuil1!$AX$40</f>
        <v>32830</v>
      </c>
      <c r="BQ13" s="10">
        <f>'[33]BU-3'!$F$58</f>
        <v>20360</v>
      </c>
      <c r="BR13" s="10">
        <f>'[33]BU-3'!$F$44</f>
        <v>9137</v>
      </c>
      <c r="BS13" s="10"/>
      <c r="BT13" s="10">
        <f t="shared" si="11"/>
        <v>62327</v>
      </c>
      <c r="BU13" s="13">
        <f t="shared" si="28"/>
        <v>-70</v>
      </c>
      <c r="BV13" s="13">
        <f t="shared" si="29"/>
        <v>40</v>
      </c>
      <c r="BW13" s="8">
        <f t="shared" si="12"/>
        <v>44256</v>
      </c>
      <c r="BX13" s="10">
        <f>'[33]BU-2'!$E$19</f>
        <v>8630.9210000000003</v>
      </c>
      <c r="BY13" s="10">
        <f>'[33]BU-3'!$F$46</f>
        <v>0</v>
      </c>
      <c r="BZ13" s="10">
        <f>'[33]BU-3'!$F$59</f>
        <v>3912.4389999999999</v>
      </c>
      <c r="CA13" s="10">
        <f>'[33]BU-3'!$F$71</f>
        <v>4718.482</v>
      </c>
      <c r="CB13" s="10">
        <f>'[33]BU-3'!$F$46</f>
        <v>0</v>
      </c>
      <c r="CC13" s="11">
        <f t="shared" si="30"/>
        <v>8630.9210000000003</v>
      </c>
      <c r="CD13" s="13">
        <f t="shared" si="31"/>
        <v>0</v>
      </c>
      <c r="CE13" s="8">
        <f t="shared" si="13"/>
        <v>44256</v>
      </c>
      <c r="CF13" s="23">
        <f>'[33]BU-3'!$F$83</f>
        <v>53.420200000000023</v>
      </c>
      <c r="CG13" s="23">
        <f>'[33]BU-3'!$H$83</f>
        <v>0</v>
      </c>
      <c r="CH13" s="23">
        <v>0</v>
      </c>
      <c r="CI13" s="23">
        <f>'[33]BU-3'!$J$83</f>
        <v>0</v>
      </c>
      <c r="CJ13" s="21">
        <f t="shared" si="14"/>
        <v>0</v>
      </c>
      <c r="CK13" s="21">
        <f t="shared" si="15"/>
        <v>53.420200000000023</v>
      </c>
      <c r="CM13" s="8">
        <f t="shared" si="16"/>
        <v>44256</v>
      </c>
      <c r="CN13" s="9">
        <f>'[33]BU-3'!$F$82</f>
        <v>9.4597417200001246</v>
      </c>
      <c r="CO13" s="9">
        <f>'[33]BU-3'!$H$82</f>
        <v>38.4</v>
      </c>
      <c r="CP13" s="9">
        <f>'[33]BU-3'!$J$82</f>
        <v>41.407106999999996</v>
      </c>
      <c r="CQ13" s="11">
        <f t="shared" ref="CQ13:CQ22" si="37">+CN13+CO13-CP13</f>
        <v>6.4526347200001268</v>
      </c>
      <c r="CR13" s="23">
        <f>'[33]BU-3'!$F$84</f>
        <v>7.7448427374998516</v>
      </c>
      <c r="CS13" s="23">
        <f>'[33]BU-3'!$H$84</f>
        <v>96.253830625000006</v>
      </c>
      <c r="CT13" s="23">
        <f>'[33]BU-3'!$J$84</f>
        <v>90.3</v>
      </c>
      <c r="CU13" s="21">
        <f t="shared" si="32"/>
        <v>13.698673362499861</v>
      </c>
      <c r="CW13" s="8">
        <f t="shared" si="17"/>
        <v>44256</v>
      </c>
      <c r="CX13" s="12">
        <f t="shared" ref="CX13:CX22" si="38">+DB12</f>
        <v>448</v>
      </c>
      <c r="CY13" s="10"/>
      <c r="CZ13" s="10"/>
      <c r="DA13" s="10"/>
      <c r="DB13" s="12">
        <f t="shared" si="33"/>
        <v>448</v>
      </c>
      <c r="DC13" s="12">
        <f t="shared" ref="DC13:DC22" si="39">+DF12</f>
        <v>20</v>
      </c>
      <c r="DD13" s="10"/>
      <c r="DE13" s="10"/>
      <c r="DF13" s="12">
        <f t="shared" si="34"/>
        <v>20</v>
      </c>
      <c r="DG13" s="12">
        <f t="shared" ref="DG13:DG22" si="40">+DJ12</f>
        <v>2290</v>
      </c>
      <c r="DH13" s="10"/>
      <c r="DI13" s="10"/>
      <c r="DJ13" s="12">
        <f t="shared" si="35"/>
        <v>2290</v>
      </c>
      <c r="DK13" s="13"/>
      <c r="DL13" s="8">
        <f t="shared" si="18"/>
        <v>44256</v>
      </c>
      <c r="DM13" s="106">
        <f>'[33]BU-4'!$E$35</f>
        <v>29.885416666666664</v>
      </c>
      <c r="DN13" s="106">
        <f>'[33]BU-4'!$F$35</f>
        <v>0</v>
      </c>
      <c r="DO13" s="106">
        <f>'[33]BU-4'!$G$35</f>
        <v>1.1145833333333333</v>
      </c>
      <c r="DP13" s="106">
        <f>'[33]BU-4'!$H$35</f>
        <v>0</v>
      </c>
      <c r="DQ13" s="10"/>
      <c r="DR13" s="10"/>
      <c r="DS13" s="10"/>
      <c r="DT13" s="10"/>
      <c r="DU13" s="10"/>
      <c r="DV13" s="10"/>
      <c r="DW13" s="10"/>
      <c r="DX13" s="10"/>
    </row>
    <row r="14" spans="2:128" ht="15.95" customHeight="1" x14ac:dyDescent="0.2">
      <c r="B14" s="8">
        <v>44287</v>
      </c>
      <c r="C14" s="10">
        <f>+'[35]BU-2'!$E$10</f>
        <v>17833</v>
      </c>
      <c r="D14" s="10">
        <f>+'[35]BU-3'!$F$11</f>
        <v>6645.7030000000013</v>
      </c>
      <c r="E14" s="10">
        <f>+'[35]BU-2'!$E$28</f>
        <v>4197.90589710516</v>
      </c>
      <c r="F14" s="10">
        <f>+'[35]BU-2'!$E$29</f>
        <v>7086.39097789484</v>
      </c>
      <c r="G14" s="31">
        <f t="shared" si="0"/>
        <v>11284.296875</v>
      </c>
      <c r="H14" s="10">
        <f>+'[35]BU-2'!$E$27</f>
        <v>97</v>
      </c>
      <c r="I14" s="52">
        <f t="shared" si="19"/>
        <v>1.249999986612238E-4</v>
      </c>
      <c r="J14" s="8">
        <f t="shared" si="1"/>
        <v>44287</v>
      </c>
      <c r="K14" s="10">
        <f>'[35]BU-2'!$E$11</f>
        <v>93382</v>
      </c>
      <c r="L14" s="10">
        <f>'[35]BU-3'!$F$37</f>
        <v>91023</v>
      </c>
      <c r="M14" s="12">
        <f>'[35]BU-3'!$F$38</f>
        <v>2359</v>
      </c>
      <c r="N14" s="33">
        <f t="shared" si="2"/>
        <v>93382</v>
      </c>
      <c r="O14" s="12">
        <f>'[35]BU-2'!$E$30</f>
        <v>0</v>
      </c>
      <c r="P14" s="10">
        <f>'[35]BU-2'!$E$31</f>
        <v>0</v>
      </c>
      <c r="Q14" s="33">
        <f t="shared" si="3"/>
        <v>0</v>
      </c>
      <c r="R14" s="10">
        <f>'[35]BU-2'!$E$32</f>
        <v>599</v>
      </c>
      <c r="S14" s="10">
        <f>'[35]BU-2'!$E$33</f>
        <v>0</v>
      </c>
      <c r="T14" s="33">
        <f t="shared" si="4"/>
        <v>599</v>
      </c>
      <c r="U14" s="13">
        <f t="shared" si="20"/>
        <v>-4135</v>
      </c>
      <c r="V14" s="8">
        <f t="shared" si="5"/>
        <v>44287</v>
      </c>
      <c r="W14" s="10">
        <f>[36]Feuil1!$K$40</f>
        <v>35164</v>
      </c>
      <c r="X14" s="10">
        <f>[36]Feuil1!$L$40</f>
        <v>46775</v>
      </c>
      <c r="Y14" s="10">
        <f>[36]Feuil1!$M$40</f>
        <v>0</v>
      </c>
      <c r="Z14" s="10">
        <f>[36]Feuil1!$N$40</f>
        <v>2359</v>
      </c>
      <c r="AA14" s="10">
        <f>[36]Feuil1!$O$40</f>
        <v>4848</v>
      </c>
      <c r="AB14" s="12">
        <f t="shared" si="6"/>
        <v>89146</v>
      </c>
      <c r="AC14" s="10">
        <f>[36]Feuil1!$Q$40</f>
        <v>77130</v>
      </c>
      <c r="AD14" s="10">
        <f>[36]Feuil1!$R$40</f>
        <v>11123</v>
      </c>
      <c r="AE14" s="10">
        <f>[36]Feuil1!$S$40</f>
        <v>0</v>
      </c>
      <c r="AF14" s="18">
        <f>[36]Feuil1!$T$40</f>
        <v>893</v>
      </c>
      <c r="AG14" s="12">
        <f t="shared" si="7"/>
        <v>89146</v>
      </c>
      <c r="AH14" s="13">
        <f t="shared" si="8"/>
        <v>0</v>
      </c>
      <c r="AI14" s="8">
        <f t="shared" si="9"/>
        <v>44287</v>
      </c>
      <c r="AJ14" s="12">
        <f>'[35]BU-2'!$E$20</f>
        <v>145687</v>
      </c>
      <c r="AK14" s="12">
        <f>'[35]BU-3'!$F$39</f>
        <v>11123</v>
      </c>
      <c r="AL14" s="12">
        <f>'[35]BU-2'!$E$34</f>
        <v>0</v>
      </c>
      <c r="AM14" s="12">
        <f t="shared" si="36"/>
        <v>156810</v>
      </c>
      <c r="AN14" s="12">
        <f>'[35]BU-3'!$F$56</f>
        <v>137021</v>
      </c>
      <c r="AO14" s="10">
        <f>'[35]BU-3'!$F$40</f>
        <v>4848</v>
      </c>
      <c r="AP14" s="10">
        <f>'[35]BU-2'!$E$35</f>
        <v>3818</v>
      </c>
      <c r="AQ14" s="12">
        <f t="shared" si="21"/>
        <v>145687</v>
      </c>
      <c r="AR14" s="51">
        <f t="shared" si="22"/>
        <v>0</v>
      </c>
      <c r="AS14" s="8">
        <f t="shared" si="23"/>
        <v>44287</v>
      </c>
      <c r="AT14" s="10">
        <f>'[35]BU-3'!$F$72</f>
        <v>72542</v>
      </c>
      <c r="AU14" s="10">
        <f>'[35]BU-3'!$F$47</f>
        <v>44248</v>
      </c>
      <c r="AV14" s="10">
        <f>[36]Feuil1!$BB$40</f>
        <v>17759</v>
      </c>
      <c r="AW14" s="12">
        <f t="shared" si="24"/>
        <v>134549</v>
      </c>
      <c r="AX14" s="10">
        <f>[36]Feuil1!$BD$40</f>
        <v>47870</v>
      </c>
      <c r="AY14" s="20">
        <f>[36]Feuil1!$BE$40</f>
        <v>37852</v>
      </c>
      <c r="AZ14" s="12">
        <f>[36]Feuil1!$BF$40</f>
        <v>48827</v>
      </c>
      <c r="BA14" s="12">
        <f t="shared" si="25"/>
        <v>134549</v>
      </c>
      <c r="BB14" s="13">
        <f t="shared" si="26"/>
        <v>0</v>
      </c>
      <c r="BC14" s="8">
        <f t="shared" si="10"/>
        <v>44287</v>
      </c>
      <c r="BD14" s="10">
        <f>'[35]BU-2'!$E$15</f>
        <v>203959</v>
      </c>
      <c r="BE14" s="10">
        <f>'[35]BU-3'!$F$69</f>
        <v>156585</v>
      </c>
      <c r="BF14" s="10">
        <f>'[35]BU-3'!$F$13-BE14</f>
        <v>47724</v>
      </c>
      <c r="BG14" s="10">
        <f>'[35]BU-3'!$F$41</f>
        <v>0</v>
      </c>
      <c r="BH14" s="10">
        <f t="shared" si="27"/>
        <v>204309</v>
      </c>
      <c r="BI14" s="10">
        <f>'[35]BU-2'!$E$17</f>
        <v>47724</v>
      </c>
      <c r="BJ14" s="10">
        <f>'[35]BU-3'!$F$12</f>
        <v>1700</v>
      </c>
      <c r="BK14" s="10">
        <f>'[35]BU-3'!$F$45</f>
        <v>1262</v>
      </c>
      <c r="BL14" s="10">
        <f>[36]Feuil1!$AO$40</f>
        <v>24097</v>
      </c>
      <c r="BM14" s="10">
        <f>[36]Feuil1!$AP$40</f>
        <v>20680</v>
      </c>
      <c r="BN14" s="10">
        <f>SUM(BJ14:BM14)</f>
        <v>47739</v>
      </c>
      <c r="BO14" s="10">
        <f>'[35]BU-2'!$E$18</f>
        <v>44777</v>
      </c>
      <c r="BP14" s="10">
        <f>[36]Feuil1!$AX$40</f>
        <v>17759</v>
      </c>
      <c r="BQ14" s="10">
        <f>'[35]BU-3'!$F$58</f>
        <v>19389</v>
      </c>
      <c r="BR14" s="10">
        <f>'[35]BU-3'!$F$44</f>
        <v>7469</v>
      </c>
      <c r="BS14" s="10"/>
      <c r="BT14" s="10">
        <f t="shared" si="11"/>
        <v>44617</v>
      </c>
      <c r="BU14" s="13">
        <f t="shared" si="28"/>
        <v>-160</v>
      </c>
      <c r="BV14" s="13">
        <f t="shared" si="29"/>
        <v>15</v>
      </c>
      <c r="BW14" s="8">
        <f t="shared" si="12"/>
        <v>44287</v>
      </c>
      <c r="BX14" s="10">
        <f>'[35]BU-2'!$E$19</f>
        <v>8322.9330000000009</v>
      </c>
      <c r="BY14" s="10">
        <f>'[35]BU-3'!$F$46</f>
        <v>0</v>
      </c>
      <c r="BZ14" s="10">
        <f>'[35]BU-3'!$F$59</f>
        <v>3696.7570000000001</v>
      </c>
      <c r="CA14" s="10">
        <f>'[35]BU-3'!$F$71</f>
        <v>4626.1760000000004</v>
      </c>
      <c r="CB14" s="10">
        <f>'[35]BU-3'!$F$46</f>
        <v>0</v>
      </c>
      <c r="CC14" s="11">
        <f t="shared" si="30"/>
        <v>8322.9330000000009</v>
      </c>
      <c r="CD14" s="13">
        <f t="shared" si="31"/>
        <v>0</v>
      </c>
      <c r="CE14" s="8">
        <f t="shared" si="13"/>
        <v>44287</v>
      </c>
      <c r="CF14" s="23">
        <f>'[35]BU-3'!$F$83</f>
        <v>53.420200000000023</v>
      </c>
      <c r="CG14" s="23">
        <f>'[35]BU-3'!$H$83</f>
        <v>0</v>
      </c>
      <c r="CH14" s="23">
        <v>0</v>
      </c>
      <c r="CI14" s="23">
        <f>'[35]BU-3'!$J$83</f>
        <v>0</v>
      </c>
      <c r="CJ14" s="21">
        <f t="shared" si="14"/>
        <v>0</v>
      </c>
      <c r="CK14" s="21">
        <f t="shared" si="15"/>
        <v>53.420200000000023</v>
      </c>
      <c r="CM14" s="8">
        <f t="shared" si="16"/>
        <v>44287</v>
      </c>
      <c r="CN14" s="9">
        <f>'[35]BU-3'!$F$82</f>
        <v>6.4526347200001268</v>
      </c>
      <c r="CO14" s="9">
        <f>'[35]BU-3'!$H$82</f>
        <v>39.04</v>
      </c>
      <c r="CP14" s="9">
        <f>'[35]BU-3'!$J$82</f>
        <v>33.708995040000005</v>
      </c>
      <c r="CQ14" s="11">
        <f t="shared" si="37"/>
        <v>11.783639680000121</v>
      </c>
      <c r="CR14" s="23">
        <f>'[35]BU-3'!$F$84</f>
        <v>13.698673362499861</v>
      </c>
      <c r="CS14" s="23">
        <f>'[35]BU-3'!$H$84</f>
        <v>76.21929999999999</v>
      </c>
      <c r="CT14" s="23">
        <f>'[35]BU-3'!$J$84</f>
        <v>76.400000000000006</v>
      </c>
      <c r="CU14" s="21">
        <f t="shared" si="32"/>
        <v>13.517973362499845</v>
      </c>
      <c r="CW14" s="8">
        <f t="shared" si="17"/>
        <v>44287</v>
      </c>
      <c r="CX14" s="12">
        <f t="shared" si="38"/>
        <v>448</v>
      </c>
      <c r="CY14" s="10"/>
      <c r="CZ14" s="10"/>
      <c r="DA14" s="10"/>
      <c r="DB14" s="12">
        <f t="shared" si="33"/>
        <v>448</v>
      </c>
      <c r="DC14" s="12">
        <f t="shared" si="39"/>
        <v>20</v>
      </c>
      <c r="DD14" s="10"/>
      <c r="DE14" s="10"/>
      <c r="DF14" s="12">
        <f t="shared" si="34"/>
        <v>20</v>
      </c>
      <c r="DG14" s="12">
        <f t="shared" si="40"/>
        <v>2290</v>
      </c>
      <c r="DH14" s="10"/>
      <c r="DI14" s="10"/>
      <c r="DJ14" s="12">
        <f t="shared" si="35"/>
        <v>2290</v>
      </c>
      <c r="DK14" s="13"/>
      <c r="DL14" s="8">
        <f t="shared" si="18"/>
        <v>44287</v>
      </c>
      <c r="DM14" s="106">
        <f>'[35]BU-4'!$E$35</f>
        <v>29.24722222222222</v>
      </c>
      <c r="DN14" s="106">
        <f>'[35]BU-4'!$F$35</f>
        <v>0</v>
      </c>
      <c r="DO14" s="106">
        <f>'[35]BU-4'!$G$35</f>
        <v>0.75277777777777777</v>
      </c>
      <c r="DP14" s="106">
        <f>'[35]BU-4'!$H$35</f>
        <v>0</v>
      </c>
      <c r="DQ14" s="10"/>
      <c r="DR14" s="10"/>
      <c r="DS14" s="10"/>
      <c r="DT14" s="10"/>
      <c r="DU14" s="10"/>
      <c r="DV14" s="10"/>
      <c r="DW14" s="10"/>
      <c r="DX14" s="10"/>
    </row>
    <row r="15" spans="2:128" ht="15.95" customHeight="1" x14ac:dyDescent="0.2">
      <c r="B15" s="8">
        <v>44317</v>
      </c>
      <c r="C15" s="10">
        <f>+'[37]BU-2'!$E$10</f>
        <v>17590</v>
      </c>
      <c r="D15" s="10">
        <f>+'[37]BU-3'!$F$11</f>
        <v>6905.6249999999982</v>
      </c>
      <c r="E15" s="10">
        <f>+'[37]BU-2'!$E$28</f>
        <v>4300.9025539304675</v>
      </c>
      <c r="F15" s="10">
        <f>+'[37]BU-2'!$E$29</f>
        <v>6494.4724460695325</v>
      </c>
      <c r="G15" s="31">
        <f t="shared" si="0"/>
        <v>10795.375</v>
      </c>
      <c r="H15" s="10">
        <f>+'[37]BU-2'!$E$27</f>
        <v>111</v>
      </c>
      <c r="I15" s="52">
        <f t="shared" si="19"/>
        <v>0</v>
      </c>
      <c r="J15" s="8">
        <f t="shared" si="1"/>
        <v>44317</v>
      </c>
      <c r="K15" s="10">
        <f>'[37]BU-2'!$E$11</f>
        <v>94892</v>
      </c>
      <c r="L15" s="10">
        <f>'[37]BU-3'!$F$37</f>
        <v>92730</v>
      </c>
      <c r="M15" s="12">
        <f>'[37]BU-3'!$F$38</f>
        <v>2162</v>
      </c>
      <c r="N15" s="33">
        <f t="shared" si="2"/>
        <v>94892</v>
      </c>
      <c r="O15" s="12">
        <f>'[37]BU-2'!$E$30</f>
        <v>1481</v>
      </c>
      <c r="P15" s="10">
        <f>'[37]BU-2'!$E$31</f>
        <v>89</v>
      </c>
      <c r="Q15" s="33">
        <f t="shared" si="3"/>
        <v>1570</v>
      </c>
      <c r="R15" s="10">
        <f>'[37]BU-2'!$E$32</f>
        <v>256</v>
      </c>
      <c r="S15" s="10">
        <f>'[37]BU-2'!$E$33</f>
        <v>0</v>
      </c>
      <c r="T15" s="33">
        <f t="shared" si="4"/>
        <v>256</v>
      </c>
      <c r="U15" s="13">
        <f t="shared" si="20"/>
        <v>599</v>
      </c>
      <c r="V15" s="8">
        <f t="shared" si="5"/>
        <v>44317</v>
      </c>
      <c r="W15" s="10">
        <f>[38]Feuil1!$K$40</f>
        <v>36953</v>
      </c>
      <c r="X15" s="10">
        <f>[38]Feuil1!$L$40</f>
        <v>51462</v>
      </c>
      <c r="Y15" s="10">
        <f>[38]Feuil1!$M$40</f>
        <v>0</v>
      </c>
      <c r="Z15" s="10">
        <f>[38]Feuil1!$N$40</f>
        <v>2162</v>
      </c>
      <c r="AA15" s="10">
        <f>[38]Feuil1!$O$40</f>
        <v>4988</v>
      </c>
      <c r="AB15" s="12">
        <f t="shared" si="6"/>
        <v>95565</v>
      </c>
      <c r="AC15" s="10">
        <f>[38]Feuil1!$Q$40</f>
        <v>81181</v>
      </c>
      <c r="AD15" s="10">
        <f>[38]Feuil1!$R$40</f>
        <v>11599</v>
      </c>
      <c r="AE15" s="10">
        <f>[38]Feuil1!$S$40</f>
        <v>0</v>
      </c>
      <c r="AF15" s="18">
        <f>[38]Feuil1!$T$40</f>
        <v>2785</v>
      </c>
      <c r="AG15" s="12">
        <f t="shared" si="7"/>
        <v>95565</v>
      </c>
      <c r="AH15" s="13">
        <f t="shared" si="8"/>
        <v>0</v>
      </c>
      <c r="AI15" s="8">
        <f t="shared" si="9"/>
        <v>44317</v>
      </c>
      <c r="AJ15" s="12">
        <f>'[37]BU-2'!$E$20</f>
        <v>149557</v>
      </c>
      <c r="AK15" s="12">
        <f>'[37]BU-3'!$F$39</f>
        <v>11599</v>
      </c>
      <c r="AL15" s="12">
        <f>'[37]BU-2'!$E$34</f>
        <v>0</v>
      </c>
      <c r="AM15" s="12">
        <f>SUM(AJ15:AL15)</f>
        <v>161156</v>
      </c>
      <c r="AN15" s="12">
        <f>'[37]BU-3'!$F$56</f>
        <v>142474</v>
      </c>
      <c r="AO15" s="10">
        <f>'[37]BU-3'!$F$40</f>
        <v>4988</v>
      </c>
      <c r="AP15" s="10">
        <f>'[37]BU-2'!$E$35</f>
        <v>2095</v>
      </c>
      <c r="AQ15" s="12">
        <f t="shared" si="21"/>
        <v>149557</v>
      </c>
      <c r="AR15" s="51">
        <f t="shared" si="22"/>
        <v>0</v>
      </c>
      <c r="AS15" s="8">
        <f t="shared" si="23"/>
        <v>44317</v>
      </c>
      <c r="AT15" s="10">
        <f>'[37]BU-3'!$F$72</f>
        <v>72696</v>
      </c>
      <c r="AU15" s="10">
        <f>'[37]BU-3'!$F$47</f>
        <v>41268</v>
      </c>
      <c r="AV15" s="10">
        <f>[38]Feuil1!$BB$40</f>
        <v>24099</v>
      </c>
      <c r="AW15" s="12">
        <f t="shared" si="24"/>
        <v>138063</v>
      </c>
      <c r="AX15" s="10">
        <f>[38]Feuil1!$BD$40</f>
        <v>41895</v>
      </c>
      <c r="AY15" s="20">
        <f>[38]Feuil1!$BE$40</f>
        <v>48964</v>
      </c>
      <c r="AZ15" s="12">
        <f>[38]Feuil1!$BF$40</f>
        <v>47204</v>
      </c>
      <c r="BA15" s="12">
        <f t="shared" si="25"/>
        <v>138063</v>
      </c>
      <c r="BB15" s="13">
        <f t="shared" si="26"/>
        <v>0</v>
      </c>
      <c r="BC15" s="8">
        <f t="shared" si="10"/>
        <v>44317</v>
      </c>
      <c r="BD15" s="10">
        <f>'[37]BU-2'!$E$15</f>
        <v>211413</v>
      </c>
      <c r="BE15" s="10">
        <f>'[37]BU-3'!$F$69</f>
        <v>155058</v>
      </c>
      <c r="BF15" s="10">
        <f>'[37]BU-3'!$F$13-BE15</f>
        <v>56346</v>
      </c>
      <c r="BG15" s="10">
        <f>'[37]BU-3'!$F$41</f>
        <v>0</v>
      </c>
      <c r="BH15" s="10">
        <f t="shared" si="27"/>
        <v>211404</v>
      </c>
      <c r="BI15" s="10">
        <f>'[37]BU-2'!$E$17</f>
        <v>56346</v>
      </c>
      <c r="BJ15" s="10">
        <f>'[37]BU-3'!$F$12</f>
        <v>2038</v>
      </c>
      <c r="BK15" s="10">
        <f>'[37]BU-3'!$F$45</f>
        <v>1486</v>
      </c>
      <c r="BL15" s="10">
        <f>[38]Feuil1!$AO$40</f>
        <v>29491</v>
      </c>
      <c r="BM15" s="10">
        <f>[38]Feuil1!$AP$40</f>
        <v>23276</v>
      </c>
      <c r="BN15" s="10">
        <f t="shared" ref="BN15" si="41">SUM(BJ15:BM15)</f>
        <v>56291</v>
      </c>
      <c r="BO15" s="10">
        <f>'[37]BU-2'!$E$18</f>
        <v>52767</v>
      </c>
      <c r="BP15" s="10">
        <f>[38]Feuil1!$AX$40</f>
        <v>24139</v>
      </c>
      <c r="BQ15" s="10">
        <f>'[37]BU-3'!$F$58</f>
        <v>19955</v>
      </c>
      <c r="BR15" s="10">
        <f>'[37]BU-3'!$F$44</f>
        <v>9063</v>
      </c>
      <c r="BS15" s="10"/>
      <c r="BT15" s="10">
        <f t="shared" si="11"/>
        <v>53157</v>
      </c>
      <c r="BU15" s="13">
        <f t="shared" si="28"/>
        <v>390</v>
      </c>
      <c r="BV15" s="13">
        <f t="shared" si="29"/>
        <v>-55</v>
      </c>
      <c r="BW15" s="8">
        <f t="shared" si="12"/>
        <v>44317</v>
      </c>
      <c r="BX15" s="10">
        <f>'[37]BU-2'!$E$19</f>
        <v>8512.7199999999993</v>
      </c>
      <c r="BY15" s="10">
        <f>'[37]BU-3'!$F$46</f>
        <v>0</v>
      </c>
      <c r="BZ15" s="10">
        <f>'[37]BU-3'!$F$59</f>
        <v>4252.1629999999996</v>
      </c>
      <c r="CA15" s="10">
        <f>'[37]BU-3'!$F$71</f>
        <v>4260.5569999999998</v>
      </c>
      <c r="CB15" s="10">
        <f>'[37]BU-3'!$F$46</f>
        <v>0</v>
      </c>
      <c r="CC15" s="11">
        <f t="shared" si="30"/>
        <v>8512.7199999999993</v>
      </c>
      <c r="CD15" s="13">
        <f t="shared" si="31"/>
        <v>0</v>
      </c>
      <c r="CE15" s="8">
        <f t="shared" si="13"/>
        <v>44317</v>
      </c>
      <c r="CF15" s="23">
        <f>'[37]BU-3'!$F$83</f>
        <v>53.420200000000023</v>
      </c>
      <c r="CG15" s="23">
        <f>'[37]BU-3'!$H$83</f>
        <v>0</v>
      </c>
      <c r="CH15" s="23">
        <v>0</v>
      </c>
      <c r="CI15" s="23">
        <f>'[37]BU-3'!$J$83</f>
        <v>0</v>
      </c>
      <c r="CJ15" s="21">
        <f t="shared" si="14"/>
        <v>0</v>
      </c>
      <c r="CK15" s="21">
        <f t="shared" si="15"/>
        <v>53.420200000000023</v>
      </c>
      <c r="CM15" s="8">
        <f t="shared" si="16"/>
        <v>44317</v>
      </c>
      <c r="CN15" s="9">
        <f>'[37]BU-3'!$F$82</f>
        <v>11.783639680000121</v>
      </c>
      <c r="CO15" s="9">
        <f>'[37]BU-3'!$H$82</f>
        <v>38.549999999999997</v>
      </c>
      <c r="CP15" s="9">
        <f>'[37]BU-3'!$J$82</f>
        <v>42.324246719999998</v>
      </c>
      <c r="CQ15" s="11">
        <f t="shared" si="37"/>
        <v>8.0093929600001204</v>
      </c>
      <c r="CR15" s="23">
        <f>'[37]BU-3'!$F$84</f>
        <v>13.517973362499845</v>
      </c>
      <c r="CS15" s="23">
        <f>'[37]BU-3'!$H$84</f>
        <v>87.472432499999996</v>
      </c>
      <c r="CT15" s="23">
        <f>'[37]BU-3'!$J$84</f>
        <v>93</v>
      </c>
      <c r="CU15" s="21">
        <f t="shared" si="32"/>
        <v>7.9904058624998413</v>
      </c>
      <c r="CW15" s="8">
        <f t="shared" si="17"/>
        <v>44317</v>
      </c>
      <c r="CX15" s="12">
        <f t="shared" si="38"/>
        <v>448</v>
      </c>
      <c r="CY15" s="10"/>
      <c r="CZ15" s="10"/>
      <c r="DA15" s="10"/>
      <c r="DB15" s="12">
        <f t="shared" si="33"/>
        <v>448</v>
      </c>
      <c r="DC15" s="12">
        <f t="shared" si="39"/>
        <v>20</v>
      </c>
      <c r="DD15" s="10"/>
      <c r="DE15" s="10"/>
      <c r="DF15" s="12">
        <f t="shared" si="34"/>
        <v>20</v>
      </c>
      <c r="DG15" s="12">
        <f t="shared" si="40"/>
        <v>2290</v>
      </c>
      <c r="DH15" s="10"/>
      <c r="DI15" s="10"/>
      <c r="DJ15" s="12">
        <f t="shared" si="35"/>
        <v>2290</v>
      </c>
      <c r="DK15" s="13"/>
      <c r="DL15" s="8">
        <f t="shared" si="18"/>
        <v>44317</v>
      </c>
      <c r="DM15" s="106">
        <f>'[37]BU-4'!$E$35</f>
        <v>30.384027777777778</v>
      </c>
      <c r="DN15" s="106">
        <f>'[37]BU-4'!$F$35</f>
        <v>0</v>
      </c>
      <c r="DO15" s="106">
        <f>'[37]BU-4'!$G$35</f>
        <v>0</v>
      </c>
      <c r="DP15" s="106">
        <f>'[37]BU-4'!$H$35</f>
        <v>0.61597222222222237</v>
      </c>
      <c r="DQ15" s="10"/>
      <c r="DR15" s="10"/>
      <c r="DS15" s="10"/>
      <c r="DT15" s="10"/>
      <c r="DU15" s="10"/>
      <c r="DV15" s="10"/>
      <c r="DW15" s="10"/>
      <c r="DX15" s="10"/>
    </row>
    <row r="16" spans="2:128" ht="15.95" customHeight="1" x14ac:dyDescent="0.2">
      <c r="B16" s="8">
        <v>44348</v>
      </c>
      <c r="C16" s="10">
        <f>+'[39]BU-2'!$E$10</f>
        <v>17194</v>
      </c>
      <c r="D16" s="10">
        <f>+'[39]BU-3'!$F$11</f>
        <v>6605.0780000000013</v>
      </c>
      <c r="E16" s="10">
        <f>+'[39]BU-2'!$E$28</f>
        <v>1693.432755401343</v>
      </c>
      <c r="F16" s="10">
        <f>+'[39]BU-2'!$E$29</f>
        <v>8941.4891195986565</v>
      </c>
      <c r="G16" s="31">
        <f t="shared" si="0"/>
        <v>10634.921875</v>
      </c>
      <c r="H16" s="10">
        <f>+'[39]BU-2'!$E$27</f>
        <v>46</v>
      </c>
      <c r="I16" s="52">
        <f t="shared" si="19"/>
        <v>1.249999986612238E-4</v>
      </c>
      <c r="J16" s="8">
        <f t="shared" si="1"/>
        <v>44348</v>
      </c>
      <c r="K16" s="10">
        <f>'[39]BU-2'!$E$11</f>
        <v>89053</v>
      </c>
      <c r="L16" s="10">
        <f>'[39]BU-3'!$F$37</f>
        <v>87192</v>
      </c>
      <c r="M16" s="12">
        <f>'[39]BU-3'!$F$38</f>
        <v>1861</v>
      </c>
      <c r="N16" s="33">
        <f t="shared" si="2"/>
        <v>89053</v>
      </c>
      <c r="O16" s="12">
        <f>'[39]BU-2'!$E$30</f>
        <v>298</v>
      </c>
      <c r="P16" s="10">
        <f>'[39]BU-2'!$E$31</f>
        <v>3284</v>
      </c>
      <c r="Q16" s="33">
        <f t="shared" si="3"/>
        <v>3582</v>
      </c>
      <c r="R16" s="10">
        <f>'[39]BU-2'!$E$32</f>
        <v>0</v>
      </c>
      <c r="S16" s="10">
        <f>'[39]BU-2'!$E$33</f>
        <v>0</v>
      </c>
      <c r="T16" s="33">
        <f t="shared" si="4"/>
        <v>0</v>
      </c>
      <c r="U16" s="13">
        <f t="shared" si="20"/>
        <v>-1314</v>
      </c>
      <c r="V16" s="8">
        <f t="shared" si="5"/>
        <v>44348</v>
      </c>
      <c r="W16" s="10">
        <f>[40]Feuil1!$K$40</f>
        <v>36593</v>
      </c>
      <c r="X16" s="10">
        <f>[40]Feuil1!$L$40</f>
        <v>43179</v>
      </c>
      <c r="Y16" s="10">
        <f>[40]Feuil1!$M$40</f>
        <v>0</v>
      </c>
      <c r="Z16" s="10">
        <f>[40]Feuil1!$N$40</f>
        <v>1861</v>
      </c>
      <c r="AA16" s="10">
        <f>[40]Feuil1!$O$40</f>
        <v>4805</v>
      </c>
      <c r="AB16" s="12">
        <f t="shared" si="6"/>
        <v>86438</v>
      </c>
      <c r="AC16" s="10">
        <f>[40]Feuil1!$Q$40</f>
        <v>74049</v>
      </c>
      <c r="AD16" s="10">
        <f>[40]Feuil1!$R$40</f>
        <v>10262</v>
      </c>
      <c r="AE16" s="10">
        <f>[40]Feuil1!$S$40</f>
        <v>0</v>
      </c>
      <c r="AF16" s="18">
        <f>[40]Feuil1!$T$40</f>
        <v>2127</v>
      </c>
      <c r="AG16" s="12">
        <f t="shared" si="7"/>
        <v>86438</v>
      </c>
      <c r="AH16" s="13">
        <f t="shared" si="8"/>
        <v>0</v>
      </c>
      <c r="AI16" s="8">
        <f t="shared" si="9"/>
        <v>44348</v>
      </c>
      <c r="AJ16" s="12">
        <f>'[39]BU-2'!$E$20</f>
        <v>142328</v>
      </c>
      <c r="AK16" s="12">
        <f>'[39]BU-3'!$F$39</f>
        <v>10262</v>
      </c>
      <c r="AL16" s="12">
        <f>'[39]BU-2'!$E$34</f>
        <v>0</v>
      </c>
      <c r="AM16" s="12">
        <f t="shared" si="36"/>
        <v>152590</v>
      </c>
      <c r="AN16" s="12">
        <f>'[39]BU-3'!$F$56</f>
        <v>137523</v>
      </c>
      <c r="AO16" s="10">
        <f>'[39]BU-3'!$F$40</f>
        <v>4805</v>
      </c>
      <c r="AP16" s="10">
        <f>'[39]BU-2'!$E$35</f>
        <v>0</v>
      </c>
      <c r="AQ16" s="12">
        <f t="shared" si="21"/>
        <v>142328</v>
      </c>
      <c r="AR16" s="51">
        <f t="shared" si="22"/>
        <v>0</v>
      </c>
      <c r="AS16" s="8">
        <f t="shared" si="23"/>
        <v>44348</v>
      </c>
      <c r="AT16" s="10">
        <f>'[39]BU-3'!$F$72</f>
        <v>65686</v>
      </c>
      <c r="AU16" s="10">
        <f>'[39]BU-3'!$F$47</f>
        <v>44013</v>
      </c>
      <c r="AV16" s="10">
        <f>[40]Feuil1!$BB$40</f>
        <v>22247</v>
      </c>
      <c r="AW16" s="12">
        <f t="shared" si="24"/>
        <v>131946</v>
      </c>
      <c r="AX16" s="10">
        <f>[40]Feuil1!$BD$40</f>
        <v>43074</v>
      </c>
      <c r="AY16" s="20">
        <f>[40]Feuil1!$BE$40</f>
        <v>44775</v>
      </c>
      <c r="AZ16" s="12">
        <f>[40]Feuil1!$BF$40</f>
        <v>44097</v>
      </c>
      <c r="BA16" s="12">
        <f t="shared" si="25"/>
        <v>131946</v>
      </c>
      <c r="BB16" s="13">
        <f t="shared" si="26"/>
        <v>0</v>
      </c>
      <c r="BC16" s="8">
        <f t="shared" si="10"/>
        <v>44348</v>
      </c>
      <c r="BD16" s="10">
        <f>'[39]BU-2'!$E$15</f>
        <v>177841</v>
      </c>
      <c r="BE16" s="10">
        <f>'[39]BU-3'!$F$69</f>
        <v>125585</v>
      </c>
      <c r="BF16" s="10">
        <f>'[39]BU-3'!$F$13-BE16</f>
        <v>52206</v>
      </c>
      <c r="BG16" s="10">
        <f>'[39]BU-3'!$F$41</f>
        <v>0</v>
      </c>
      <c r="BH16" s="10">
        <f t="shared" si="27"/>
        <v>177791</v>
      </c>
      <c r="BI16" s="10">
        <f>'[39]BU-2'!$E$17</f>
        <v>52206</v>
      </c>
      <c r="BJ16" s="10">
        <f>'[39]BU-3'!$F$12</f>
        <v>1835</v>
      </c>
      <c r="BK16" s="10">
        <f>'[39]BU-3'!$F$45</f>
        <v>1371</v>
      </c>
      <c r="BL16" s="10">
        <f>[40]Feuil1!$AO$40</f>
        <v>26441</v>
      </c>
      <c r="BM16" s="10">
        <f>[40]Feuil1!$AP$40</f>
        <v>22619</v>
      </c>
      <c r="BN16" s="10">
        <f>SUM(BJ16:BM16)</f>
        <v>52266</v>
      </c>
      <c r="BO16" s="10">
        <f>'[39]BU-2'!$E$18</f>
        <v>49060</v>
      </c>
      <c r="BP16" s="10">
        <f>[40]Feuil1!$AX$40</f>
        <v>21967</v>
      </c>
      <c r="BQ16" s="10">
        <f>'[39]BU-3'!$F$58</f>
        <v>19027</v>
      </c>
      <c r="BR16" s="10">
        <f>'[39]BU-3'!$F$44</f>
        <v>8016</v>
      </c>
      <c r="BS16" s="10"/>
      <c r="BT16" s="10">
        <f>SUM(BP16:BS16)</f>
        <v>49010</v>
      </c>
      <c r="BU16" s="13">
        <f t="shared" si="28"/>
        <v>-50</v>
      </c>
      <c r="BV16" s="13">
        <f t="shared" si="29"/>
        <v>60</v>
      </c>
      <c r="BW16" s="8">
        <f t="shared" si="12"/>
        <v>44348</v>
      </c>
      <c r="BX16" s="10">
        <f>'[39]BU-2'!$E$19</f>
        <v>8165.9809999999998</v>
      </c>
      <c r="BY16" s="10">
        <f>'[39]BU-3'!$F$46</f>
        <v>0</v>
      </c>
      <c r="BZ16" s="10">
        <f>'[39]BU-3'!$F$59</f>
        <v>3698.616</v>
      </c>
      <c r="CA16" s="10">
        <f>'[39]BU-3'!$F$71</f>
        <v>4467.3649999999998</v>
      </c>
      <c r="CB16" s="10">
        <f>'[39]BU-3'!$F$46</f>
        <v>0</v>
      </c>
      <c r="CC16" s="11">
        <f t="shared" si="30"/>
        <v>8165.9809999999998</v>
      </c>
      <c r="CD16" s="13">
        <f t="shared" si="31"/>
        <v>0</v>
      </c>
      <c r="CE16" s="8">
        <f t="shared" si="13"/>
        <v>44348</v>
      </c>
      <c r="CF16" s="23">
        <f>'[39]BU-3'!$F$83</f>
        <v>53.420200000000023</v>
      </c>
      <c r="CG16" s="23">
        <f>'[39]BU-3'!$H$83</f>
        <v>0</v>
      </c>
      <c r="CH16" s="23">
        <v>0</v>
      </c>
      <c r="CI16" s="23">
        <f>'[39]BU-3'!$J$83</f>
        <v>0</v>
      </c>
      <c r="CJ16" s="21">
        <f t="shared" si="14"/>
        <v>0</v>
      </c>
      <c r="CK16" s="21">
        <f t="shared" si="15"/>
        <v>53.420200000000023</v>
      </c>
      <c r="CM16" s="8">
        <f t="shared" si="16"/>
        <v>44348</v>
      </c>
      <c r="CN16" s="9">
        <f>'[39]BU-3'!$F$82</f>
        <v>8.0093929600001204</v>
      </c>
      <c r="CO16" s="9">
        <f>'[39]BU-3'!$H$82</f>
        <v>38.799999999999997</v>
      </c>
      <c r="CP16" s="9">
        <f>'[39]BU-3'!$J$82</f>
        <v>35.995768200000001</v>
      </c>
      <c r="CQ16" s="11">
        <f t="shared" si="37"/>
        <v>10.813624760000117</v>
      </c>
      <c r="CR16" s="23">
        <f>'[39]BU-3'!$F$84</f>
        <v>7.9904058624998413</v>
      </c>
      <c r="CS16" s="23">
        <f>'[39]BU-3'!$H$84</f>
        <v>83.319918749999985</v>
      </c>
      <c r="CT16" s="23">
        <f>'[39]BU-3'!$J$84</f>
        <v>80.849999999999994</v>
      </c>
      <c r="CU16" s="21">
        <f t="shared" si="32"/>
        <v>10.460324612499832</v>
      </c>
      <c r="CW16" s="8">
        <f t="shared" si="17"/>
        <v>44348</v>
      </c>
      <c r="CX16" s="12">
        <f t="shared" si="38"/>
        <v>448</v>
      </c>
      <c r="CY16" s="10"/>
      <c r="CZ16" s="10"/>
      <c r="DA16" s="10"/>
      <c r="DB16" s="12">
        <f t="shared" si="33"/>
        <v>448</v>
      </c>
      <c r="DC16" s="12">
        <f t="shared" si="39"/>
        <v>20</v>
      </c>
      <c r="DD16" s="10"/>
      <c r="DE16" s="10"/>
      <c r="DF16" s="12">
        <f t="shared" si="34"/>
        <v>20</v>
      </c>
      <c r="DG16" s="12">
        <f t="shared" si="40"/>
        <v>2290</v>
      </c>
      <c r="DH16" s="10"/>
      <c r="DI16" s="10"/>
      <c r="DJ16" s="12">
        <f t="shared" si="35"/>
        <v>2290</v>
      </c>
      <c r="DK16" s="13"/>
      <c r="DL16" s="8">
        <f t="shared" si="18"/>
        <v>44348</v>
      </c>
      <c r="DM16" s="106">
        <f>'[39]BU-4'!$E$35</f>
        <v>29.795138888888889</v>
      </c>
      <c r="DN16" s="106">
        <f>'[39]BU-4'!$F$35</f>
        <v>0</v>
      </c>
      <c r="DO16" s="106">
        <f>'[39]BU-4'!$G$35</f>
        <v>0</v>
      </c>
      <c r="DP16" s="106">
        <f>'[39]BU-4'!$H$35</f>
        <v>0.2048611111111111</v>
      </c>
      <c r="DQ16" s="10"/>
      <c r="DR16" s="10"/>
      <c r="DS16" s="10"/>
      <c r="DT16" s="10"/>
      <c r="DU16" s="10"/>
      <c r="DV16" s="10"/>
      <c r="DW16" s="10"/>
      <c r="DX16" s="10"/>
    </row>
    <row r="17" spans="2:128" ht="15.95" customHeight="1" x14ac:dyDescent="0.2">
      <c r="B17" s="8">
        <v>44378</v>
      </c>
      <c r="C17" s="10">
        <f>+'[41]BU-2'!$E$10</f>
        <v>17413</v>
      </c>
      <c r="D17" s="10">
        <f>+'[41]BU-3'!$F$11</f>
        <v>6743.094000000001</v>
      </c>
      <c r="E17" s="10">
        <f>+'[41]BU-2'!$E$28</f>
        <v>3192.1400000000003</v>
      </c>
      <c r="F17" s="10">
        <f>+'[41]BU-2'!$E$29</f>
        <v>7597.7659999999996</v>
      </c>
      <c r="G17" s="31">
        <f t="shared" si="0"/>
        <v>10789.905999999999</v>
      </c>
      <c r="H17" s="10">
        <f>+'[41]BU-2'!$E$27</f>
        <v>120</v>
      </c>
      <c r="I17" s="52">
        <f t="shared" si="19"/>
        <v>0</v>
      </c>
      <c r="J17" s="8">
        <f t="shared" si="1"/>
        <v>44378</v>
      </c>
      <c r="K17" s="10">
        <f>'[41]BU-2'!$E$11</f>
        <v>91398</v>
      </c>
      <c r="L17" s="10">
        <f>'[41]BU-3'!$F$37</f>
        <v>88938</v>
      </c>
      <c r="M17" s="12">
        <f>'[41]BU-3'!$F$38</f>
        <v>2460</v>
      </c>
      <c r="N17" s="33">
        <f t="shared" si="2"/>
        <v>91398</v>
      </c>
      <c r="O17" s="12">
        <f>'[41]BU-2'!$E$30</f>
        <v>145</v>
      </c>
      <c r="P17" s="10">
        <f>'[41]BU-2'!$E$31</f>
        <v>1563</v>
      </c>
      <c r="Q17" s="33">
        <f t="shared" si="3"/>
        <v>1708</v>
      </c>
      <c r="R17" s="10">
        <f>'[41]BU-2'!$E$32</f>
        <v>115</v>
      </c>
      <c r="S17" s="10">
        <f>'[41]BU-2'!$E$33</f>
        <v>0</v>
      </c>
      <c r="T17" s="33">
        <f t="shared" si="4"/>
        <v>115</v>
      </c>
      <c r="U17" s="13">
        <f t="shared" si="20"/>
        <v>-3582</v>
      </c>
      <c r="V17" s="8">
        <f t="shared" si="5"/>
        <v>44378</v>
      </c>
      <c r="W17" s="10">
        <f>[42]Feuil1!$K$40</f>
        <v>33565</v>
      </c>
      <c r="X17" s="10">
        <f>[42]Feuil1!$L$40</f>
        <v>45729</v>
      </c>
      <c r="Y17" s="10">
        <f>[42]Feuil1!$M$40</f>
        <v>0</v>
      </c>
      <c r="Z17" s="10">
        <f>[42]Feuil1!$N$40</f>
        <v>2460</v>
      </c>
      <c r="AA17" s="10">
        <f>[42]Feuil1!$O$40</f>
        <v>4840</v>
      </c>
      <c r="AB17" s="12">
        <f t="shared" si="6"/>
        <v>86594</v>
      </c>
      <c r="AC17" s="10">
        <f>[42]Feuil1!$Q$40</f>
        <v>74778</v>
      </c>
      <c r="AD17" s="10">
        <f>[42]Feuil1!$R$40</f>
        <v>9679</v>
      </c>
      <c r="AE17" s="10">
        <f>[42]Feuil1!$S$40</f>
        <v>0</v>
      </c>
      <c r="AF17" s="18">
        <f>[42]Feuil1!$T$40</f>
        <v>2137</v>
      </c>
      <c r="AG17" s="12">
        <f t="shared" si="7"/>
        <v>86594</v>
      </c>
      <c r="AH17" s="13">
        <f t="shared" si="8"/>
        <v>0</v>
      </c>
      <c r="AI17" s="8">
        <f t="shared" si="9"/>
        <v>44378</v>
      </c>
      <c r="AJ17" s="12">
        <f>'[41]BU-2'!$E$20</f>
        <v>147664</v>
      </c>
      <c r="AK17" s="12">
        <f>'[41]BU-3'!$F$39</f>
        <v>9679</v>
      </c>
      <c r="AL17" s="12">
        <f>'[41]BU-2'!$E$34</f>
        <v>0</v>
      </c>
      <c r="AM17" s="12">
        <f t="shared" si="36"/>
        <v>157343</v>
      </c>
      <c r="AN17" s="12">
        <f>'[41]BU-3'!$F$56</f>
        <v>142824</v>
      </c>
      <c r="AO17" s="10">
        <f>'[41]BU-3'!$F$40</f>
        <v>4840</v>
      </c>
      <c r="AP17" s="10">
        <f>'[41]BU-2'!$E$35</f>
        <v>0</v>
      </c>
      <c r="AQ17" s="12">
        <f t="shared" si="21"/>
        <v>147664</v>
      </c>
      <c r="AR17" s="51">
        <f t="shared" si="22"/>
        <v>0</v>
      </c>
      <c r="AS17" s="8">
        <f t="shared" si="23"/>
        <v>44378</v>
      </c>
      <c r="AT17" s="10">
        <f>'[41]BU-3'!$F$72</f>
        <v>67132</v>
      </c>
      <c r="AU17" s="10">
        <f>'[41]BU-3'!$F$47</f>
        <v>43209</v>
      </c>
      <c r="AV17" s="10">
        <f>[42]Feuil1!$BB$40</f>
        <v>27629</v>
      </c>
      <c r="AW17" s="12">
        <f t="shared" si="24"/>
        <v>137970</v>
      </c>
      <c r="AX17" s="10">
        <f>[42]Feuil1!$BD$40</f>
        <v>46238</v>
      </c>
      <c r="AY17" s="20">
        <f>[42]Feuil1!$BE$40</f>
        <v>51933</v>
      </c>
      <c r="AZ17" s="12">
        <f>[42]Feuil1!$BF$40</f>
        <v>39799</v>
      </c>
      <c r="BA17" s="12">
        <f t="shared" si="25"/>
        <v>137970</v>
      </c>
      <c r="BB17" s="13">
        <f t="shared" si="26"/>
        <v>0</v>
      </c>
      <c r="BC17" s="8">
        <f t="shared" si="10"/>
        <v>44378</v>
      </c>
      <c r="BD17" s="10">
        <f>'[41]BU-2'!$E$15</f>
        <v>209348</v>
      </c>
      <c r="BE17" s="10">
        <f>'[41]BU-3'!$F$69</f>
        <v>149774</v>
      </c>
      <c r="BF17" s="10">
        <f>'[41]BU-3'!$F$13-BE17</f>
        <v>59374</v>
      </c>
      <c r="BG17" s="10">
        <f>'[41]BU-3'!$F$41</f>
        <v>0</v>
      </c>
      <c r="BH17" s="10">
        <f t="shared" si="27"/>
        <v>209148</v>
      </c>
      <c r="BI17" s="10">
        <f>'[41]BU-2'!$E$17</f>
        <v>59374</v>
      </c>
      <c r="BJ17" s="10">
        <f>'[41]BU-3'!$F$12</f>
        <v>1902</v>
      </c>
      <c r="BK17" s="10">
        <f>'[41]BU-3'!$F$45</f>
        <v>1616</v>
      </c>
      <c r="BL17" s="10">
        <f>[42]Feuil1!$AO$40</f>
        <v>29951</v>
      </c>
      <c r="BM17" s="10">
        <f>[42]Feuil1!$AP$40</f>
        <v>25950</v>
      </c>
      <c r="BN17" s="10">
        <f t="shared" ref="BN17:BN22" si="42">SUM(BJ17:BM17)</f>
        <v>59419</v>
      </c>
      <c r="BO17" s="10">
        <f>'[41]BU-2'!$E$18</f>
        <v>55901</v>
      </c>
      <c r="BP17" s="10">
        <f>[42]Feuil1!$AX$40</f>
        <v>27809</v>
      </c>
      <c r="BQ17" s="10">
        <f>'[41]BU-3'!$F$58</f>
        <v>18633</v>
      </c>
      <c r="BR17" s="10">
        <f>'[41]BU-3'!$F$44</f>
        <v>9509</v>
      </c>
      <c r="BS17" s="10"/>
      <c r="BT17" s="10">
        <f t="shared" ref="BT17:BT22" si="43">SUM(BP17:BS17)</f>
        <v>55951</v>
      </c>
      <c r="BU17" s="13">
        <f t="shared" si="28"/>
        <v>50</v>
      </c>
      <c r="BV17" s="13">
        <f t="shared" si="29"/>
        <v>45</v>
      </c>
      <c r="BW17" s="8">
        <f t="shared" si="12"/>
        <v>44378</v>
      </c>
      <c r="BX17" s="10">
        <f>'[41]BU-2'!$E$19</f>
        <v>8383.7360000000008</v>
      </c>
      <c r="BY17" s="10">
        <f>'[41]BU-3'!$F$46</f>
        <v>0</v>
      </c>
      <c r="BZ17" s="10">
        <f>'[41]BU-3'!$F$59</f>
        <v>4158.652</v>
      </c>
      <c r="CA17" s="10">
        <f>'[41]BU-3'!$F$71</f>
        <v>4225.0839999999998</v>
      </c>
      <c r="CB17" s="10">
        <f>'[41]BU-3'!$F$46</f>
        <v>0</v>
      </c>
      <c r="CC17" s="11">
        <f t="shared" si="30"/>
        <v>8383.7360000000008</v>
      </c>
      <c r="CD17" s="13">
        <f t="shared" si="31"/>
        <v>0</v>
      </c>
      <c r="CE17" s="8">
        <f t="shared" si="13"/>
        <v>44378</v>
      </c>
      <c r="CF17" s="23">
        <f>'[41]BU-3'!$F$83</f>
        <v>53.420200000000023</v>
      </c>
      <c r="CG17" s="23">
        <f>'[41]BU-3'!$H$83</f>
        <v>0</v>
      </c>
      <c r="CH17" s="23">
        <v>0</v>
      </c>
      <c r="CI17" s="23">
        <f>'[41]BU-3'!$J$83</f>
        <v>0</v>
      </c>
      <c r="CJ17" s="21">
        <f t="shared" si="14"/>
        <v>0</v>
      </c>
      <c r="CK17" s="21">
        <f t="shared" si="15"/>
        <v>53.420200000000023</v>
      </c>
      <c r="CM17" s="8">
        <f t="shared" si="16"/>
        <v>44378</v>
      </c>
      <c r="CN17" s="9">
        <f>'[41]BU-3'!$F$82</f>
        <v>10.813624760000117</v>
      </c>
      <c r="CO17" s="9">
        <f>'[41]BU-3'!$H$82</f>
        <v>38.549999999999997</v>
      </c>
      <c r="CP17" s="9">
        <f>'[41]BU-3'!$J$82</f>
        <v>43.5015882</v>
      </c>
      <c r="CQ17" s="11">
        <f t="shared" si="37"/>
        <v>5.8620365600001136</v>
      </c>
      <c r="CR17" s="23">
        <f>'[41]BU-3'!$F$84</f>
        <v>10.460324612499832</v>
      </c>
      <c r="CS17" s="23">
        <f>'[41]BU-3'!$H$84</f>
        <v>95.166267499999989</v>
      </c>
      <c r="CT17" s="23">
        <f>'[41]BU-3'!$J$84</f>
        <v>97.25</v>
      </c>
      <c r="CU17" s="21">
        <f t="shared" si="32"/>
        <v>8.3765921124998215</v>
      </c>
      <c r="CW17" s="8">
        <f t="shared" si="17"/>
        <v>44378</v>
      </c>
      <c r="CX17" s="12">
        <f t="shared" si="38"/>
        <v>448</v>
      </c>
      <c r="CY17" s="10"/>
      <c r="CZ17" s="10"/>
      <c r="DA17" s="10"/>
      <c r="DB17" s="12">
        <f t="shared" si="33"/>
        <v>448</v>
      </c>
      <c r="DC17" s="12">
        <f t="shared" si="39"/>
        <v>20</v>
      </c>
      <c r="DD17" s="10"/>
      <c r="DE17" s="10"/>
      <c r="DF17" s="12">
        <f t="shared" si="34"/>
        <v>20</v>
      </c>
      <c r="DG17" s="12">
        <f t="shared" si="40"/>
        <v>2290</v>
      </c>
      <c r="DH17" s="10"/>
      <c r="DI17" s="10"/>
      <c r="DJ17" s="12">
        <f t="shared" si="35"/>
        <v>2290</v>
      </c>
      <c r="DK17" s="13"/>
      <c r="DL17" s="8">
        <f t="shared" si="18"/>
        <v>44378</v>
      </c>
      <c r="DM17" s="106">
        <f>'[41]BU-4'!$E$35</f>
        <v>29.961805555555557</v>
      </c>
      <c r="DN17" s="106">
        <f>'[41]BU-4'!$F$35</f>
        <v>0</v>
      </c>
      <c r="DO17" s="106">
        <f>'[41]BU-4'!$G$35</f>
        <v>0</v>
      </c>
      <c r="DP17" s="106">
        <f>'[41]BU-4'!$H$35</f>
        <v>1.0381944444444444</v>
      </c>
      <c r="DQ17" s="10"/>
      <c r="DR17" s="10"/>
      <c r="DS17" s="10"/>
      <c r="DT17" s="10"/>
      <c r="DU17" s="10"/>
      <c r="DV17" s="10"/>
      <c r="DW17" s="10"/>
      <c r="DX17" s="10"/>
    </row>
    <row r="18" spans="2:128" ht="15.95" customHeight="1" x14ac:dyDescent="0.2">
      <c r="B18" s="8">
        <v>44409</v>
      </c>
      <c r="C18" s="10">
        <f>+'[43]BU-2'!$E$10</f>
        <v>17208</v>
      </c>
      <c r="D18" s="10">
        <f>+'[43]BU-3'!$F$11</f>
        <v>6882.7660000000014</v>
      </c>
      <c r="E18" s="10">
        <f>+'[43]BU-2'!$E$28</f>
        <v>3074.8181149706488</v>
      </c>
      <c r="F18" s="10">
        <f>+'[43]BU-2'!$E$29</f>
        <v>7301.4162600293503</v>
      </c>
      <c r="G18" s="31">
        <f t="shared" si="0"/>
        <v>10376.234375</v>
      </c>
      <c r="H18" s="10">
        <f>+'[43]BU-2'!$E$27</f>
        <v>51</v>
      </c>
      <c r="I18" s="52">
        <f t="shared" si="19"/>
        <v>-3.7500000144063961E-4</v>
      </c>
      <c r="J18" s="8">
        <f t="shared" si="1"/>
        <v>44409</v>
      </c>
      <c r="K18" s="10">
        <f>'[43]BU-2'!$E$11</f>
        <v>93280</v>
      </c>
      <c r="L18" s="10">
        <f>'[43]BU-3'!$F$37</f>
        <v>91187</v>
      </c>
      <c r="M18" s="12">
        <f>'[43]BU-3'!$F$38</f>
        <v>2093</v>
      </c>
      <c r="N18" s="33">
        <f t="shared" si="2"/>
        <v>93280</v>
      </c>
      <c r="O18" s="12">
        <f>'[43]BU-2'!$E$30</f>
        <v>138</v>
      </c>
      <c r="P18" s="10">
        <f>'[43]BU-2'!$E$31</f>
        <v>0</v>
      </c>
      <c r="Q18" s="33">
        <f t="shared" si="3"/>
        <v>138</v>
      </c>
      <c r="R18" s="10">
        <f>'[43]BU-2'!$E$32</f>
        <v>0</v>
      </c>
      <c r="S18" s="10">
        <f>'[43]BU-2'!$E$33</f>
        <v>0</v>
      </c>
      <c r="T18" s="33">
        <f t="shared" si="4"/>
        <v>0</v>
      </c>
      <c r="U18" s="13">
        <f t="shared" si="20"/>
        <v>-1593</v>
      </c>
      <c r="V18" s="8">
        <f t="shared" si="5"/>
        <v>44409</v>
      </c>
      <c r="W18" s="10">
        <f>[44]Feuil1!$K$40</f>
        <v>36886</v>
      </c>
      <c r="X18" s="10">
        <f>[44]Feuil1!$L$40</f>
        <v>48691</v>
      </c>
      <c r="Y18" s="10">
        <f>[44]Feuil1!$M$40</f>
        <v>0</v>
      </c>
      <c r="Z18" s="10">
        <f>[44]Feuil1!$N$40</f>
        <v>2093</v>
      </c>
      <c r="AA18" s="10">
        <f>[44]Feuil1!$O$40</f>
        <v>5106</v>
      </c>
      <c r="AB18" s="12">
        <f t="shared" si="6"/>
        <v>92776</v>
      </c>
      <c r="AC18" s="10">
        <f>[44]Feuil1!$Q$40</f>
        <v>81661</v>
      </c>
      <c r="AD18" s="10">
        <f>[44]Feuil1!$R$40</f>
        <v>10320</v>
      </c>
      <c r="AE18" s="10">
        <f>[44]Feuil1!$S$40</f>
        <v>0</v>
      </c>
      <c r="AF18" s="18">
        <f>[44]Feuil1!$T$40</f>
        <v>795</v>
      </c>
      <c r="AG18" s="12">
        <f t="shared" si="7"/>
        <v>92776</v>
      </c>
      <c r="AH18" s="13">
        <f t="shared" si="8"/>
        <v>0</v>
      </c>
      <c r="AI18" s="8">
        <f t="shared" si="9"/>
        <v>44409</v>
      </c>
      <c r="AJ18" s="12">
        <f>'[43]BU-2'!$E$20</f>
        <v>144157</v>
      </c>
      <c r="AK18" s="12">
        <f>'[43]BU-3'!$F$39</f>
        <v>10320</v>
      </c>
      <c r="AL18" s="12">
        <f>'[43]BU-2'!$E$34</f>
        <v>0</v>
      </c>
      <c r="AM18" s="12">
        <f t="shared" si="36"/>
        <v>154477</v>
      </c>
      <c r="AN18" s="12">
        <f>'[43]BU-3'!$F$56</f>
        <v>139051</v>
      </c>
      <c r="AO18" s="10">
        <f>'[43]BU-3'!$F$40</f>
        <v>5106</v>
      </c>
      <c r="AP18" s="10">
        <f>'[43]BU-2'!$E$35</f>
        <v>0</v>
      </c>
      <c r="AQ18" s="12">
        <f t="shared" si="21"/>
        <v>144157</v>
      </c>
      <c r="AR18" s="51">
        <f t="shared" si="22"/>
        <v>0</v>
      </c>
      <c r="AS18" s="8">
        <f t="shared" si="23"/>
        <v>44409</v>
      </c>
      <c r="AT18" s="10">
        <f>'[43]BU-3'!$F$72</f>
        <v>66869</v>
      </c>
      <c r="AU18" s="10">
        <f>'[43]BU-3'!$F$47</f>
        <v>42496</v>
      </c>
      <c r="AV18" s="10">
        <f>[44]Feuil1!$BB$40</f>
        <v>24577</v>
      </c>
      <c r="AW18" s="12">
        <f t="shared" si="24"/>
        <v>133942</v>
      </c>
      <c r="AX18" s="10">
        <f>[44]Feuil1!$BD$40</f>
        <v>52515</v>
      </c>
      <c r="AY18" s="20">
        <f>[44]Feuil1!$BE$40</f>
        <v>45655</v>
      </c>
      <c r="AZ18" s="12">
        <f>[44]Feuil1!$BF$40</f>
        <v>35772</v>
      </c>
      <c r="BA18" s="12">
        <f t="shared" si="25"/>
        <v>133942</v>
      </c>
      <c r="BB18" s="13">
        <f t="shared" si="26"/>
        <v>0</v>
      </c>
      <c r="BC18" s="8">
        <f t="shared" si="10"/>
        <v>44409</v>
      </c>
      <c r="BD18" s="10">
        <f>'[43]BU-2'!$E$15</f>
        <v>265902</v>
      </c>
      <c r="BE18" s="10">
        <f>'[43]BU-3'!$F$69</f>
        <v>211175</v>
      </c>
      <c r="BF18" s="10">
        <f>'[43]BU-3'!$F$13-BE18</f>
        <v>54827</v>
      </c>
      <c r="BG18" s="10">
        <f>'[43]BU-3'!$F$41</f>
        <v>0</v>
      </c>
      <c r="BH18" s="10">
        <f t="shared" si="27"/>
        <v>266002</v>
      </c>
      <c r="BI18" s="10">
        <f>'[43]BU-2'!$E$17</f>
        <v>54827</v>
      </c>
      <c r="BJ18" s="10">
        <f>'[43]BU-3'!$F$12</f>
        <v>1840</v>
      </c>
      <c r="BK18" s="10">
        <f>'[43]BU-3'!$F$45</f>
        <v>1220</v>
      </c>
      <c r="BL18" s="10">
        <f>[44]Feuil1!$AO$40</f>
        <v>31174</v>
      </c>
      <c r="BM18" s="10">
        <f>[44]Feuil1!$AP$40</f>
        <v>20538</v>
      </c>
      <c r="BN18" s="10">
        <f t="shared" si="42"/>
        <v>54772</v>
      </c>
      <c r="BO18" s="10">
        <f>'[43]BU-2'!$E$18</f>
        <v>51712</v>
      </c>
      <c r="BP18" s="10">
        <f>[44]Feuil1!$AX$40</f>
        <v>24327</v>
      </c>
      <c r="BQ18" s="10">
        <f>'[43]BU-3'!$F$58</f>
        <v>18691</v>
      </c>
      <c r="BR18" s="10">
        <f>'[43]BU-3'!$F$44</f>
        <v>8524</v>
      </c>
      <c r="BS18" s="10"/>
      <c r="BT18" s="10">
        <f t="shared" si="43"/>
        <v>51542</v>
      </c>
      <c r="BU18" s="13">
        <f t="shared" si="28"/>
        <v>-170</v>
      </c>
      <c r="BV18" s="13">
        <f t="shared" si="29"/>
        <v>-55</v>
      </c>
      <c r="BW18" s="8">
        <f t="shared" si="12"/>
        <v>44409</v>
      </c>
      <c r="BX18" s="10">
        <f>'[43]BU-2'!$E$19</f>
        <v>8566.4410000000007</v>
      </c>
      <c r="BY18" s="10">
        <f>'[43]BU-3'!$F$46</f>
        <v>0</v>
      </c>
      <c r="BZ18" s="10">
        <f>'[43]BU-3'!$F$59</f>
        <v>4262.6639999999998</v>
      </c>
      <c r="CA18" s="10">
        <f>'[43]BU-3'!$F$71</f>
        <v>4303.777</v>
      </c>
      <c r="CB18" s="10">
        <f>'[43]BU-3'!$F$46</f>
        <v>0</v>
      </c>
      <c r="CC18" s="11">
        <f t="shared" si="30"/>
        <v>8566.4409999999989</v>
      </c>
      <c r="CD18" s="13">
        <f t="shared" si="31"/>
        <v>0</v>
      </c>
      <c r="CE18" s="8">
        <f t="shared" si="13"/>
        <v>44409</v>
      </c>
      <c r="CF18" s="23">
        <f>'[43]BU-3'!$F$83</f>
        <v>53.420200000000023</v>
      </c>
      <c r="CG18" s="23">
        <f>'[43]BU-3'!$H$83</f>
        <v>0</v>
      </c>
      <c r="CH18" s="23">
        <v>0</v>
      </c>
      <c r="CI18" s="23">
        <f>'[43]BU-3'!$J$83</f>
        <v>0</v>
      </c>
      <c r="CJ18" s="21">
        <f t="shared" si="14"/>
        <v>0</v>
      </c>
      <c r="CK18" s="21">
        <f t="shared" si="15"/>
        <v>53.420200000000023</v>
      </c>
      <c r="CM18" s="8">
        <f t="shared" si="16"/>
        <v>44409</v>
      </c>
      <c r="CN18" s="9">
        <f>'[43]BU-3'!$F$82</f>
        <v>5.8620365600001136</v>
      </c>
      <c r="CO18" s="9">
        <f>'[43]BU-3'!$H$82</f>
        <v>48.5</v>
      </c>
      <c r="CP18" s="9">
        <f>'[43]BU-3'!$J$82</f>
        <v>38.517723719999992</v>
      </c>
      <c r="CQ18" s="11">
        <f t="shared" si="37"/>
        <v>15.844312840000121</v>
      </c>
      <c r="CR18" s="23">
        <f>'[43]BU-3'!$F$84</f>
        <v>8.3765921124998215</v>
      </c>
      <c r="CS18" s="23">
        <f>'[43]BU-3'!$H$84</f>
        <v>92.343996249999989</v>
      </c>
      <c r="CT18" s="23">
        <f>'[43]BU-3'!$J$84</f>
        <v>87.9</v>
      </c>
      <c r="CU18" s="21">
        <f t="shared" si="32"/>
        <v>12.820588362499805</v>
      </c>
      <c r="CW18" s="8">
        <f t="shared" si="17"/>
        <v>44409</v>
      </c>
      <c r="CX18" s="12">
        <f t="shared" si="38"/>
        <v>448</v>
      </c>
      <c r="CY18" s="10"/>
      <c r="CZ18" s="10"/>
      <c r="DA18" s="10"/>
      <c r="DB18" s="12">
        <f t="shared" si="33"/>
        <v>448</v>
      </c>
      <c r="DC18" s="12">
        <f t="shared" si="39"/>
        <v>20</v>
      </c>
      <c r="DD18" s="10"/>
      <c r="DE18" s="10"/>
      <c r="DF18" s="12">
        <f t="shared" si="34"/>
        <v>20</v>
      </c>
      <c r="DG18" s="12">
        <f t="shared" si="40"/>
        <v>2290</v>
      </c>
      <c r="DH18" s="10"/>
      <c r="DI18" s="10"/>
      <c r="DJ18" s="12">
        <f t="shared" si="35"/>
        <v>2290</v>
      </c>
      <c r="DK18" s="13"/>
      <c r="DL18" s="8">
        <f t="shared" si="18"/>
        <v>44409</v>
      </c>
      <c r="DM18" s="106">
        <f>'[43]BU-4'!$E$35</f>
        <v>30.759027777777778</v>
      </c>
      <c r="DN18" s="106">
        <f>'[43]BU-4'!$F$35</f>
        <v>0</v>
      </c>
      <c r="DO18" s="106">
        <f>'[43]BU-4'!$G$35</f>
        <v>0</v>
      </c>
      <c r="DP18" s="106">
        <f>'[43]BU-4'!$H$35</f>
        <v>0.24097222222222223</v>
      </c>
      <c r="DQ18" s="10"/>
      <c r="DR18" s="10"/>
      <c r="DS18" s="10"/>
      <c r="DT18" s="10"/>
      <c r="DU18" s="10"/>
      <c r="DV18" s="10"/>
      <c r="DW18" s="10"/>
      <c r="DX18" s="10"/>
    </row>
    <row r="19" spans="2:128" ht="15.95" customHeight="1" x14ac:dyDescent="0.2">
      <c r="B19" s="8">
        <v>44440</v>
      </c>
      <c r="C19" s="10">
        <f>+'[45]BU-2'!$E$10</f>
        <v>14533</v>
      </c>
      <c r="D19" s="10">
        <f>+'[45]BU-3'!$F$11</f>
        <v>6447.3319999999985</v>
      </c>
      <c r="E19" s="10">
        <f>+'[45]BU-2'!$E$28</f>
        <v>0</v>
      </c>
      <c r="F19" s="10">
        <f>+'[45]BU-2'!$E$29</f>
        <v>0</v>
      </c>
      <c r="G19" s="31">
        <f t="shared" si="0"/>
        <v>0</v>
      </c>
      <c r="H19" s="10">
        <f>+'[45]BU-2'!$E$27</f>
        <v>574</v>
      </c>
      <c r="I19" s="52">
        <f t="shared" si="19"/>
        <v>8659.6680000000015</v>
      </c>
      <c r="J19" s="8">
        <f t="shared" si="1"/>
        <v>44440</v>
      </c>
      <c r="K19" s="10">
        <f>'[45]BU-2'!$E$11</f>
        <v>88546</v>
      </c>
      <c r="L19" s="10">
        <f>'[45]BU-3'!$F$37</f>
        <v>81354</v>
      </c>
      <c r="M19" s="12">
        <f>'[45]BU-3'!$F$38</f>
        <v>7192</v>
      </c>
      <c r="N19" s="33">
        <f t="shared" si="2"/>
        <v>88546</v>
      </c>
      <c r="O19" s="12">
        <f>'[45]BU-2'!$E$30</f>
        <v>1339</v>
      </c>
      <c r="P19" s="10">
        <f>'[45]BU-2'!$E$31</f>
        <v>703</v>
      </c>
      <c r="Q19" s="33">
        <f t="shared" si="3"/>
        <v>2042</v>
      </c>
      <c r="R19" s="10">
        <f>'[45]BU-2'!$E$32</f>
        <v>240</v>
      </c>
      <c r="S19" s="10">
        <f>'[45]BU-2'!$E$33</f>
        <v>0</v>
      </c>
      <c r="T19" s="33">
        <f t="shared" si="4"/>
        <v>240</v>
      </c>
      <c r="U19" s="13">
        <f t="shared" si="20"/>
        <v>-138</v>
      </c>
      <c r="V19" s="8">
        <f t="shared" si="5"/>
        <v>44440</v>
      </c>
      <c r="W19" s="10">
        <f>[46]Feuil1!$K$40</f>
        <v>35635</v>
      </c>
      <c r="X19" s="10">
        <f>[46]Feuil1!$L$40</f>
        <v>43649</v>
      </c>
      <c r="Y19" s="10">
        <f>[46]Feuil1!$M$40</f>
        <v>902</v>
      </c>
      <c r="Z19" s="10">
        <f>[46]Feuil1!$N$40</f>
        <v>7192</v>
      </c>
      <c r="AA19" s="10">
        <f>[46]Feuil1!$O$40</f>
        <v>5759</v>
      </c>
      <c r="AB19" s="12">
        <f t="shared" si="6"/>
        <v>93137</v>
      </c>
      <c r="AC19" s="10">
        <f>[46]Feuil1!$Q$40</f>
        <v>77489</v>
      </c>
      <c r="AD19" s="10">
        <f>[46]Feuil1!$R$40</f>
        <v>10808</v>
      </c>
      <c r="AE19" s="10">
        <f>[46]Feuil1!$S$40</f>
        <v>0</v>
      </c>
      <c r="AF19" s="18">
        <f>[46]Feuil1!$T$40</f>
        <v>4754</v>
      </c>
      <c r="AG19" s="12">
        <f t="shared" si="7"/>
        <v>93051</v>
      </c>
      <c r="AH19" s="13">
        <f t="shared" si="8"/>
        <v>-86</v>
      </c>
      <c r="AI19" s="8">
        <f t="shared" si="9"/>
        <v>44440</v>
      </c>
      <c r="AJ19" s="12">
        <f>'[45]BU-2'!$E$20</f>
        <v>138550</v>
      </c>
      <c r="AK19" s="12">
        <f>'[45]BU-3'!$F$39</f>
        <v>10808</v>
      </c>
      <c r="AL19" s="12">
        <f>'[45]BU-2'!$E$34</f>
        <v>0</v>
      </c>
      <c r="AM19" s="12">
        <f t="shared" si="36"/>
        <v>149358</v>
      </c>
      <c r="AN19" s="12">
        <f>'[45]BU-3'!$F$56</f>
        <v>132791</v>
      </c>
      <c r="AO19" s="10">
        <f>'[45]BU-3'!$F$40</f>
        <v>5759</v>
      </c>
      <c r="AP19" s="10">
        <f>'[45]BU-2'!$E$35</f>
        <v>0</v>
      </c>
      <c r="AQ19" s="12">
        <f t="shared" si="21"/>
        <v>138550</v>
      </c>
      <c r="AR19" s="51">
        <f t="shared" si="22"/>
        <v>0</v>
      </c>
      <c r="AS19" s="8">
        <f t="shared" si="23"/>
        <v>44440</v>
      </c>
      <c r="AT19" s="10">
        <f>'[45]BU-3'!$F$72</f>
        <v>64332</v>
      </c>
      <c r="AU19" s="10">
        <f>'[45]BU-3'!$F$47</f>
        <v>36888</v>
      </c>
      <c r="AV19" s="10">
        <f>[46]Feuil1!$BB$40</f>
        <v>27242</v>
      </c>
      <c r="AW19" s="12">
        <f t="shared" si="24"/>
        <v>128462</v>
      </c>
      <c r="AX19" s="10">
        <f>[46]Feuil1!$BD$40</f>
        <v>40742</v>
      </c>
      <c r="AY19" s="20">
        <f>[46]Feuil1!$BE$40</f>
        <v>41056</v>
      </c>
      <c r="AZ19" s="12">
        <f>[46]Feuil1!$BF$40</f>
        <v>45888</v>
      </c>
      <c r="BA19" s="12">
        <f t="shared" si="25"/>
        <v>127686</v>
      </c>
      <c r="BB19" s="13">
        <f t="shared" si="26"/>
        <v>-776</v>
      </c>
      <c r="BC19" s="8">
        <f t="shared" si="10"/>
        <v>44440</v>
      </c>
      <c r="BD19" s="10">
        <f>'[45]BU-2'!$E$15</f>
        <v>212848</v>
      </c>
      <c r="BE19" s="10">
        <f>'[45]BU-3'!$F$69</f>
        <v>154919</v>
      </c>
      <c r="BF19" s="10">
        <f>'[45]BU-3'!$F$13-BE19</f>
        <v>57221</v>
      </c>
      <c r="BG19" s="10">
        <f>'[45]BU-3'!$F$41</f>
        <v>0</v>
      </c>
      <c r="BH19" s="10">
        <f t="shared" si="27"/>
        <v>212140</v>
      </c>
      <c r="BI19" s="10">
        <f>'[45]BU-2'!$E$17</f>
        <v>57221</v>
      </c>
      <c r="BJ19" s="10">
        <f>'[45]BU-3'!$F$12</f>
        <v>1356</v>
      </c>
      <c r="BK19" s="10">
        <f>'[45]BU-3'!$F$45</f>
        <v>1611</v>
      </c>
      <c r="BL19" s="10">
        <f>[46]Feuil1!$AO$40</f>
        <v>25718</v>
      </c>
      <c r="BM19" s="10">
        <f>[46]Feuil1!$AP$40</f>
        <v>28376</v>
      </c>
      <c r="BN19" s="10">
        <f t="shared" si="42"/>
        <v>57061</v>
      </c>
      <c r="BO19" s="10">
        <f>'[45]BU-2'!$E$18</f>
        <v>54094</v>
      </c>
      <c r="BP19" s="10">
        <f>[46]Feuil1!$AX$40</f>
        <v>27312</v>
      </c>
      <c r="BQ19" s="10">
        <f>'[45]BU-3'!$F$58</f>
        <v>17614</v>
      </c>
      <c r="BR19" s="10">
        <f>'[45]BU-3'!$F$44</f>
        <v>8778</v>
      </c>
      <c r="BS19" s="10"/>
      <c r="BT19" s="10">
        <f t="shared" si="43"/>
        <v>53704</v>
      </c>
      <c r="BU19" s="13">
        <f t="shared" si="28"/>
        <v>-390</v>
      </c>
      <c r="BV19" s="13">
        <f t="shared" si="29"/>
        <v>-160</v>
      </c>
      <c r="BW19" s="8">
        <f t="shared" si="12"/>
        <v>44440</v>
      </c>
      <c r="BX19" s="10">
        <f>'[45]BU-2'!$E$19</f>
        <v>8331.73</v>
      </c>
      <c r="BY19" s="10">
        <f>'[45]BU-3'!$F$46</f>
        <v>0</v>
      </c>
      <c r="BZ19" s="10">
        <f>'[45]BU-3'!$F$59</f>
        <v>4061.616</v>
      </c>
      <c r="CA19" s="10">
        <f>'[45]BU-3'!$F$71</f>
        <v>4270.1139999999996</v>
      </c>
      <c r="CB19" s="10">
        <f>'[45]BU-3'!$F$46</f>
        <v>0</v>
      </c>
      <c r="CC19" s="11">
        <f t="shared" si="30"/>
        <v>8331.73</v>
      </c>
      <c r="CD19" s="13">
        <f t="shared" si="31"/>
        <v>0</v>
      </c>
      <c r="CE19" s="8">
        <f t="shared" si="13"/>
        <v>44440</v>
      </c>
      <c r="CF19" s="23">
        <f>'[45]BU-3'!$F$83</f>
        <v>53.420200000000023</v>
      </c>
      <c r="CG19" s="23">
        <f>'[45]BU-3'!$H$83</f>
        <v>0</v>
      </c>
      <c r="CH19" s="23">
        <v>0</v>
      </c>
      <c r="CI19" s="23">
        <f>'[45]BU-3'!$J$83</f>
        <v>0</v>
      </c>
      <c r="CJ19" s="21">
        <f t="shared" si="14"/>
        <v>0</v>
      </c>
      <c r="CK19" s="21">
        <f t="shared" si="15"/>
        <v>53.420200000000023</v>
      </c>
      <c r="CM19" s="8">
        <f t="shared" si="16"/>
        <v>44440</v>
      </c>
      <c r="CN19" s="9">
        <f>'[45]BU-3'!$F$82</f>
        <v>15.844312840000121</v>
      </c>
      <c r="CO19" s="9">
        <f>'[45]BU-3'!$H$82</f>
        <v>38.799999999999997</v>
      </c>
      <c r="CP19" s="9">
        <f>'[45]BU-3'!$J$82</f>
        <v>40.417053600000003</v>
      </c>
      <c r="CQ19" s="11">
        <f t="shared" si="37"/>
        <v>14.227259240000116</v>
      </c>
      <c r="CR19" s="23">
        <f>'[45]BU-3'!$F$84</f>
        <v>12.820588362499805</v>
      </c>
      <c r="CS19" s="23">
        <f>'[45]BU-3'!$H$84</f>
        <v>99.121042499999987</v>
      </c>
      <c r="CT19" s="23">
        <f>'[45]BU-3'!$J$84</f>
        <v>99.2</v>
      </c>
      <c r="CU19" s="21">
        <f t="shared" si="32"/>
        <v>12.74163086249979</v>
      </c>
      <c r="CW19" s="8">
        <f t="shared" si="17"/>
        <v>44440</v>
      </c>
      <c r="CX19" s="12">
        <f t="shared" si="38"/>
        <v>448</v>
      </c>
      <c r="CY19" s="10"/>
      <c r="CZ19" s="10"/>
      <c r="DA19" s="10"/>
      <c r="DB19" s="12">
        <f t="shared" si="33"/>
        <v>448</v>
      </c>
      <c r="DC19" s="12">
        <f t="shared" si="39"/>
        <v>20</v>
      </c>
      <c r="DD19" s="10"/>
      <c r="DE19" s="10"/>
      <c r="DF19" s="12">
        <f t="shared" si="34"/>
        <v>20</v>
      </c>
      <c r="DG19" s="12">
        <f t="shared" si="40"/>
        <v>2290</v>
      </c>
      <c r="DH19" s="10"/>
      <c r="DI19" s="10"/>
      <c r="DJ19" s="12">
        <f t="shared" si="35"/>
        <v>2290</v>
      </c>
      <c r="DK19" s="13"/>
      <c r="DL19" s="8">
        <f t="shared" si="18"/>
        <v>44440</v>
      </c>
      <c r="DM19" s="106">
        <f>'[45]BU-4'!$E$35</f>
        <v>27.235416666666666</v>
      </c>
      <c r="DN19" s="106">
        <f>'[45]BU-4'!$F$35</f>
        <v>2.7777777777777776E-2</v>
      </c>
      <c r="DO19" s="106">
        <f>'[45]BU-4'!$G$35</f>
        <v>2.1118055555555553</v>
      </c>
      <c r="DP19" s="106">
        <f>'[45]BU-4'!$H$35</f>
        <v>0.625</v>
      </c>
      <c r="DQ19" s="10"/>
      <c r="DR19" s="10"/>
      <c r="DS19" s="10"/>
      <c r="DT19" s="10"/>
      <c r="DU19" s="10"/>
      <c r="DV19" s="10"/>
      <c r="DW19" s="10"/>
      <c r="DX19" s="10"/>
    </row>
    <row r="20" spans="2:128" ht="15.95" customHeight="1" x14ac:dyDescent="0.2">
      <c r="B20" s="8">
        <v>44470</v>
      </c>
      <c r="C20" s="10">
        <f>+'[47]BU-2'!$E$10</f>
        <v>16359</v>
      </c>
      <c r="D20" s="10">
        <f>+'[47]BU-3'!$F$11</f>
        <v>6722.3858749999981</v>
      </c>
      <c r="E20" s="10">
        <f>+'[47]BU-2'!$E$28</f>
        <v>2190.2109245681386</v>
      </c>
      <c r="F20" s="10">
        <f>+'[47]BU-2'!$E$29</f>
        <v>7558.403450431867</v>
      </c>
      <c r="G20" s="31">
        <f t="shared" si="0"/>
        <v>9748.6143750000047</v>
      </c>
      <c r="H20" s="10">
        <f>+'[47]BU-2'!$E$27</f>
        <v>112</v>
      </c>
      <c r="I20" s="52">
        <f t="shared" si="19"/>
        <v>-2.5000000277941581E-4</v>
      </c>
      <c r="J20" s="8">
        <f t="shared" si="1"/>
        <v>44470</v>
      </c>
      <c r="K20" s="10">
        <f>'[47]BU-2'!$E$11</f>
        <v>91811</v>
      </c>
      <c r="L20" s="10">
        <f>'[47]BU-3'!$F$37</f>
        <v>89086</v>
      </c>
      <c r="M20" s="12">
        <f>'[47]BU-3'!$F$38</f>
        <v>2725</v>
      </c>
      <c r="N20" s="33">
        <f t="shared" si="2"/>
        <v>91811</v>
      </c>
      <c r="O20" s="12">
        <f>'[47]BU-2'!$E$30</f>
        <v>546</v>
      </c>
      <c r="P20" s="10">
        <f>'[47]BU-2'!$E$31</f>
        <v>663</v>
      </c>
      <c r="Q20" s="33">
        <f t="shared" si="3"/>
        <v>1209</v>
      </c>
      <c r="R20" s="10">
        <f>'[47]BU-2'!$E$32</f>
        <v>395</v>
      </c>
      <c r="S20" s="10">
        <f>'[47]BU-2'!$E$33</f>
        <v>0</v>
      </c>
      <c r="T20" s="33">
        <f t="shared" si="4"/>
        <v>395</v>
      </c>
      <c r="U20" s="13">
        <f t="shared" si="20"/>
        <v>-1802</v>
      </c>
      <c r="V20" s="8">
        <f t="shared" si="5"/>
        <v>44470</v>
      </c>
      <c r="W20" s="10">
        <f>[48]Feuil1!$K$40</f>
        <v>35989</v>
      </c>
      <c r="X20" s="10">
        <f>[48]Feuil1!$L$40</f>
        <v>45225</v>
      </c>
      <c r="Y20" s="10">
        <f>[48]Feuil1!$M$40</f>
        <v>212</v>
      </c>
      <c r="Z20" s="10">
        <f>[48]Feuil1!$N$40</f>
        <v>2725</v>
      </c>
      <c r="AA20" s="10">
        <f>[48]Feuil1!$O$40</f>
        <v>5233</v>
      </c>
      <c r="AB20" s="12">
        <f t="shared" si="6"/>
        <v>89384</v>
      </c>
      <c r="AC20" s="10">
        <f>[48]Feuil1!$Q$40</f>
        <v>76529</v>
      </c>
      <c r="AD20" s="10">
        <f>[48]Feuil1!$R$40</f>
        <v>11726</v>
      </c>
      <c r="AE20" s="10">
        <f>[48]Feuil1!$S$40</f>
        <v>0</v>
      </c>
      <c r="AF20" s="18">
        <f>[48]Feuil1!$T$40</f>
        <v>1129</v>
      </c>
      <c r="AG20" s="12">
        <f t="shared" si="7"/>
        <v>89384</v>
      </c>
      <c r="AH20" s="13">
        <f t="shared" si="8"/>
        <v>0</v>
      </c>
      <c r="AI20" s="8">
        <f t="shared" si="9"/>
        <v>44470</v>
      </c>
      <c r="AJ20" s="12">
        <f>'[47]BU-2'!$E$20</f>
        <v>140228</v>
      </c>
      <c r="AK20" s="12">
        <f>'[47]BU-3'!$F$39</f>
        <v>11726</v>
      </c>
      <c r="AL20" s="12">
        <f>'[47]BU-2'!$E$34</f>
        <v>0</v>
      </c>
      <c r="AM20" s="12">
        <f t="shared" si="36"/>
        <v>151954</v>
      </c>
      <c r="AN20" s="12">
        <f>'[47]BU-3'!$F$56</f>
        <v>134675</v>
      </c>
      <c r="AO20" s="10">
        <f>'[47]BU-3'!$F$40</f>
        <v>5233</v>
      </c>
      <c r="AP20" s="10">
        <f>'[47]BU-2'!$E$35</f>
        <v>320</v>
      </c>
      <c r="AQ20" s="12">
        <f t="shared" si="21"/>
        <v>140228</v>
      </c>
      <c r="AR20" s="51">
        <f t="shared" si="22"/>
        <v>0</v>
      </c>
      <c r="AS20" s="8">
        <f t="shared" si="23"/>
        <v>44470</v>
      </c>
      <c r="AT20" s="10">
        <f>'[47]BU-3'!$F$72</f>
        <v>64886</v>
      </c>
      <c r="AU20" s="10">
        <f>'[47]BU-3'!$F$47</f>
        <v>42906</v>
      </c>
      <c r="AV20" s="10">
        <f>[48]Feuil1!$BB$40</f>
        <v>21595</v>
      </c>
      <c r="AW20" s="12">
        <f t="shared" si="24"/>
        <v>129387</v>
      </c>
      <c r="AX20" s="10">
        <f>[48]Feuil1!$BD$40</f>
        <v>45765</v>
      </c>
      <c r="AY20" s="20">
        <f>[48]Feuil1!$BE$40</f>
        <v>45479</v>
      </c>
      <c r="AZ20" s="12">
        <f>[48]Feuil1!$BF$40</f>
        <v>37160</v>
      </c>
      <c r="BA20" s="12">
        <f t="shared" si="25"/>
        <v>128404</v>
      </c>
      <c r="BB20" s="13">
        <f t="shared" si="26"/>
        <v>-983</v>
      </c>
      <c r="BC20" s="8">
        <f t="shared" si="10"/>
        <v>44470</v>
      </c>
      <c r="BD20" s="10">
        <f>'[47]BU-2'!$E$15</f>
        <v>202582</v>
      </c>
      <c r="BE20" s="10">
        <f>'[47]BU-3'!$F$69</f>
        <v>150659</v>
      </c>
      <c r="BF20" s="10">
        <f>'[47]BU-3'!$F$13-BE20</f>
        <v>52095</v>
      </c>
      <c r="BG20" s="10">
        <f>'[47]BU-3'!$F$41</f>
        <v>0</v>
      </c>
      <c r="BH20" s="10">
        <f t="shared" si="27"/>
        <v>202754</v>
      </c>
      <c r="BI20" s="10">
        <f>'[47]BU-2'!$E$17</f>
        <v>52095</v>
      </c>
      <c r="BJ20" s="10">
        <f>'[47]BU-3'!$F$12</f>
        <v>1183</v>
      </c>
      <c r="BK20" s="10">
        <f>'[47]BU-3'!$F$45</f>
        <v>1514</v>
      </c>
      <c r="BL20" s="10">
        <f>[48]Feuil1!$AO$40</f>
        <v>22645</v>
      </c>
      <c r="BM20" s="10">
        <f>[48]Feuil1!$AP$40</f>
        <v>26748</v>
      </c>
      <c r="BN20" s="10">
        <f t="shared" si="42"/>
        <v>52090</v>
      </c>
      <c r="BO20" s="10">
        <f>'[47]BU-2'!$E$18</f>
        <v>49393</v>
      </c>
      <c r="BP20" s="10">
        <f>[48]Feuil1!$AX$40</f>
        <v>21705</v>
      </c>
      <c r="BQ20" s="10">
        <f>'[47]BU-3'!$F$58</f>
        <v>18290</v>
      </c>
      <c r="BR20" s="10">
        <f>'[47]BU-3'!$F$44</f>
        <v>9498</v>
      </c>
      <c r="BS20" s="10"/>
      <c r="BT20" s="10">
        <f t="shared" si="43"/>
        <v>49493</v>
      </c>
      <c r="BU20" s="13">
        <f t="shared" si="28"/>
        <v>100</v>
      </c>
      <c r="BV20" s="13">
        <f t="shared" si="29"/>
        <v>-5</v>
      </c>
      <c r="BW20" s="8">
        <f t="shared" si="12"/>
        <v>44470</v>
      </c>
      <c r="BX20" s="10">
        <f>'[47]BU-2'!$E$19</f>
        <v>8530.1810000000005</v>
      </c>
      <c r="BY20" s="10">
        <f>'[47]BU-3'!$F$46</f>
        <v>26.5</v>
      </c>
      <c r="BZ20" s="10">
        <f>'[47]BU-3'!$F$59</f>
        <v>4316.92</v>
      </c>
      <c r="CA20" s="10">
        <f>'[47]BU-3'!$F$71</f>
        <v>4186.7610000000004</v>
      </c>
      <c r="CB20" s="10">
        <f>'[47]BU-3'!$F$46</f>
        <v>26.5</v>
      </c>
      <c r="CC20" s="11">
        <f t="shared" si="30"/>
        <v>8556.6810000000005</v>
      </c>
      <c r="CD20" s="13">
        <f>+CC20-BX20</f>
        <v>26.5</v>
      </c>
      <c r="CE20" s="8">
        <f t="shared" si="13"/>
        <v>44470</v>
      </c>
      <c r="CF20" s="23">
        <f>'[47]BU-3'!$F$83</f>
        <v>53.420200000000023</v>
      </c>
      <c r="CG20" s="23">
        <f>'[47]BU-3'!$H$83</f>
        <v>0</v>
      </c>
      <c r="CH20" s="23">
        <v>0</v>
      </c>
      <c r="CI20" s="23">
        <f>'[47]BU-3'!$J$83</f>
        <v>0</v>
      </c>
      <c r="CJ20" s="21">
        <f t="shared" si="14"/>
        <v>0</v>
      </c>
      <c r="CK20" s="21">
        <f t="shared" si="15"/>
        <v>53.420200000000023</v>
      </c>
      <c r="CM20" s="8">
        <f t="shared" si="16"/>
        <v>44470</v>
      </c>
      <c r="CN20" s="9">
        <f>'[47]BU-3'!$F$82</f>
        <v>14.227259240000116</v>
      </c>
      <c r="CO20" s="9">
        <f>'[47]BU-3'!$H$82</f>
        <v>40</v>
      </c>
      <c r="CP20" s="9">
        <f>'[47]BU-3'!$J$82</f>
        <v>39.432718919999999</v>
      </c>
      <c r="CQ20" s="11">
        <f t="shared" si="37"/>
        <v>14.794540320000117</v>
      </c>
      <c r="CR20" s="23">
        <f>'[47]BU-3'!$F$84</f>
        <v>12.74163086249979</v>
      </c>
      <c r="CS20" s="23">
        <f>'[47]BU-3'!$H$84</f>
        <v>84.344564999999989</v>
      </c>
      <c r="CT20" s="23">
        <f>'[47]BU-3'!$J$84</f>
        <v>86.6</v>
      </c>
      <c r="CU20" s="21">
        <f t="shared" si="32"/>
        <v>10.486195862499784</v>
      </c>
      <c r="CW20" s="8">
        <f t="shared" si="17"/>
        <v>44470</v>
      </c>
      <c r="CX20" s="12">
        <f t="shared" si="38"/>
        <v>448</v>
      </c>
      <c r="CY20" s="10"/>
      <c r="CZ20" s="10"/>
      <c r="DA20" s="10"/>
      <c r="DB20" s="12">
        <f t="shared" si="33"/>
        <v>448</v>
      </c>
      <c r="DC20" s="12">
        <f t="shared" si="39"/>
        <v>20</v>
      </c>
      <c r="DD20" s="10"/>
      <c r="DE20" s="10"/>
      <c r="DF20" s="12">
        <f t="shared" si="34"/>
        <v>20</v>
      </c>
      <c r="DG20" s="12">
        <f t="shared" si="40"/>
        <v>2290</v>
      </c>
      <c r="DH20" s="10"/>
      <c r="DI20" s="10"/>
      <c r="DJ20" s="12">
        <f t="shared" si="35"/>
        <v>2290</v>
      </c>
      <c r="DK20" s="13"/>
      <c r="DL20" s="8">
        <f t="shared" si="18"/>
        <v>44470</v>
      </c>
      <c r="DM20" s="106">
        <f>'[47]BU-4'!$E$35</f>
        <v>29.992361111111109</v>
      </c>
      <c r="DN20" s="106">
        <f>'[47]BU-4'!$F$35</f>
        <v>3.5416666666666666E-2</v>
      </c>
      <c r="DO20" s="106">
        <f>'[47]BU-4'!$G$35</f>
        <v>0</v>
      </c>
      <c r="DP20" s="106">
        <f>'[47]BU-4'!$H$35</f>
        <v>0.97222222222222221</v>
      </c>
      <c r="DQ20" s="10"/>
      <c r="DR20" s="10"/>
      <c r="DS20" s="10"/>
      <c r="DT20" s="10"/>
      <c r="DU20" s="10"/>
      <c r="DV20" s="10"/>
      <c r="DW20" s="10"/>
      <c r="DX20" s="10"/>
    </row>
    <row r="21" spans="2:128" ht="15.95" customHeight="1" x14ac:dyDescent="0.2">
      <c r="B21" s="8">
        <v>44501</v>
      </c>
      <c r="C21" s="10">
        <f>+'[49]BU-2'!$E$10</f>
        <v>16192</v>
      </c>
      <c r="D21" s="10">
        <f>+'[49]BU-3'!$F$11</f>
        <v>6672.5676250000015</v>
      </c>
      <c r="E21" s="10">
        <f>+'[49]BU-2'!$E$28</f>
        <v>2959.8679410422901</v>
      </c>
      <c r="F21" s="10">
        <f>+'[49]BU-2'!$E$29</f>
        <v>6559.5640000000003</v>
      </c>
      <c r="G21" s="31">
        <f t="shared" si="0"/>
        <v>9519.4319410422904</v>
      </c>
      <c r="H21" s="10">
        <f>+'[49]BU-2'!$E$27</f>
        <v>0</v>
      </c>
      <c r="I21" s="52">
        <f t="shared" si="19"/>
        <v>4.3395770808274392E-4</v>
      </c>
      <c r="J21" s="8">
        <f t="shared" si="1"/>
        <v>44501</v>
      </c>
      <c r="K21" s="10">
        <f>'[49]BU-2'!$E$11</f>
        <v>88554</v>
      </c>
      <c r="L21" s="10">
        <f>'[49]BU-3'!$F$37</f>
        <v>86767</v>
      </c>
      <c r="M21" s="12">
        <f>'[49]BU-3'!$F$38</f>
        <v>1787</v>
      </c>
      <c r="N21" s="33">
        <f t="shared" si="2"/>
        <v>88554</v>
      </c>
      <c r="O21" s="12">
        <f>'[49]BU-2'!$E$30</f>
        <v>377</v>
      </c>
      <c r="P21" s="10">
        <f>'[49]BU-2'!$E$31</f>
        <v>0</v>
      </c>
      <c r="Q21" s="33">
        <f t="shared" si="3"/>
        <v>377</v>
      </c>
      <c r="R21" s="10">
        <f>'[49]BU-2'!$E$32</f>
        <v>0</v>
      </c>
      <c r="S21" s="10">
        <f>'[49]BU-2'!$E$33</f>
        <v>0</v>
      </c>
      <c r="T21" s="33">
        <f t="shared" si="4"/>
        <v>0</v>
      </c>
      <c r="U21" s="13">
        <f t="shared" si="20"/>
        <v>-814</v>
      </c>
      <c r="V21" s="8">
        <f t="shared" si="5"/>
        <v>44501</v>
      </c>
      <c r="W21" s="10">
        <f>[50]Feuil1!$K$40</f>
        <v>35565</v>
      </c>
      <c r="X21" s="10">
        <f>[50]Feuil1!$L$40</f>
        <v>47257</v>
      </c>
      <c r="Y21" s="10">
        <f>[50]Feuil1!$M$40</f>
        <v>0</v>
      </c>
      <c r="Z21" s="10">
        <f>[50]Feuil1!$N$40</f>
        <v>1787</v>
      </c>
      <c r="AA21" s="10">
        <f>[50]Feuil1!$O$40</f>
        <v>5100</v>
      </c>
      <c r="AB21" s="12">
        <f t="shared" si="6"/>
        <v>89709</v>
      </c>
      <c r="AC21" s="10">
        <f>[50]Feuil1!$Q$40</f>
        <v>79489</v>
      </c>
      <c r="AD21" s="10">
        <f>[50]Feuil1!$R$40</f>
        <v>10060</v>
      </c>
      <c r="AE21" s="10">
        <f>[50]Feuil1!$S$40</f>
        <v>0</v>
      </c>
      <c r="AF21" s="18">
        <f>[50]Feuil1!$T$40</f>
        <v>160</v>
      </c>
      <c r="AG21" s="12">
        <f t="shared" si="7"/>
        <v>89709</v>
      </c>
      <c r="AH21" s="13">
        <f t="shared" si="8"/>
        <v>0</v>
      </c>
      <c r="AI21" s="8">
        <f t="shared" si="9"/>
        <v>44501</v>
      </c>
      <c r="AJ21" s="12">
        <f>'[49]BU-2'!$E$20</f>
        <v>138023</v>
      </c>
      <c r="AK21" s="12">
        <f>'[49]BU-3'!$F$39</f>
        <v>10060</v>
      </c>
      <c r="AL21" s="12">
        <f>'[49]BU-2'!$E$34</f>
        <v>0</v>
      </c>
      <c r="AM21" s="12">
        <f t="shared" si="36"/>
        <v>148083</v>
      </c>
      <c r="AN21" s="12">
        <f>'[49]BU-3'!$F$56</f>
        <v>132794</v>
      </c>
      <c r="AO21" s="10">
        <f>'[49]BU-3'!$F$40</f>
        <v>5100</v>
      </c>
      <c r="AP21" s="10">
        <f>'[49]BU-2'!$E$35</f>
        <v>129</v>
      </c>
      <c r="AQ21" s="12">
        <f t="shared" si="21"/>
        <v>138023</v>
      </c>
      <c r="AR21" s="51">
        <f t="shared" si="22"/>
        <v>0</v>
      </c>
      <c r="AS21" s="8">
        <f t="shared" si="23"/>
        <v>44501</v>
      </c>
      <c r="AT21" s="10">
        <f>'[49]BU-3'!$F$72</f>
        <v>73075</v>
      </c>
      <c r="AU21" s="10">
        <f>'[49]BU-3'!$F$47</f>
        <v>39510</v>
      </c>
      <c r="AV21" s="10">
        <f>[50]Feuil1!$BB$40</f>
        <v>15423</v>
      </c>
      <c r="AW21" s="12">
        <f t="shared" si="24"/>
        <v>128008</v>
      </c>
      <c r="AX21" s="10">
        <f>[50]Feuil1!$BD$40</f>
        <v>29392</v>
      </c>
      <c r="AY21" s="20">
        <f>[50]Feuil1!$BE$40</f>
        <v>41456</v>
      </c>
      <c r="AZ21" s="12">
        <f>[50]Feuil1!$BF$40</f>
        <v>57160</v>
      </c>
      <c r="BA21" s="12">
        <f t="shared" si="25"/>
        <v>128008</v>
      </c>
      <c r="BB21" s="13">
        <f t="shared" si="26"/>
        <v>0</v>
      </c>
      <c r="BC21" s="8">
        <f t="shared" si="10"/>
        <v>44501</v>
      </c>
      <c r="BD21" s="10">
        <f>'[49]BU-2'!$E$15</f>
        <v>179583</v>
      </c>
      <c r="BE21" s="10">
        <f>'[49]BU-3'!$F$69</f>
        <v>133365</v>
      </c>
      <c r="BF21" s="10">
        <f>'[49]BU-3'!$F$13-BE21</f>
        <v>45618</v>
      </c>
      <c r="BG21" s="10">
        <f>'[49]BU-3'!$F$41</f>
        <v>0</v>
      </c>
      <c r="BH21" s="10">
        <f t="shared" si="27"/>
        <v>178983</v>
      </c>
      <c r="BI21" s="10">
        <f>'[49]BU-2'!$E$17</f>
        <v>45618</v>
      </c>
      <c r="BJ21" s="10">
        <f>'[49]BU-3'!$F$12</f>
        <v>1085</v>
      </c>
      <c r="BK21" s="10">
        <f>'[49]BU-3'!$F$45</f>
        <v>1136</v>
      </c>
      <c r="BL21" s="10">
        <f>[50]Feuil1!$AO$40</f>
        <v>23104</v>
      </c>
      <c r="BM21" s="10">
        <f>[50]Feuil1!$AP$40</f>
        <v>20288</v>
      </c>
      <c r="BN21" s="10">
        <f t="shared" si="42"/>
        <v>45613</v>
      </c>
      <c r="BO21" s="10">
        <f>'[49]BU-2'!$E$18</f>
        <v>43392</v>
      </c>
      <c r="BP21" s="10">
        <f>[50]Feuil1!$AX$40</f>
        <v>15493</v>
      </c>
      <c r="BQ21" s="10">
        <f>'[49]BU-3'!$F$58</f>
        <v>19069</v>
      </c>
      <c r="BR21" s="10">
        <f>'[49]BU-3'!$F$44</f>
        <v>8700</v>
      </c>
      <c r="BS21" s="10"/>
      <c r="BT21" s="10">
        <f t="shared" si="43"/>
        <v>43262</v>
      </c>
      <c r="BU21" s="13">
        <f t="shared" si="28"/>
        <v>-130</v>
      </c>
      <c r="BV21" s="13">
        <f t="shared" si="29"/>
        <v>-5</v>
      </c>
      <c r="BW21" s="8">
        <f t="shared" si="12"/>
        <v>44501</v>
      </c>
      <c r="BX21" s="10">
        <f>'[49]BU-2'!$E$19</f>
        <v>8351.875</v>
      </c>
      <c r="BY21" s="10">
        <f>'[49]BU-3'!$F$46</f>
        <v>0</v>
      </c>
      <c r="BZ21" s="10">
        <f>'[49]BU-3'!$F$59</f>
        <v>4156.9530000000004</v>
      </c>
      <c r="CA21" s="10">
        <f>'[49]BU-3'!$F$71</f>
        <v>4194.9219999999996</v>
      </c>
      <c r="CB21" s="10">
        <f>'[49]BU-3'!$F$46</f>
        <v>0</v>
      </c>
      <c r="CC21" s="11">
        <f t="shared" si="30"/>
        <v>8351.875</v>
      </c>
      <c r="CD21" s="13">
        <f t="shared" si="31"/>
        <v>0</v>
      </c>
      <c r="CE21" s="8">
        <f t="shared" si="13"/>
        <v>44501</v>
      </c>
      <c r="CF21" s="23">
        <f>'[49]BU-3'!$F$83</f>
        <v>53.420200000000023</v>
      </c>
      <c r="CG21" s="23">
        <f>'[49]BU-3'!$H$83</f>
        <v>0</v>
      </c>
      <c r="CH21" s="23">
        <v>0</v>
      </c>
      <c r="CI21" s="23">
        <f>'[49]BU-3'!$J$83</f>
        <v>0</v>
      </c>
      <c r="CJ21" s="21">
        <f t="shared" si="14"/>
        <v>0</v>
      </c>
      <c r="CK21" s="21">
        <f t="shared" si="15"/>
        <v>53.420200000000023</v>
      </c>
      <c r="CM21" s="8">
        <f t="shared" si="16"/>
        <v>44501</v>
      </c>
      <c r="CN21" s="9">
        <f>'[49]BU-3'!$F$82</f>
        <v>14.794540320000117</v>
      </c>
      <c r="CO21" s="9">
        <f>'[49]BU-3'!$H$82</f>
        <v>36.76</v>
      </c>
      <c r="CP21" s="9">
        <f>'[49]BU-3'!$J$82</f>
        <v>40.038188399999996</v>
      </c>
      <c r="CQ21" s="11">
        <f t="shared" si="37"/>
        <v>11.516351920000119</v>
      </c>
      <c r="CR21" s="23">
        <f>'[49]BU-3'!$F$84</f>
        <v>10.486195862499784</v>
      </c>
      <c r="CS21" s="23">
        <f>'[49]BU-3'!$H$84</f>
        <v>90.348632499999994</v>
      </c>
      <c r="CT21" s="23">
        <f>'[49]BU-3'!$J$84</f>
        <v>88</v>
      </c>
      <c r="CU21" s="21">
        <f t="shared" si="32"/>
        <v>12.834828362499778</v>
      </c>
      <c r="CW21" s="8">
        <f t="shared" si="17"/>
        <v>44501</v>
      </c>
      <c r="CX21" s="12">
        <f t="shared" si="38"/>
        <v>448</v>
      </c>
      <c r="CY21" s="10"/>
      <c r="CZ21" s="10"/>
      <c r="DA21" s="10"/>
      <c r="DB21" s="12">
        <f t="shared" si="33"/>
        <v>448</v>
      </c>
      <c r="DC21" s="12">
        <f t="shared" si="39"/>
        <v>20</v>
      </c>
      <c r="DD21" s="10"/>
      <c r="DE21" s="10"/>
      <c r="DF21" s="12">
        <f t="shared" si="34"/>
        <v>20</v>
      </c>
      <c r="DG21" s="12">
        <f t="shared" si="40"/>
        <v>2290</v>
      </c>
      <c r="DH21" s="10"/>
      <c r="DI21" s="10"/>
      <c r="DJ21" s="12">
        <f t="shared" si="35"/>
        <v>2290</v>
      </c>
      <c r="DK21" s="13"/>
      <c r="DL21" s="8">
        <f t="shared" si="18"/>
        <v>44501</v>
      </c>
      <c r="DM21" s="106">
        <f>'[49]BU-4'!$E$35</f>
        <v>30</v>
      </c>
      <c r="DN21" s="106">
        <f>'[49]BU-4'!$F$35</f>
        <v>0</v>
      </c>
      <c r="DO21" s="106">
        <f>'[49]BU-4'!$G$35</f>
        <v>0</v>
      </c>
      <c r="DP21" s="106">
        <f>'[49]BU-4'!$H$35</f>
        <v>0</v>
      </c>
      <c r="DQ21" s="10"/>
      <c r="DR21" s="10"/>
      <c r="DS21" s="10"/>
      <c r="DT21" s="10"/>
      <c r="DU21" s="10"/>
      <c r="DV21" s="10"/>
      <c r="DW21" s="10"/>
      <c r="DX21" s="10"/>
    </row>
    <row r="22" spans="2:128" ht="15.95" customHeight="1" x14ac:dyDescent="0.2">
      <c r="B22" s="8">
        <v>44531</v>
      </c>
      <c r="C22" s="10">
        <f>+'[51]BU-2'!$E$10</f>
        <v>16375</v>
      </c>
      <c r="D22" s="10">
        <f>+'[51]BU-3'!$F$11</f>
        <v>6742.6100000000024</v>
      </c>
      <c r="E22" s="10">
        <f>+'[51]BU-2'!$E$28</f>
        <v>0</v>
      </c>
      <c r="F22" s="10">
        <f>+'[51]BU-2'!$E$29</f>
        <v>0</v>
      </c>
      <c r="G22" s="31">
        <f t="shared" si="0"/>
        <v>0</v>
      </c>
      <c r="H22" s="10">
        <f>+'[51]BU-2'!$E$27</f>
        <v>83</v>
      </c>
      <c r="I22" s="52">
        <f t="shared" si="19"/>
        <v>9715.3899999999976</v>
      </c>
      <c r="J22" s="8">
        <f t="shared" si="1"/>
        <v>44531</v>
      </c>
      <c r="K22" s="10">
        <f>'[51]BU-2'!$E$11</f>
        <v>91573</v>
      </c>
      <c r="L22" s="10">
        <f>'[51]BU-3'!$F$37</f>
        <v>88266</v>
      </c>
      <c r="M22" s="12">
        <f>'[51]BU-3'!$F$38</f>
        <v>3307</v>
      </c>
      <c r="N22" s="33">
        <f t="shared" si="2"/>
        <v>91573</v>
      </c>
      <c r="O22" s="12">
        <f>'[51]BU-2'!$E$30</f>
        <v>253</v>
      </c>
      <c r="P22" s="10">
        <f>'[51]BU-2'!$E$31</f>
        <v>0</v>
      </c>
      <c r="Q22" s="33">
        <f t="shared" si="3"/>
        <v>253</v>
      </c>
      <c r="R22" s="10">
        <f>'[51]BU-2'!$E$32</f>
        <v>262</v>
      </c>
      <c r="S22" s="10">
        <f>'[51]BU-2'!$E$33</f>
        <v>0</v>
      </c>
      <c r="T22" s="33">
        <f t="shared" si="4"/>
        <v>262</v>
      </c>
      <c r="U22" s="13">
        <f t="shared" si="20"/>
        <v>-377</v>
      </c>
      <c r="V22" s="8">
        <f t="shared" si="5"/>
        <v>44531</v>
      </c>
      <c r="W22" s="10">
        <f>[52]Feuil1!$K$40</f>
        <v>36055</v>
      </c>
      <c r="X22" s="10">
        <f>[52]Feuil1!$L$40</f>
        <v>46180</v>
      </c>
      <c r="Y22" s="10">
        <f>[52]Feuil1!$M$40</f>
        <v>0</v>
      </c>
      <c r="Z22" s="10">
        <f>[52]Feuil1!$N$40</f>
        <v>3307</v>
      </c>
      <c r="AA22" s="10">
        <f>[52]Feuil1!$O$40</f>
        <v>5030</v>
      </c>
      <c r="AB22" s="12">
        <f t="shared" si="6"/>
        <v>90572</v>
      </c>
      <c r="AC22" s="10">
        <f>[52]Feuil1!$Q$40</f>
        <v>80320</v>
      </c>
      <c r="AD22" s="10">
        <f>[52]Feuil1!$R$40</f>
        <v>10054</v>
      </c>
      <c r="AE22" s="10">
        <f>[52]Feuil1!$S$40</f>
        <v>0</v>
      </c>
      <c r="AF22" s="18">
        <f>[52]Feuil1!$T$40</f>
        <v>366</v>
      </c>
      <c r="AG22" s="12">
        <f t="shared" si="7"/>
        <v>90740</v>
      </c>
      <c r="AH22" s="13">
        <f t="shared" si="8"/>
        <v>168</v>
      </c>
      <c r="AI22" s="8">
        <f t="shared" si="9"/>
        <v>44531</v>
      </c>
      <c r="AJ22" s="12">
        <f>'[51]BU-2'!$E$20</f>
        <v>141042</v>
      </c>
      <c r="AK22" s="12">
        <f>'[51]BU-3'!$F$39</f>
        <v>10054</v>
      </c>
      <c r="AL22" s="12">
        <f>'[51]BU-2'!$E$34</f>
        <v>0</v>
      </c>
      <c r="AM22" s="12">
        <f t="shared" si="36"/>
        <v>151096</v>
      </c>
      <c r="AN22" s="12">
        <f>'[51]BU-3'!$F$56</f>
        <v>135112</v>
      </c>
      <c r="AO22" s="10">
        <f>'[51]BU-3'!$F$40</f>
        <v>5030</v>
      </c>
      <c r="AP22" s="10">
        <f>'[51]BU-2'!$E$35</f>
        <v>900</v>
      </c>
      <c r="AQ22" s="12">
        <f t="shared" si="21"/>
        <v>141042</v>
      </c>
      <c r="AR22" s="51">
        <f t="shared" si="22"/>
        <v>0</v>
      </c>
      <c r="AS22" s="8">
        <f t="shared" si="23"/>
        <v>44531</v>
      </c>
      <c r="AT22" s="10">
        <f>'[51]BU-3'!$F$72</f>
        <v>68605</v>
      </c>
      <c r="AU22" s="10">
        <f>'[51]BU-3'!$F$47</f>
        <v>42012</v>
      </c>
      <c r="AV22" s="10">
        <f>[52]Feuil1!$BB$40</f>
        <v>20416</v>
      </c>
      <c r="AW22" s="12">
        <f t="shared" si="24"/>
        <v>131033</v>
      </c>
      <c r="AX22" s="10">
        <f>[52]Feuil1!$BD$40</f>
        <v>57122</v>
      </c>
      <c r="AY22" s="20">
        <f>[52]Feuil1!$BE$40</f>
        <v>41835</v>
      </c>
      <c r="AZ22" s="12">
        <f>[52]Feuil1!$BF$40</f>
        <v>32076</v>
      </c>
      <c r="BA22" s="12">
        <f t="shared" si="25"/>
        <v>131033</v>
      </c>
      <c r="BB22" s="13">
        <f t="shared" si="26"/>
        <v>0</v>
      </c>
      <c r="BC22" s="8">
        <f t="shared" si="10"/>
        <v>44531</v>
      </c>
      <c r="BD22" s="10">
        <f>'[51]BU-2'!$E$15</f>
        <v>186204</v>
      </c>
      <c r="BE22" s="10">
        <f>'[51]BU-3'!$F$69</f>
        <v>134480</v>
      </c>
      <c r="BF22" s="10">
        <f>'[51]BU-3'!$F$13-BE22</f>
        <v>51651</v>
      </c>
      <c r="BG22" s="10">
        <f>'[51]BU-3'!$F$41</f>
        <v>0</v>
      </c>
      <c r="BH22" s="10">
        <f t="shared" si="27"/>
        <v>186131</v>
      </c>
      <c r="BI22" s="10">
        <f>'[51]BU-2'!$E$17</f>
        <v>51651</v>
      </c>
      <c r="BJ22" s="10">
        <f>'[51]BU-3'!$F$12</f>
        <v>1164</v>
      </c>
      <c r="BK22" s="10">
        <f>'[51]BU-3'!$F$45</f>
        <v>1563</v>
      </c>
      <c r="BL22" s="10">
        <f>[52]Feuil1!$AO$40</f>
        <v>26027</v>
      </c>
      <c r="BM22" s="10">
        <f>[52]Feuil1!$AP$40</f>
        <v>22832</v>
      </c>
      <c r="BN22" s="10">
        <f t="shared" si="42"/>
        <v>51586</v>
      </c>
      <c r="BO22" s="10">
        <f>'[51]BU-2'!$E$18</f>
        <v>48859</v>
      </c>
      <c r="BP22" s="10">
        <f>[52]Feuil1!$AX$40</f>
        <v>20526</v>
      </c>
      <c r="BQ22" s="10">
        <f>'[51]BU-3'!$F$58</f>
        <v>19374</v>
      </c>
      <c r="BR22" s="10">
        <f>'[51]BU-3'!$F$44</f>
        <v>8942</v>
      </c>
      <c r="BS22" s="10"/>
      <c r="BT22" s="10">
        <f t="shared" si="43"/>
        <v>48842</v>
      </c>
      <c r="BU22" s="13">
        <f t="shared" si="28"/>
        <v>-17</v>
      </c>
      <c r="BV22" s="13">
        <f t="shared" si="29"/>
        <v>-65</v>
      </c>
      <c r="BW22" s="8">
        <f t="shared" si="12"/>
        <v>44531</v>
      </c>
      <c r="BX22" s="10">
        <f>'[51]BU-2'!$E$19</f>
        <v>8535.99</v>
      </c>
      <c r="BY22" s="10">
        <f>'[51]BU-3'!$F$46</f>
        <v>0</v>
      </c>
      <c r="BZ22" s="10">
        <f>'[51]BU-3'!$F$59</f>
        <v>3663.3029999999999</v>
      </c>
      <c r="CA22" s="10">
        <f>'[51]BU-3'!$F$71</f>
        <v>4872.6869999999999</v>
      </c>
      <c r="CB22" s="10">
        <f>'[51]BU-3'!$F$46</f>
        <v>0</v>
      </c>
      <c r="CC22" s="11">
        <f t="shared" si="30"/>
        <v>8535.99</v>
      </c>
      <c r="CD22" s="13">
        <f t="shared" si="31"/>
        <v>0</v>
      </c>
      <c r="CE22" s="8">
        <f t="shared" si="13"/>
        <v>44531</v>
      </c>
      <c r="CF22" s="23">
        <f>'[51]BU-3'!$F$83</f>
        <v>53.420200000000023</v>
      </c>
      <c r="CG22" s="23">
        <f>'[51]BU-3'!$H$83</f>
        <v>0</v>
      </c>
      <c r="CH22" s="23">
        <v>0</v>
      </c>
      <c r="CI22" s="23">
        <f>'[51]BU-3'!$J$83</f>
        <v>0</v>
      </c>
      <c r="CJ22" s="21">
        <f t="shared" si="14"/>
        <v>0</v>
      </c>
      <c r="CK22" s="21">
        <f t="shared" si="15"/>
        <v>53.420200000000023</v>
      </c>
      <c r="CM22" s="8">
        <f t="shared" si="16"/>
        <v>44531</v>
      </c>
      <c r="CN22" s="9">
        <f>'[51]BU-3'!$F$82</f>
        <v>14.794540320000117</v>
      </c>
      <c r="CO22" s="9">
        <f>'[51]BU-3'!$H$82</f>
        <v>36.76</v>
      </c>
      <c r="CP22" s="9">
        <f>'[51]BU-3'!$J$82</f>
        <v>41.432841240000002</v>
      </c>
      <c r="CQ22" s="11">
        <f t="shared" si="37"/>
        <v>10.121699080000113</v>
      </c>
      <c r="CR22" s="23">
        <f>'[51]BU-3'!$F$84</f>
        <v>10.486195862499784</v>
      </c>
      <c r="CS22" s="23">
        <f>'[51]BU-3'!$H$84</f>
        <v>82.744678750000006</v>
      </c>
      <c r="CT22" s="23">
        <f>'[51]BU-3'!$J$84</f>
        <v>88</v>
      </c>
      <c r="CU22" s="21">
        <f t="shared" si="32"/>
        <v>5.2308746124997896</v>
      </c>
      <c r="CW22" s="8">
        <f t="shared" si="17"/>
        <v>44531</v>
      </c>
      <c r="CX22" s="12">
        <f t="shared" si="38"/>
        <v>448</v>
      </c>
      <c r="CY22" s="10"/>
      <c r="CZ22" s="10"/>
      <c r="DA22" s="10"/>
      <c r="DB22" s="12">
        <f t="shared" si="33"/>
        <v>448</v>
      </c>
      <c r="DC22" s="12">
        <f t="shared" si="39"/>
        <v>20</v>
      </c>
      <c r="DD22" s="10"/>
      <c r="DE22" s="10"/>
      <c r="DF22" s="12">
        <f t="shared" si="34"/>
        <v>20</v>
      </c>
      <c r="DG22" s="12">
        <f t="shared" si="40"/>
        <v>2290</v>
      </c>
      <c r="DH22" s="10"/>
      <c r="DI22" s="10"/>
      <c r="DJ22" s="12">
        <f t="shared" si="35"/>
        <v>2290</v>
      </c>
      <c r="DK22" s="13"/>
      <c r="DL22" s="8">
        <f t="shared" si="18"/>
        <v>44531</v>
      </c>
      <c r="DM22" s="106">
        <f>'[51]BU-4'!E35</f>
        <v>30.159722222222225</v>
      </c>
      <c r="DN22" s="106">
        <f>'[51]BU-4'!F35</f>
        <v>0</v>
      </c>
      <c r="DO22" s="106">
        <f>'[51]BU-4'!G35</f>
        <v>0.21805555555555556</v>
      </c>
      <c r="DP22" s="106">
        <f>'[51]BU-4'!H35</f>
        <v>0.75</v>
      </c>
      <c r="DQ22" s="10"/>
      <c r="DR22" s="10"/>
      <c r="DS22" s="10"/>
      <c r="DT22" s="10"/>
      <c r="DU22" s="10"/>
      <c r="DV22" s="10"/>
      <c r="DW22" s="10"/>
      <c r="DX22" s="10"/>
    </row>
    <row r="23" spans="2:128" ht="15.95" customHeight="1" x14ac:dyDescent="0.25">
      <c r="B23" s="30" t="s">
        <v>5</v>
      </c>
      <c r="C23" s="31">
        <f>SUM(C11:C22)</f>
        <v>188492</v>
      </c>
      <c r="D23" s="31">
        <f>SUM(D11:D22)</f>
        <v>79887.129812499974</v>
      </c>
      <c r="E23" s="31">
        <f>SUM(E11:E22)</f>
        <v>27818.738572203933</v>
      </c>
      <c r="F23" s="31">
        <f>SUM(F11:F22)</f>
        <v>63823.973931338347</v>
      </c>
      <c r="G23" s="31">
        <f t="shared" ref="G23" si="44">SUM(E23:F23)</f>
        <v>91642.71250354228</v>
      </c>
      <c r="H23" s="31">
        <f>SUM(H11:H22)</f>
        <v>1412.9000000000015</v>
      </c>
      <c r="I23"/>
      <c r="J23" s="8" t="s">
        <v>5</v>
      </c>
      <c r="K23" s="31">
        <f>SUM(K11:K22)</f>
        <v>1083933</v>
      </c>
      <c r="L23" s="31">
        <f t="shared" ref="L23:T23" si="45">SUM(L11:L22)</f>
        <v>1038470</v>
      </c>
      <c r="M23" s="31">
        <f t="shared" si="45"/>
        <v>45463</v>
      </c>
      <c r="N23" s="31">
        <f t="shared" si="45"/>
        <v>1083933</v>
      </c>
      <c r="O23" s="31">
        <f t="shared" si="45"/>
        <v>22330</v>
      </c>
      <c r="P23" s="31">
        <f t="shared" si="45"/>
        <v>10277</v>
      </c>
      <c r="Q23" s="31">
        <f t="shared" si="45"/>
        <v>32607</v>
      </c>
      <c r="R23" s="31">
        <f t="shared" si="45"/>
        <v>2338</v>
      </c>
      <c r="S23" s="31">
        <f t="shared" si="45"/>
        <v>0</v>
      </c>
      <c r="T23" s="31">
        <f t="shared" si="45"/>
        <v>2338</v>
      </c>
      <c r="U23" s="13">
        <f t="shared" si="20"/>
        <v>9</v>
      </c>
      <c r="V23" s="8" t="s">
        <v>5</v>
      </c>
      <c r="W23" s="12">
        <f>SUM(W11:W22)</f>
        <v>429427</v>
      </c>
      <c r="X23" s="12">
        <f>SUM(X11:X22)</f>
        <v>575253</v>
      </c>
      <c r="Y23" s="12"/>
      <c r="Z23" s="12">
        <f>SUM(W23:X23)</f>
        <v>1004680</v>
      </c>
      <c r="AA23" s="12" t="e">
        <f>+#REF!</f>
        <v>#REF!</v>
      </c>
      <c r="AB23" s="12">
        <f>SUM(AB11:AB22)</f>
        <v>1116279</v>
      </c>
      <c r="AC23" s="12">
        <f t="shared" ref="AC23:AD23" si="46">SUM(AC11:AC22)</f>
        <v>926513</v>
      </c>
      <c r="AD23" s="12">
        <f t="shared" si="46"/>
        <v>132015</v>
      </c>
      <c r="AE23" s="12">
        <f>SUM(AE11:AE22)</f>
        <v>0</v>
      </c>
      <c r="AF23" s="12">
        <f>SUM(AF11:AF22)</f>
        <v>58220</v>
      </c>
      <c r="AG23" s="12">
        <f t="shared" ref="AG23" si="47">SUM(AC23:AE23)</f>
        <v>1058528</v>
      </c>
      <c r="AI23" s="8" t="s">
        <v>5</v>
      </c>
      <c r="AJ23" s="12">
        <f>SUM(AJ11:AJ22)</f>
        <v>1720537</v>
      </c>
      <c r="AK23" s="12">
        <f t="shared" ref="AK23:BA23" si="48">SUM(AK11:AK22)</f>
        <v>132015</v>
      </c>
      <c r="AL23" s="12">
        <f t="shared" si="48"/>
        <v>54</v>
      </c>
      <c r="AM23" s="12">
        <f>SUM(AM11:AM22)</f>
        <v>1852606</v>
      </c>
      <c r="AN23" s="12">
        <f t="shared" si="48"/>
        <v>1648685</v>
      </c>
      <c r="AO23" s="12">
        <f t="shared" si="48"/>
        <v>63609</v>
      </c>
      <c r="AP23" s="12">
        <f t="shared" si="48"/>
        <v>8243</v>
      </c>
      <c r="AQ23" s="11">
        <f t="shared" si="48"/>
        <v>1720537</v>
      </c>
      <c r="AR23"/>
      <c r="AS23" s="8" t="s">
        <v>5</v>
      </c>
      <c r="AT23" s="12">
        <f t="shared" si="48"/>
        <v>805948</v>
      </c>
      <c r="AU23" s="12">
        <f t="shared" si="48"/>
        <v>459958</v>
      </c>
      <c r="AV23" s="12">
        <f t="shared" si="48"/>
        <v>324317</v>
      </c>
      <c r="AW23" s="12">
        <f t="shared" si="48"/>
        <v>1590223</v>
      </c>
      <c r="AX23" s="12">
        <f t="shared" si="48"/>
        <v>546307</v>
      </c>
      <c r="AY23" s="12">
        <f t="shared" si="48"/>
        <v>544704</v>
      </c>
      <c r="AZ23" s="12">
        <f t="shared" si="48"/>
        <v>497453</v>
      </c>
      <c r="BA23" s="12">
        <f t="shared" si="48"/>
        <v>1588464</v>
      </c>
      <c r="BC23" s="8" t="s">
        <v>5</v>
      </c>
      <c r="BD23" s="12">
        <f>SUM(BD11:BD22)</f>
        <v>2518636</v>
      </c>
      <c r="BE23" s="12">
        <f t="shared" ref="BE23:BS23" si="49">SUM(BE11:BE22)</f>
        <v>1818803</v>
      </c>
      <c r="BF23" s="12">
        <f t="shared" si="49"/>
        <v>698771</v>
      </c>
      <c r="BG23" s="12">
        <f t="shared" si="49"/>
        <v>0</v>
      </c>
      <c r="BH23" s="12">
        <f>SUM(BH11:BH22)</f>
        <v>2517574</v>
      </c>
      <c r="BI23" s="12">
        <f t="shared" si="49"/>
        <v>698771</v>
      </c>
      <c r="BJ23" s="12">
        <f t="shared" si="49"/>
        <v>16999</v>
      </c>
      <c r="BK23" s="12">
        <f t="shared" si="49"/>
        <v>18027</v>
      </c>
      <c r="BL23" s="12">
        <f t="shared" si="49"/>
        <v>351207</v>
      </c>
      <c r="BM23" s="12">
        <f t="shared" si="49"/>
        <v>312283</v>
      </c>
      <c r="BN23" s="12">
        <f>SUM(BN11:BN22)</f>
        <v>698516</v>
      </c>
      <c r="BO23" s="12">
        <f t="shared" si="49"/>
        <v>663490</v>
      </c>
      <c r="BP23" s="12">
        <f t="shared" si="49"/>
        <v>324627</v>
      </c>
      <c r="BQ23" s="12">
        <f t="shared" si="49"/>
        <v>230102</v>
      </c>
      <c r="BR23" s="12">
        <f t="shared" si="49"/>
        <v>108284</v>
      </c>
      <c r="BS23" s="12">
        <f t="shared" si="49"/>
        <v>0</v>
      </c>
      <c r="BT23" s="12">
        <f>SUM(BT11:BT22)</f>
        <v>663013</v>
      </c>
      <c r="BW23" s="8" t="s">
        <v>5</v>
      </c>
      <c r="BX23" s="12">
        <f t="shared" ref="BX23:CC23" si="50">SUM(BX11:BX22)</f>
        <v>101818.70800000001</v>
      </c>
      <c r="BY23" s="12">
        <f t="shared" si="50"/>
        <v>26.5</v>
      </c>
      <c r="BZ23" s="12">
        <f t="shared" si="50"/>
        <v>48208.123999999996</v>
      </c>
      <c r="CA23" s="12">
        <f t="shared" si="50"/>
        <v>53584.083999999995</v>
      </c>
      <c r="CB23" s="12">
        <f t="shared" si="50"/>
        <v>26.5</v>
      </c>
      <c r="CC23" s="12">
        <f t="shared" si="50"/>
        <v>101845.208</v>
      </c>
      <c r="CE23" s="8" t="s">
        <v>5</v>
      </c>
      <c r="CF23" s="21"/>
      <c r="CG23" s="21">
        <f t="shared" ref="CG23:CJ23" si="51">SUM(CG11:CG22)</f>
        <v>0</v>
      </c>
      <c r="CH23" s="21">
        <f t="shared" si="51"/>
        <v>0</v>
      </c>
      <c r="CI23" s="21">
        <f t="shared" si="51"/>
        <v>0</v>
      </c>
      <c r="CJ23" s="21">
        <f t="shared" si="51"/>
        <v>0</v>
      </c>
      <c r="CK23" s="21">
        <f t="shared" si="15"/>
        <v>0</v>
      </c>
      <c r="CM23" s="8" t="s">
        <v>5</v>
      </c>
      <c r="CN23" s="11"/>
      <c r="CO23" s="21">
        <f>SUM(CO11:CO22)</f>
        <v>480.76</v>
      </c>
      <c r="CP23" s="21">
        <f>SUM(CP11:CP22)</f>
        <v>490.67832828000007</v>
      </c>
      <c r="CQ23" s="11">
        <f>+CQ22</f>
        <v>10.121699080000113</v>
      </c>
      <c r="CR23" s="11">
        <f>+CR11</f>
        <v>12.721327737499877</v>
      </c>
      <c r="CS23" s="21">
        <f>SUM(CS11:CS22)</f>
        <v>1086.0081793750001</v>
      </c>
      <c r="CT23" s="21">
        <f>SUM(CT11:CT22)</f>
        <v>1091.1500000000001</v>
      </c>
      <c r="CU23" s="21">
        <f>+CR23+CS23-CT23</f>
        <v>7.5795071124998685</v>
      </c>
      <c r="CW23" s="8" t="s">
        <v>5</v>
      </c>
      <c r="CX23" s="12">
        <f>+CX11</f>
        <v>448</v>
      </c>
      <c r="CY23" s="12">
        <f>SUM(CY11:CY22)</f>
        <v>0</v>
      </c>
      <c r="CZ23" s="12">
        <f>SUM(CZ11:CZ22)</f>
        <v>0</v>
      </c>
      <c r="DA23" s="12">
        <f>SUM(DA11:DA22)</f>
        <v>0</v>
      </c>
      <c r="DB23" s="12">
        <f t="shared" si="33"/>
        <v>448</v>
      </c>
      <c r="DC23" s="12">
        <f>+DC11</f>
        <v>20</v>
      </c>
      <c r="DD23" s="12">
        <f>SUM(DD11:DD22)</f>
        <v>0</v>
      </c>
      <c r="DE23" s="12">
        <f>SUM(DE11:DE22)</f>
        <v>0</v>
      </c>
      <c r="DF23" s="12">
        <f t="shared" si="34"/>
        <v>20</v>
      </c>
      <c r="DG23" s="12">
        <f>+DG11</f>
        <v>2290</v>
      </c>
      <c r="DH23" s="12">
        <f>SUM(DH11:DH22)</f>
        <v>0</v>
      </c>
      <c r="DI23" s="12">
        <f>SUM(DI11:DI22)</f>
        <v>0</v>
      </c>
      <c r="DJ23" s="12">
        <f t="shared" si="35"/>
        <v>2290</v>
      </c>
      <c r="DK23" s="13"/>
      <c r="DL23" s="8" t="s">
        <v>5</v>
      </c>
      <c r="DM23" s="107">
        <f>SUM(DM11:DM22)</f>
        <v>355.74097222222224</v>
      </c>
      <c r="DN23" s="107">
        <f t="shared" ref="DN23:DP23" si="52">SUM(DN11:DN22)</f>
        <v>6.3194444444444442E-2</v>
      </c>
      <c r="DO23" s="107">
        <f t="shared" si="52"/>
        <v>4.4055555555555559</v>
      </c>
      <c r="DP23" s="107">
        <f t="shared" si="52"/>
        <v>4.9180555555555561</v>
      </c>
      <c r="DQ23" s="12">
        <f t="shared" ref="DQ23:DX23" si="53">SUM(DQ11:DQ22)</f>
        <v>0</v>
      </c>
      <c r="DR23" s="12">
        <f t="shared" si="53"/>
        <v>0</v>
      </c>
      <c r="DS23" s="12">
        <f t="shared" si="53"/>
        <v>0</v>
      </c>
      <c r="DT23" s="12">
        <f t="shared" si="53"/>
        <v>0</v>
      </c>
      <c r="DU23" s="12">
        <f t="shared" si="53"/>
        <v>0</v>
      </c>
      <c r="DV23" s="12">
        <f t="shared" si="53"/>
        <v>0</v>
      </c>
      <c r="DW23" s="12">
        <f t="shared" si="53"/>
        <v>0</v>
      </c>
      <c r="DX23" s="12">
        <f t="shared" si="53"/>
        <v>0</v>
      </c>
    </row>
    <row r="24" spans="2:128" x14ac:dyDescent="0.25">
      <c r="B24" s="14"/>
    </row>
    <row r="25" spans="2:128" ht="15.95" customHeight="1" x14ac:dyDescent="0.25"/>
    <row r="26" spans="2:128" ht="15.95" customHeight="1" x14ac:dyDescent="0.25">
      <c r="BD26" s="77">
        <v>82909.78</v>
      </c>
    </row>
    <row r="27" spans="2:128" ht="15.95" customHeight="1" x14ac:dyDescent="0.25">
      <c r="BD27" s="77">
        <v>129705.89</v>
      </c>
    </row>
    <row r="28" spans="2:128" x14ac:dyDescent="0.25">
      <c r="AE28" s="93" t="s">
        <v>79</v>
      </c>
      <c r="AF28" s="92" t="s">
        <v>11</v>
      </c>
      <c r="BD28" s="77">
        <v>79734.64</v>
      </c>
      <c r="BE28" s="77">
        <f>+BD28+BD26</f>
        <v>162644.41999999998</v>
      </c>
    </row>
    <row r="29" spans="2:128" ht="15.95" customHeight="1" x14ac:dyDescent="0.25">
      <c r="AE29" s="10">
        <f>[30]Feuil1!$Q$40</f>
        <v>79681</v>
      </c>
      <c r="AF29" s="10">
        <f>'[29]BU-3'!$F$72</f>
        <v>70674</v>
      </c>
      <c r="AG29" s="13">
        <f>+AE29-AF29</f>
        <v>9007</v>
      </c>
      <c r="BD29" s="77">
        <v>23559.59</v>
      </c>
    </row>
    <row r="30" spans="2:128" ht="15.95" customHeight="1" x14ac:dyDescent="0.25">
      <c r="AE30" s="10">
        <f>[32]Feuil1!$Q$40</f>
        <v>66545</v>
      </c>
      <c r="AF30" s="10">
        <f>'[31]BU-3'!$F$72</f>
        <v>50468</v>
      </c>
      <c r="AG30" s="13">
        <f t="shared" ref="AG30:AG41" si="54">+AE30-AF30</f>
        <v>16077</v>
      </c>
      <c r="BD30" s="77"/>
    </row>
    <row r="31" spans="2:128" ht="15.95" customHeight="1" x14ac:dyDescent="0.25">
      <c r="O31" s="13"/>
      <c r="AE31" s="10">
        <f>[34]Feuil1!$Q$40</f>
        <v>77661</v>
      </c>
      <c r="AF31" s="10">
        <f>'[33]BU-3'!$F$72</f>
        <v>68983</v>
      </c>
      <c r="AG31" s="13">
        <f t="shared" si="54"/>
        <v>8678</v>
      </c>
      <c r="BD31" s="77">
        <f>SUM(BD26:BD29)</f>
        <v>315909.90000000002</v>
      </c>
    </row>
    <row r="32" spans="2:128" ht="15.95" customHeight="1" x14ac:dyDescent="0.25">
      <c r="AE32" s="10">
        <f>[36]Feuil1!$Q$40</f>
        <v>77130</v>
      </c>
      <c r="AF32" s="10">
        <f>'[35]BU-3'!$F$72</f>
        <v>72542</v>
      </c>
      <c r="AG32" s="13">
        <f t="shared" si="54"/>
        <v>4588</v>
      </c>
      <c r="BD32" s="77">
        <f>+BD31-BD27</f>
        <v>186204.01</v>
      </c>
    </row>
    <row r="33" spans="31:33" ht="15.95" customHeight="1" x14ac:dyDescent="0.25">
      <c r="AE33" s="10">
        <f>[38]Feuil1!$Q$40</f>
        <v>81181</v>
      </c>
      <c r="AF33" s="10">
        <f>'[37]BU-3'!$F$72</f>
        <v>72696</v>
      </c>
      <c r="AG33" s="13">
        <f t="shared" si="54"/>
        <v>8485</v>
      </c>
    </row>
    <row r="34" spans="31:33" ht="15.95" customHeight="1" x14ac:dyDescent="0.25">
      <c r="AE34" s="10">
        <f>[40]Feuil1!$Q$40</f>
        <v>74049</v>
      </c>
      <c r="AF34" s="10">
        <f>'[39]BU-3'!$F$72</f>
        <v>65686</v>
      </c>
      <c r="AG34" s="13">
        <f t="shared" si="54"/>
        <v>8363</v>
      </c>
    </row>
    <row r="35" spans="31:33" ht="15.95" customHeight="1" x14ac:dyDescent="0.25">
      <c r="AE35" s="10">
        <f>[42]Feuil1!$Q$40</f>
        <v>74778</v>
      </c>
      <c r="AF35" s="10">
        <f>'[41]BU-3'!$F$72</f>
        <v>67132</v>
      </c>
      <c r="AG35" s="13">
        <f t="shared" si="54"/>
        <v>7646</v>
      </c>
    </row>
    <row r="36" spans="31:33" ht="15.95" customHeight="1" x14ac:dyDescent="0.25">
      <c r="AE36" s="10">
        <f>[44]Feuil1!$Q$40</f>
        <v>81661</v>
      </c>
      <c r="AF36" s="10">
        <f>'[43]BU-3'!$F$72</f>
        <v>66869</v>
      </c>
      <c r="AG36" s="13">
        <f t="shared" si="54"/>
        <v>14792</v>
      </c>
    </row>
    <row r="37" spans="31:33" ht="15.95" customHeight="1" x14ac:dyDescent="0.25">
      <c r="AE37" s="10">
        <f>[46]Feuil1!$Q$40</f>
        <v>77489</v>
      </c>
      <c r="AF37" s="10">
        <f>'[45]BU-3'!$F$72</f>
        <v>64332</v>
      </c>
      <c r="AG37" s="13">
        <f t="shared" si="54"/>
        <v>13157</v>
      </c>
    </row>
    <row r="38" spans="31:33" ht="15.95" customHeight="1" x14ac:dyDescent="0.25">
      <c r="AE38" s="10">
        <f>[48]Feuil1!$Q$40</f>
        <v>76529</v>
      </c>
      <c r="AF38" s="10">
        <f>'[47]BU-3'!$F$72</f>
        <v>64886</v>
      </c>
      <c r="AG38" s="13">
        <f t="shared" si="54"/>
        <v>11643</v>
      </c>
    </row>
    <row r="39" spans="31:33" ht="15.95" customHeight="1" x14ac:dyDescent="0.25">
      <c r="AE39" s="10">
        <f>[50]Feuil1!$Q$40</f>
        <v>79489</v>
      </c>
      <c r="AF39" s="10">
        <f>'[49]BU-3'!$F$72</f>
        <v>73075</v>
      </c>
      <c r="AG39" s="13">
        <f t="shared" si="54"/>
        <v>6414</v>
      </c>
    </row>
    <row r="40" spans="31:33" ht="15.95" customHeight="1" x14ac:dyDescent="0.25">
      <c r="AE40" s="10">
        <f>[52]Feuil1!$Q$40</f>
        <v>80320</v>
      </c>
      <c r="AF40" s="10">
        <f>'[51]BU-3'!$F$72</f>
        <v>68605</v>
      </c>
      <c r="AG40" s="13">
        <f t="shared" si="54"/>
        <v>11715</v>
      </c>
    </row>
    <row r="41" spans="31:33" ht="15.95" customHeight="1" x14ac:dyDescent="0.25">
      <c r="AE41" s="12">
        <f t="shared" ref="AE41:AF41" si="55">SUM(AE29:AE40)</f>
        <v>926513</v>
      </c>
      <c r="AF41" s="12">
        <f t="shared" si="55"/>
        <v>805948</v>
      </c>
      <c r="AG41" s="13">
        <f t="shared" si="54"/>
        <v>120565</v>
      </c>
    </row>
    <row r="44" spans="31:33" ht="15.75" customHeight="1" x14ac:dyDescent="0.25"/>
    <row r="46" spans="31:33" ht="15.95" customHeight="1" x14ac:dyDescent="0.25"/>
    <row r="47" spans="31:33" ht="15.95" customHeight="1" x14ac:dyDescent="0.25"/>
    <row r="48" spans="31:33" ht="15.95" customHeight="1" x14ac:dyDescent="0.25"/>
    <row r="49" spans="2:13" ht="15.95" customHeight="1" x14ac:dyDescent="0.25"/>
    <row r="50" spans="2:13" ht="15.95" customHeight="1" x14ac:dyDescent="0.25"/>
    <row r="51" spans="2:13" ht="15.95" customHeight="1" x14ac:dyDescent="0.25"/>
    <row r="52" spans="2:13" ht="15.95" customHeight="1" x14ac:dyDescent="0.25"/>
    <row r="53" spans="2:13" ht="15.95" customHeight="1" x14ac:dyDescent="0.25"/>
    <row r="54" spans="2:13" ht="15.95" customHeight="1" x14ac:dyDescent="0.25"/>
    <row r="55" spans="2:13" ht="15.95" customHeight="1" x14ac:dyDescent="0.25"/>
    <row r="56" spans="2:13" ht="15.95" customHeight="1" x14ac:dyDescent="0.25"/>
    <row r="57" spans="2:13" ht="15.95" customHeight="1" x14ac:dyDescent="0.25"/>
    <row r="58" spans="2:13" ht="15.95" customHeight="1" x14ac:dyDescent="0.25">
      <c r="J58" s="39"/>
      <c r="K58" s="39"/>
      <c r="L58" s="39"/>
      <c r="M58" s="39"/>
    </row>
    <row r="59" spans="2:13" ht="15.95" customHeight="1" x14ac:dyDescent="0.25">
      <c r="B59" s="22"/>
      <c r="C59" s="39"/>
      <c r="D59" s="39"/>
      <c r="E59" s="39"/>
      <c r="F59" s="39"/>
      <c r="G59" s="39"/>
      <c r="H59" s="39"/>
      <c r="I59" s="39"/>
    </row>
    <row r="61" spans="2:13" ht="15.75" customHeight="1" x14ac:dyDescent="0.25"/>
    <row r="63" spans="2:13" ht="15.95" customHeight="1" x14ac:dyDescent="0.25"/>
    <row r="64" spans="2:13" ht="15.95" customHeight="1" x14ac:dyDescent="0.25"/>
    <row r="65" ht="15.95" customHeight="1" x14ac:dyDescent="0.25"/>
    <row r="66" ht="15.95" customHeight="1" x14ac:dyDescent="0.25"/>
    <row r="67" ht="15.95" customHeight="1" x14ac:dyDescent="0.25"/>
    <row r="68" ht="15.95" customHeight="1" x14ac:dyDescent="0.25"/>
    <row r="69" ht="15.95" customHeight="1" x14ac:dyDescent="0.25"/>
    <row r="70" ht="15.95" customHeight="1" x14ac:dyDescent="0.25"/>
    <row r="71" ht="15.95" customHeight="1" x14ac:dyDescent="0.25"/>
    <row r="72" ht="15.95" customHeight="1" x14ac:dyDescent="0.25"/>
    <row r="73" ht="15.95" customHeight="1" x14ac:dyDescent="0.25"/>
    <row r="74" ht="15.95" customHeight="1" x14ac:dyDescent="0.25"/>
    <row r="75" ht="15.95" customHeight="1" x14ac:dyDescent="0.25"/>
    <row r="78" ht="15.75" customHeight="1" x14ac:dyDescent="0.25"/>
    <row r="80" ht="15.95" customHeight="1" x14ac:dyDescent="0.25"/>
    <row r="81" spans="21:25" ht="15.95" customHeight="1" x14ac:dyDescent="0.25"/>
    <row r="82" spans="21:25" ht="15.95" customHeight="1" x14ac:dyDescent="0.25"/>
    <row r="83" spans="21:25" ht="15.95" customHeight="1" x14ac:dyDescent="0.25"/>
    <row r="84" spans="21:25" ht="15.95" customHeight="1" x14ac:dyDescent="0.25"/>
    <row r="85" spans="21:25" ht="15.95" customHeight="1" x14ac:dyDescent="0.25"/>
    <row r="86" spans="21:25" ht="15.95" customHeight="1" x14ac:dyDescent="0.25"/>
    <row r="87" spans="21:25" ht="15.95" customHeight="1" x14ac:dyDescent="0.25"/>
    <row r="88" spans="21:25" ht="15.95" customHeight="1" x14ac:dyDescent="0.25"/>
    <row r="89" spans="21:25" ht="15.95" customHeight="1" x14ac:dyDescent="0.25"/>
    <row r="90" spans="21:25" ht="15.95" customHeight="1" x14ac:dyDescent="0.25"/>
    <row r="91" spans="21:25" ht="15.95" customHeight="1" x14ac:dyDescent="0.25"/>
    <row r="92" spans="21:25" ht="15.95" customHeight="1" x14ac:dyDescent="0.25"/>
    <row r="94" spans="21:25" x14ac:dyDescent="0.25">
      <c r="U94" s="1"/>
      <c r="V94" s="1"/>
      <c r="W94" s="1"/>
      <c r="X94" s="1"/>
      <c r="Y94" s="1"/>
    </row>
    <row r="95" spans="21:25" ht="15.75" customHeight="1" x14ac:dyDescent="0.25"/>
    <row r="97" spans="27:31" ht="15.95" customHeight="1" x14ac:dyDescent="0.25"/>
    <row r="98" spans="27:31" ht="15.95" customHeight="1" x14ac:dyDescent="0.25"/>
    <row r="99" spans="27:31" ht="15.95" customHeight="1" x14ac:dyDescent="0.25"/>
    <row r="100" spans="27:31" ht="15.95" customHeight="1" x14ac:dyDescent="0.25"/>
    <row r="101" spans="27:31" ht="15.95" customHeight="1" x14ac:dyDescent="0.25"/>
    <row r="102" spans="27:31" ht="15.95" customHeight="1" x14ac:dyDescent="0.25"/>
    <row r="103" spans="27:31" ht="15.95" customHeight="1" x14ac:dyDescent="0.25"/>
    <row r="104" spans="27:31" ht="15.95" customHeight="1" x14ac:dyDescent="0.25"/>
    <row r="105" spans="27:31" ht="15.95" customHeight="1" x14ac:dyDescent="0.25"/>
    <row r="106" spans="27:31" ht="15.95" customHeight="1" x14ac:dyDescent="0.25"/>
    <row r="107" spans="27:31" ht="15.95" customHeight="1" x14ac:dyDescent="0.25"/>
    <row r="108" spans="27:31" ht="15.95" customHeight="1" x14ac:dyDescent="0.25"/>
    <row r="109" spans="27:31" ht="15.95" customHeight="1" x14ac:dyDescent="0.25"/>
    <row r="112" spans="27:31" x14ac:dyDescent="0.25">
      <c r="AA112" s="15"/>
      <c r="AB112" s="15"/>
      <c r="AC112" s="15"/>
      <c r="AD112" s="15"/>
      <c r="AE112" s="15"/>
    </row>
    <row r="113" spans="11:15" ht="15.75" customHeight="1" x14ac:dyDescent="0.25"/>
    <row r="115" spans="11:15" ht="15.95" customHeight="1" x14ac:dyDescent="0.25"/>
    <row r="116" spans="11:15" ht="15.95" customHeight="1" x14ac:dyDescent="0.25"/>
    <row r="117" spans="11:15" ht="15.95" customHeight="1" x14ac:dyDescent="0.25"/>
    <row r="118" spans="11:15" ht="15.95" customHeight="1" x14ac:dyDescent="0.25"/>
    <row r="119" spans="11:15" ht="15.95" customHeight="1" x14ac:dyDescent="0.25"/>
    <row r="120" spans="11:15" ht="15.95" customHeight="1" x14ac:dyDescent="0.25"/>
    <row r="121" spans="11:15" ht="15.95" customHeight="1" x14ac:dyDescent="0.25"/>
    <row r="122" spans="11:15" ht="15.95" customHeight="1" x14ac:dyDescent="0.25"/>
    <row r="123" spans="11:15" ht="15.95" customHeight="1" x14ac:dyDescent="0.25"/>
    <row r="124" spans="11:15" ht="15.95" customHeight="1" x14ac:dyDescent="0.25"/>
    <row r="125" spans="11:15" ht="15.95" customHeight="1" x14ac:dyDescent="0.25"/>
    <row r="126" spans="11:15" ht="15.95" customHeight="1" x14ac:dyDescent="0.25"/>
    <row r="127" spans="11:15" ht="15.95" customHeight="1" x14ac:dyDescent="0.25">
      <c r="K127" s="15"/>
      <c r="L127" s="15"/>
      <c r="M127" s="15"/>
      <c r="N127" s="15"/>
      <c r="O127" s="15"/>
    </row>
    <row r="129" spans="15:17" ht="15.75" customHeight="1" x14ac:dyDescent="0.25"/>
    <row r="130" spans="15:17" x14ac:dyDescent="0.25">
      <c r="O130" s="24"/>
    </row>
    <row r="131" spans="15:17" ht="15.95" customHeight="1" x14ac:dyDescent="0.25">
      <c r="O131" s="24"/>
    </row>
    <row r="132" spans="15:17" ht="15.95" customHeight="1" x14ac:dyDescent="0.25">
      <c r="O132" s="24"/>
    </row>
    <row r="133" spans="15:17" ht="15.95" customHeight="1" x14ac:dyDescent="0.25">
      <c r="O133" s="24"/>
    </row>
    <row r="134" spans="15:17" ht="15.95" customHeight="1" x14ac:dyDescent="0.25">
      <c r="O134" s="24"/>
    </row>
    <row r="135" spans="15:17" ht="15.95" customHeight="1" x14ac:dyDescent="0.25">
      <c r="O135" s="24"/>
    </row>
    <row r="136" spans="15:17" ht="15.95" customHeight="1" x14ac:dyDescent="0.25">
      <c r="O136" s="24"/>
    </row>
    <row r="137" spans="15:17" ht="15.95" customHeight="1" x14ac:dyDescent="0.25">
      <c r="O137" s="24"/>
    </row>
    <row r="138" spans="15:17" ht="15.95" customHeight="1" x14ac:dyDescent="0.25">
      <c r="O138" s="24"/>
    </row>
    <row r="139" spans="15:17" ht="15.95" customHeight="1" x14ac:dyDescent="0.25">
      <c r="O139" s="24"/>
    </row>
    <row r="140" spans="15:17" ht="15.95" customHeight="1" x14ac:dyDescent="0.25"/>
    <row r="141" spans="15:17" ht="15.95" customHeight="1" x14ac:dyDescent="0.25"/>
    <row r="142" spans="15:17" ht="15.95" customHeight="1" x14ac:dyDescent="0.25">
      <c r="Q142" s="25"/>
    </row>
    <row r="143" spans="15:17" ht="15.95" customHeight="1" x14ac:dyDescent="0.25"/>
    <row r="145" spans="16:33" ht="15.75" customHeight="1" x14ac:dyDescent="0.25"/>
    <row r="147" spans="16:33" ht="15.95" customHeight="1" x14ac:dyDescent="0.25"/>
    <row r="148" spans="16:33" ht="15.95" customHeight="1" x14ac:dyDescent="0.25"/>
    <row r="149" spans="16:33" ht="15.95" customHeight="1" x14ac:dyDescent="0.25"/>
    <row r="150" spans="16:33" ht="15.95" customHeight="1" x14ac:dyDescent="0.25"/>
    <row r="151" spans="16:33" ht="15.95" customHeight="1" x14ac:dyDescent="0.25"/>
    <row r="152" spans="16:33" ht="15.95" customHeight="1" x14ac:dyDescent="0.25"/>
    <row r="153" spans="16:33" ht="15.95" customHeight="1" x14ac:dyDescent="0.25"/>
    <row r="154" spans="16:33" ht="15.95" customHeight="1" x14ac:dyDescent="0.25"/>
    <row r="155" spans="16:33" ht="15.95" customHeight="1" x14ac:dyDescent="0.25"/>
    <row r="156" spans="16:33" ht="15.95" customHeight="1" x14ac:dyDescent="0.25"/>
    <row r="157" spans="16:33" ht="15.95" customHeight="1" x14ac:dyDescent="0.25"/>
    <row r="158" spans="16:33" ht="15.95" customHeight="1" x14ac:dyDescent="0.25"/>
    <row r="159" spans="16:33" ht="15.95" customHeight="1" x14ac:dyDescent="0.25">
      <c r="P159" s="15" t="s">
        <v>48</v>
      </c>
      <c r="Q159" s="15"/>
      <c r="R159" s="15"/>
      <c r="S159" s="15"/>
      <c r="T159" s="15"/>
    </row>
    <row r="160" spans="16:33" ht="14.1" customHeight="1" x14ac:dyDescent="0.25">
      <c r="U160" s="15"/>
      <c r="V160" s="15"/>
      <c r="W160" s="15"/>
      <c r="X160" s="15"/>
      <c r="Y160" s="15"/>
      <c r="Z160" s="15"/>
      <c r="AA160" s="15"/>
      <c r="AB160" s="15"/>
      <c r="AC160" s="15"/>
      <c r="AD160" s="15"/>
      <c r="AE160" s="15"/>
      <c r="AF160" s="15"/>
      <c r="AG160" s="15"/>
    </row>
    <row r="161" spans="12:12" ht="14.1" customHeight="1" x14ac:dyDescent="0.25"/>
    <row r="162" spans="12:12" ht="27.75" customHeight="1" x14ac:dyDescent="0.25"/>
    <row r="163" spans="12:12" ht="14.1" customHeight="1" x14ac:dyDescent="0.25">
      <c r="L163" s="13"/>
    </row>
    <row r="164" spans="12:12" ht="14.1" customHeight="1" x14ac:dyDescent="0.25"/>
    <row r="165" spans="12:12" ht="14.1" customHeight="1" x14ac:dyDescent="0.25"/>
    <row r="166" spans="12:12" ht="14.1" customHeight="1" x14ac:dyDescent="0.25"/>
    <row r="167" spans="12:12" ht="14.1" customHeight="1" x14ac:dyDescent="0.25"/>
    <row r="168" spans="12:12" ht="14.1" customHeight="1" x14ac:dyDescent="0.25"/>
    <row r="169" spans="12:12" ht="14.1" customHeight="1" x14ac:dyDescent="0.25"/>
    <row r="170" spans="12:12" ht="14.1" customHeight="1" x14ac:dyDescent="0.25"/>
    <row r="171" spans="12:12" ht="14.1" customHeight="1" x14ac:dyDescent="0.25"/>
    <row r="172" spans="12:12" ht="14.1" customHeight="1" x14ac:dyDescent="0.25"/>
    <row r="173" spans="12:12" ht="14.1" customHeight="1" x14ac:dyDescent="0.25"/>
    <row r="174" spans="12:12" ht="14.1" customHeight="1" x14ac:dyDescent="0.25"/>
    <row r="175" spans="12:12" ht="14.1" customHeight="1" x14ac:dyDescent="0.25"/>
    <row r="176" spans="12:12" ht="9.9499999999999993" customHeight="1" x14ac:dyDescent="0.25"/>
  </sheetData>
  <mergeCells count="32">
    <mergeCell ref="AS9:AS10"/>
    <mergeCell ref="AT9:AW9"/>
    <mergeCell ref="DL9:DL10"/>
    <mergeCell ref="BW8:CC8"/>
    <mergeCell ref="BW9:BW10"/>
    <mergeCell ref="BX9:CC9"/>
    <mergeCell ref="CE9:CE10"/>
    <mergeCell ref="CM9:CM10"/>
    <mergeCell ref="CW9:CW10"/>
    <mergeCell ref="AX9:BA9"/>
    <mergeCell ref="BC8:BH8"/>
    <mergeCell ref="BI8:BN8"/>
    <mergeCell ref="BO8:BT8"/>
    <mergeCell ref="BC9:BC10"/>
    <mergeCell ref="BD9:BH9"/>
    <mergeCell ref="BI9:BN9"/>
    <mergeCell ref="BO9:BT9"/>
    <mergeCell ref="B8:H8"/>
    <mergeCell ref="B9:B10"/>
    <mergeCell ref="C9:C10"/>
    <mergeCell ref="D9:D10"/>
    <mergeCell ref="E9:H9"/>
    <mergeCell ref="V9:V10"/>
    <mergeCell ref="AC9:AG9"/>
    <mergeCell ref="AI8:AQ8"/>
    <mergeCell ref="AI9:AI10"/>
    <mergeCell ref="J8:J10"/>
    <mergeCell ref="K8:K10"/>
    <mergeCell ref="O8:T8"/>
    <mergeCell ref="O9:Q9"/>
    <mergeCell ref="R9:T9"/>
    <mergeCell ref="AN9:AQ9"/>
  </mergeCells>
  <pageMargins left="0.19685039370078741" right="0.19685039370078741" top="0.19685039370078741" bottom="0.19685039370078741" header="0.51181102362204722" footer="0.51181102362204722"/>
  <pageSetup paperSize="9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5"/>
    <pageSetUpPr fitToPage="1"/>
  </sheetPr>
  <dimension ref="B7:DX176"/>
  <sheetViews>
    <sheetView showGridLines="0" topLeftCell="DB1" workbookViewId="0">
      <selection activeCell="DL11" sqref="DL11:DP23"/>
    </sheetView>
  </sheetViews>
  <sheetFormatPr baseColWidth="10" defaultColWidth="8.625" defaultRowHeight="12" x14ac:dyDescent="0.25"/>
  <cols>
    <col min="1" max="1" width="8.625" style="2"/>
    <col min="2" max="2" width="6.625" style="2" customWidth="1"/>
    <col min="3" max="3" width="8.625" style="2" customWidth="1"/>
    <col min="4" max="4" width="7.875" style="2" customWidth="1"/>
    <col min="5" max="5" width="8.875" style="2" customWidth="1"/>
    <col min="6" max="6" width="8" style="2" customWidth="1"/>
    <col min="7" max="7" width="7.75" style="2" customWidth="1"/>
    <col min="8" max="8" width="6.625" style="2" customWidth="1"/>
    <col min="9" max="9" width="3.375" style="2" customWidth="1"/>
    <col min="10" max="10" width="7.875" style="2" customWidth="1"/>
    <col min="11" max="11" width="6.625" style="2" customWidth="1"/>
    <col min="12" max="12" width="6.875" style="2" customWidth="1"/>
    <col min="13" max="13" width="6.625" style="2" customWidth="1"/>
    <col min="14" max="14" width="7.75" style="2" customWidth="1"/>
    <col min="15" max="19" width="6.625" style="2" customWidth="1"/>
    <col min="20" max="20" width="7.625" style="2" customWidth="1"/>
    <col min="21" max="21" width="7.875" style="2" customWidth="1"/>
    <col min="22" max="25" width="6.625" style="2" customWidth="1"/>
    <col min="26" max="34" width="8.625" style="2" customWidth="1"/>
    <col min="35" max="35" width="9" style="2" customWidth="1"/>
    <col min="36" max="44" width="8.625" style="2" customWidth="1"/>
    <col min="45" max="45" width="7.5" style="2" customWidth="1"/>
    <col min="46" max="46" width="6.625" style="2" customWidth="1"/>
    <col min="47" max="48" width="5.625" style="2" customWidth="1"/>
    <col min="49" max="49" width="6.875" style="2" customWidth="1"/>
    <col min="50" max="51" width="5.75" style="2" customWidth="1"/>
    <col min="52" max="52" width="5.625" style="2" customWidth="1"/>
    <col min="53" max="53" width="6.875" style="2" customWidth="1"/>
    <col min="54" max="54" width="5.625" style="2" customWidth="1"/>
    <col min="55" max="55" width="6.125" style="2" customWidth="1"/>
    <col min="56" max="57" width="6.875" style="2" customWidth="1"/>
    <col min="58" max="59" width="5.625" style="2" customWidth="1"/>
    <col min="60" max="60" width="6.875" style="2" customWidth="1"/>
    <col min="61" max="65" width="5.625" style="2" customWidth="1"/>
    <col min="66" max="67" width="5.75" style="2" customWidth="1"/>
    <col min="68" max="68" width="5.625" style="2" customWidth="1"/>
    <col min="69" max="16384" width="8.625" style="2"/>
  </cols>
  <sheetData>
    <row r="7" spans="2:128" x14ac:dyDescent="0.25">
      <c r="J7" s="44" t="s">
        <v>10</v>
      </c>
      <c r="K7" s="44"/>
      <c r="L7" s="44"/>
      <c r="M7" s="44"/>
      <c r="N7" s="44"/>
      <c r="O7" s="44"/>
      <c r="P7" s="44"/>
      <c r="Q7" s="44"/>
      <c r="R7" s="44"/>
      <c r="S7" s="44"/>
      <c r="T7" s="44"/>
    </row>
    <row r="8" spans="2:128" ht="15.75" x14ac:dyDescent="0.25">
      <c r="B8" s="117" t="s">
        <v>0</v>
      </c>
      <c r="C8" s="117"/>
      <c r="D8" s="117"/>
      <c r="E8" s="117"/>
      <c r="F8" s="117"/>
      <c r="G8" s="117"/>
      <c r="H8" s="117"/>
      <c r="I8"/>
      <c r="J8" s="128" t="s">
        <v>1</v>
      </c>
      <c r="K8" s="131" t="s">
        <v>67</v>
      </c>
      <c r="L8" s="45" t="s">
        <v>2</v>
      </c>
      <c r="M8" s="46"/>
      <c r="N8" s="47"/>
      <c r="O8" s="123" t="s">
        <v>69</v>
      </c>
      <c r="P8" s="124"/>
      <c r="Q8" s="124"/>
      <c r="R8" s="124"/>
      <c r="S8" s="124"/>
      <c r="T8" s="125"/>
      <c r="V8" s="44" t="s">
        <v>74</v>
      </c>
      <c r="W8" s="44"/>
      <c r="X8" s="44"/>
      <c r="Y8" s="44"/>
      <c r="Z8" s="44"/>
      <c r="AA8" s="44"/>
      <c r="AB8" s="44"/>
      <c r="AC8" s="44"/>
      <c r="AD8" s="44"/>
      <c r="AE8" s="44"/>
      <c r="AF8" s="44"/>
      <c r="AG8" s="44"/>
      <c r="AI8" s="145" t="s">
        <v>14</v>
      </c>
      <c r="AJ8" s="145"/>
      <c r="AK8" s="145"/>
      <c r="AL8" s="145"/>
      <c r="AM8" s="145"/>
      <c r="AN8" s="145"/>
      <c r="AO8" s="145"/>
      <c r="AP8" s="145"/>
      <c r="AQ8" s="145"/>
      <c r="AR8"/>
      <c r="AS8" s="40" t="s">
        <v>85</v>
      </c>
      <c r="AT8" s="40"/>
      <c r="AU8" s="40"/>
      <c r="AV8" s="40"/>
      <c r="AW8" s="40"/>
      <c r="AX8" s="40"/>
      <c r="AY8" s="40"/>
      <c r="AZ8" s="40"/>
      <c r="BA8" s="40"/>
      <c r="BC8" s="145" t="s">
        <v>16</v>
      </c>
      <c r="BD8" s="145"/>
      <c r="BE8" s="145"/>
      <c r="BF8" s="145"/>
      <c r="BG8" s="145"/>
      <c r="BH8" s="145"/>
      <c r="BI8" s="145" t="s">
        <v>17</v>
      </c>
      <c r="BJ8" s="145"/>
      <c r="BK8" s="145"/>
      <c r="BL8" s="145"/>
      <c r="BM8" s="145"/>
      <c r="BN8" s="145"/>
      <c r="BO8" s="145" t="s">
        <v>27</v>
      </c>
      <c r="BP8" s="145"/>
      <c r="BQ8" s="145"/>
      <c r="BR8" s="145"/>
      <c r="BS8" s="145"/>
      <c r="BT8" s="145"/>
      <c r="BW8" s="146" t="s">
        <v>30</v>
      </c>
      <c r="BX8" s="146"/>
      <c r="BY8" s="146"/>
      <c r="BZ8" s="146"/>
      <c r="CA8" s="146"/>
      <c r="CB8" s="146"/>
      <c r="CC8" s="146"/>
      <c r="CE8" s="15" t="s">
        <v>37</v>
      </c>
      <c r="CM8" s="15"/>
      <c r="CN8" s="15"/>
      <c r="CO8" s="15"/>
      <c r="CP8" s="15"/>
      <c r="CQ8" s="15"/>
      <c r="CR8" s="15"/>
      <c r="CS8" s="15"/>
      <c r="CT8" s="15"/>
      <c r="CU8" s="15"/>
      <c r="DE8" s="26"/>
      <c r="DG8" s="19"/>
      <c r="DR8" s="25"/>
    </row>
    <row r="9" spans="2:128" ht="22.5" customHeight="1" x14ac:dyDescent="0.25">
      <c r="B9" s="116" t="s">
        <v>1</v>
      </c>
      <c r="C9" s="119" t="s">
        <v>62</v>
      </c>
      <c r="D9" s="119" t="s">
        <v>63</v>
      </c>
      <c r="E9" s="116" t="s">
        <v>60</v>
      </c>
      <c r="F9" s="116"/>
      <c r="G9" s="116"/>
      <c r="H9" s="116"/>
      <c r="I9"/>
      <c r="J9" s="130"/>
      <c r="K9" s="132"/>
      <c r="L9" s="48"/>
      <c r="M9" s="49"/>
      <c r="N9" s="50"/>
      <c r="O9" s="123" t="s">
        <v>70</v>
      </c>
      <c r="P9" s="124"/>
      <c r="Q9" s="125"/>
      <c r="R9" s="123" t="s">
        <v>73</v>
      </c>
      <c r="S9" s="124"/>
      <c r="T9" s="125"/>
      <c r="V9" s="128" t="s">
        <v>1</v>
      </c>
      <c r="W9" s="41" t="s">
        <v>76</v>
      </c>
      <c r="X9" s="42"/>
      <c r="Y9" s="42"/>
      <c r="Z9" s="42"/>
      <c r="AA9" s="42"/>
      <c r="AB9" s="43"/>
      <c r="AC9" s="123" t="s">
        <v>2</v>
      </c>
      <c r="AD9" s="124"/>
      <c r="AE9" s="124"/>
      <c r="AF9" s="124"/>
      <c r="AG9" s="125"/>
      <c r="AI9" s="128" t="s">
        <v>1</v>
      </c>
      <c r="AJ9" s="3" t="s">
        <v>76</v>
      </c>
      <c r="AK9" s="4"/>
      <c r="AL9" s="4"/>
      <c r="AM9" s="4"/>
      <c r="AN9" s="116" t="s">
        <v>2</v>
      </c>
      <c r="AO9" s="116"/>
      <c r="AP9" s="116"/>
      <c r="AQ9" s="116"/>
      <c r="AR9"/>
      <c r="AS9" s="128" t="s">
        <v>1</v>
      </c>
      <c r="AT9" s="116" t="s">
        <v>76</v>
      </c>
      <c r="AU9" s="116"/>
      <c r="AV9" s="116"/>
      <c r="AW9" s="116"/>
      <c r="AX9" s="143" t="s">
        <v>87</v>
      </c>
      <c r="AY9" s="144"/>
      <c r="AZ9" s="144"/>
      <c r="BA9" s="144"/>
      <c r="BC9" s="128" t="s">
        <v>1</v>
      </c>
      <c r="BD9" s="123" t="s">
        <v>18</v>
      </c>
      <c r="BE9" s="124"/>
      <c r="BF9" s="124"/>
      <c r="BG9" s="124"/>
      <c r="BH9" s="125"/>
      <c r="BI9" s="135" t="s">
        <v>19</v>
      </c>
      <c r="BJ9" s="124"/>
      <c r="BK9" s="124"/>
      <c r="BL9" s="124"/>
      <c r="BM9" s="124"/>
      <c r="BN9" s="136"/>
      <c r="BO9" s="135" t="s">
        <v>93</v>
      </c>
      <c r="BP9" s="124"/>
      <c r="BQ9" s="124"/>
      <c r="BR9" s="124"/>
      <c r="BS9" s="124"/>
      <c r="BT9" s="136"/>
      <c r="BW9" s="128" t="s">
        <v>1</v>
      </c>
      <c r="BX9" s="123" t="s">
        <v>31</v>
      </c>
      <c r="BY9" s="124"/>
      <c r="BZ9" s="124"/>
      <c r="CA9" s="124"/>
      <c r="CB9" s="124"/>
      <c r="CC9" s="125"/>
      <c r="CE9" s="128" t="s">
        <v>1</v>
      </c>
      <c r="CF9" s="3" t="s">
        <v>38</v>
      </c>
      <c r="CG9" s="4"/>
      <c r="CH9" s="4"/>
      <c r="CI9" s="4"/>
      <c r="CJ9" s="4"/>
      <c r="CK9" s="5"/>
      <c r="CM9" s="128" t="s">
        <v>1</v>
      </c>
      <c r="CN9" s="3" t="s">
        <v>39</v>
      </c>
      <c r="CO9" s="4"/>
      <c r="CP9" s="4"/>
      <c r="CQ9" s="4"/>
      <c r="CR9" s="3" t="s">
        <v>40</v>
      </c>
      <c r="CS9" s="4"/>
      <c r="CT9" s="4"/>
      <c r="CU9" s="5"/>
      <c r="CW9" s="128" t="s">
        <v>1</v>
      </c>
      <c r="CX9" s="3" t="s">
        <v>43</v>
      </c>
      <c r="CY9" s="4"/>
      <c r="CZ9" s="4"/>
      <c r="DA9" s="4"/>
      <c r="DB9" s="5"/>
      <c r="DC9" s="3" t="s">
        <v>44</v>
      </c>
      <c r="DD9" s="4"/>
      <c r="DE9" s="4"/>
      <c r="DF9" s="5"/>
      <c r="DG9" s="3" t="s">
        <v>45</v>
      </c>
      <c r="DH9" s="4"/>
      <c r="DI9" s="4"/>
      <c r="DJ9" s="5"/>
      <c r="DL9" s="128" t="s">
        <v>1</v>
      </c>
      <c r="DM9" s="3" t="s">
        <v>49</v>
      </c>
      <c r="DN9" s="4"/>
      <c r="DO9" s="4"/>
      <c r="DP9" s="4"/>
      <c r="DQ9" s="5"/>
      <c r="DR9" s="3" t="s">
        <v>50</v>
      </c>
      <c r="DS9" s="4"/>
      <c r="DT9" s="3" t="s">
        <v>51</v>
      </c>
      <c r="DU9" s="4"/>
      <c r="DV9" s="3" t="s">
        <v>52</v>
      </c>
      <c r="DW9" s="4"/>
      <c r="DX9" s="5"/>
    </row>
    <row r="10" spans="2:128" ht="30" customHeight="1" x14ac:dyDescent="0.25">
      <c r="B10" s="116"/>
      <c r="C10" s="116"/>
      <c r="D10" s="116"/>
      <c r="E10" s="54" t="s">
        <v>64</v>
      </c>
      <c r="F10" s="54" t="s">
        <v>65</v>
      </c>
      <c r="G10" s="54" t="s">
        <v>58</v>
      </c>
      <c r="H10" s="54" t="s">
        <v>59</v>
      </c>
      <c r="I10"/>
      <c r="J10" s="129"/>
      <c r="K10" s="133"/>
      <c r="L10" s="55" t="s">
        <v>61</v>
      </c>
      <c r="M10" s="55" t="s">
        <v>68</v>
      </c>
      <c r="N10" s="32" t="s">
        <v>5</v>
      </c>
      <c r="O10" s="55" t="s">
        <v>72</v>
      </c>
      <c r="P10" s="53" t="s">
        <v>71</v>
      </c>
      <c r="Q10" s="34" t="s">
        <v>5</v>
      </c>
      <c r="R10" s="55" t="s">
        <v>72</v>
      </c>
      <c r="S10" s="53" t="s">
        <v>71</v>
      </c>
      <c r="T10" s="35" t="s">
        <v>5</v>
      </c>
      <c r="V10" s="129"/>
      <c r="W10" s="37" t="s">
        <v>66</v>
      </c>
      <c r="X10" s="38" t="s">
        <v>75</v>
      </c>
      <c r="Y10" s="38" t="s">
        <v>95</v>
      </c>
      <c r="Z10" s="38" t="s">
        <v>77</v>
      </c>
      <c r="AA10" s="38" t="s">
        <v>78</v>
      </c>
      <c r="AB10" s="54" t="s">
        <v>5</v>
      </c>
      <c r="AC10" s="54" t="s">
        <v>79</v>
      </c>
      <c r="AD10" s="54" t="s">
        <v>12</v>
      </c>
      <c r="AE10" s="55" t="s">
        <v>80</v>
      </c>
      <c r="AF10" s="55" t="s">
        <v>81</v>
      </c>
      <c r="AG10" s="54" t="s">
        <v>5</v>
      </c>
      <c r="AI10" s="129"/>
      <c r="AJ10" s="54" t="s">
        <v>15</v>
      </c>
      <c r="AK10" s="2" t="s">
        <v>82</v>
      </c>
      <c r="AL10" s="54" t="s">
        <v>83</v>
      </c>
      <c r="AM10" s="55" t="s">
        <v>5</v>
      </c>
      <c r="AN10" s="54" t="s">
        <v>66</v>
      </c>
      <c r="AO10" s="55" t="s">
        <v>84</v>
      </c>
      <c r="AP10" s="54" t="s">
        <v>83</v>
      </c>
      <c r="AQ10" s="55" t="s">
        <v>5</v>
      </c>
      <c r="AR10"/>
      <c r="AS10" s="129"/>
      <c r="AT10" s="55" t="s">
        <v>11</v>
      </c>
      <c r="AU10" s="55" t="s">
        <v>13</v>
      </c>
      <c r="AV10" s="54" t="s">
        <v>86</v>
      </c>
      <c r="AW10" s="55" t="s">
        <v>5</v>
      </c>
      <c r="AX10" s="54" t="s">
        <v>88</v>
      </c>
      <c r="AY10" s="54" t="s">
        <v>89</v>
      </c>
      <c r="AZ10" s="54" t="s">
        <v>90</v>
      </c>
      <c r="BA10" s="55" t="s">
        <v>5</v>
      </c>
      <c r="BC10" s="129"/>
      <c r="BD10" s="54" t="s">
        <v>91</v>
      </c>
      <c r="BE10" s="55" t="s">
        <v>79</v>
      </c>
      <c r="BF10" s="55" t="s">
        <v>6</v>
      </c>
      <c r="BG10" s="55" t="s">
        <v>92</v>
      </c>
      <c r="BH10" s="56" t="s">
        <v>5</v>
      </c>
      <c r="BI10" s="17" t="s">
        <v>20</v>
      </c>
      <c r="BJ10" s="55" t="s">
        <v>21</v>
      </c>
      <c r="BK10" s="54" t="s">
        <v>22</v>
      </c>
      <c r="BL10" s="54" t="s">
        <v>24</v>
      </c>
      <c r="BM10" s="54" t="s">
        <v>25</v>
      </c>
      <c r="BN10" s="54" t="s">
        <v>26</v>
      </c>
      <c r="BO10" s="55" t="s">
        <v>8</v>
      </c>
      <c r="BP10" s="54" t="s">
        <v>28</v>
      </c>
      <c r="BQ10" s="55" t="s">
        <v>7</v>
      </c>
      <c r="BR10" s="54" t="s">
        <v>23</v>
      </c>
      <c r="BS10" s="54" t="s">
        <v>29</v>
      </c>
      <c r="BT10" s="54" t="s">
        <v>5</v>
      </c>
      <c r="BW10" s="129"/>
      <c r="BX10" s="53" t="s">
        <v>91</v>
      </c>
      <c r="BY10" s="54" t="s">
        <v>94</v>
      </c>
      <c r="BZ10" s="54" t="s">
        <v>66</v>
      </c>
      <c r="CA10" s="54" t="s">
        <v>79</v>
      </c>
      <c r="CB10" s="54" t="s">
        <v>32</v>
      </c>
      <c r="CC10" s="55" t="s">
        <v>5</v>
      </c>
      <c r="CE10" s="129"/>
      <c r="CF10" s="54" t="s">
        <v>33</v>
      </c>
      <c r="CG10" s="55" t="s">
        <v>34</v>
      </c>
      <c r="CH10" s="54" t="s">
        <v>3</v>
      </c>
      <c r="CI10" s="54" t="s">
        <v>66</v>
      </c>
      <c r="CJ10" s="54" t="s">
        <v>35</v>
      </c>
      <c r="CK10" s="54" t="s">
        <v>36</v>
      </c>
      <c r="CM10" s="129"/>
      <c r="CN10" s="54" t="s">
        <v>33</v>
      </c>
      <c r="CO10" s="55" t="s">
        <v>34</v>
      </c>
      <c r="CP10" s="54" t="s">
        <v>41</v>
      </c>
      <c r="CQ10" s="54" t="s">
        <v>36</v>
      </c>
      <c r="CR10" s="54" t="s">
        <v>33</v>
      </c>
      <c r="CS10" s="55" t="s">
        <v>34</v>
      </c>
      <c r="CT10" s="54" t="s">
        <v>42</v>
      </c>
      <c r="CU10" s="54" t="s">
        <v>36</v>
      </c>
      <c r="CW10" s="129"/>
      <c r="CX10" s="54" t="s">
        <v>33</v>
      </c>
      <c r="CY10" s="55" t="s">
        <v>34</v>
      </c>
      <c r="CZ10" s="54" t="s">
        <v>46</v>
      </c>
      <c r="DA10" s="54" t="s">
        <v>47</v>
      </c>
      <c r="DB10" s="54" t="s">
        <v>36</v>
      </c>
      <c r="DC10" s="54" t="s">
        <v>33</v>
      </c>
      <c r="DD10" s="55" t="s">
        <v>34</v>
      </c>
      <c r="DE10" s="54" t="s">
        <v>9</v>
      </c>
      <c r="DF10" s="54" t="s">
        <v>36</v>
      </c>
      <c r="DG10" s="54" t="s">
        <v>33</v>
      </c>
      <c r="DH10" s="55" t="s">
        <v>34</v>
      </c>
      <c r="DI10" s="54" t="s">
        <v>9</v>
      </c>
      <c r="DJ10" s="54" t="s">
        <v>36</v>
      </c>
      <c r="DL10" s="129"/>
      <c r="DM10" s="100" t="s">
        <v>4</v>
      </c>
      <c r="DN10" s="100" t="s">
        <v>123</v>
      </c>
      <c r="DO10" s="100" t="s">
        <v>124</v>
      </c>
      <c r="DP10" s="100" t="s">
        <v>125</v>
      </c>
      <c r="DQ10" s="55" t="s">
        <v>3</v>
      </c>
      <c r="DR10" s="55" t="s">
        <v>53</v>
      </c>
      <c r="DS10" s="55" t="s">
        <v>54</v>
      </c>
      <c r="DT10" s="54" t="s">
        <v>24</v>
      </c>
      <c r="DU10" s="54" t="s">
        <v>25</v>
      </c>
      <c r="DV10" s="54" t="s">
        <v>55</v>
      </c>
      <c r="DW10" s="54" t="s">
        <v>56</v>
      </c>
      <c r="DX10" s="54" t="s">
        <v>57</v>
      </c>
    </row>
    <row r="11" spans="2:128" ht="15.95" customHeight="1" x14ac:dyDescent="0.2">
      <c r="B11" s="8">
        <v>43831</v>
      </c>
      <c r="C11" s="10">
        <f>+'[53]BU-2'!$E$10</f>
        <v>13375</v>
      </c>
      <c r="D11" s="10">
        <f>+'[53]BU-3'!$F$11</f>
        <v>6286.1</v>
      </c>
      <c r="E11" s="10">
        <f>+'[53]BU-2'!$E$28</f>
        <v>2183.2617593754121</v>
      </c>
      <c r="F11" s="10">
        <f>+'[53]BU-2'!$E$29</f>
        <v>4933.2582406245774</v>
      </c>
      <c r="G11" s="31">
        <f t="shared" ref="G11:G22" si="0">SUM(E11:F11)</f>
        <v>7116.5199999999895</v>
      </c>
      <c r="H11" s="10">
        <f>+'[53]BU-2'!$E$27</f>
        <v>27.62</v>
      </c>
      <c r="I11" s="52">
        <f>+C11+H11-D11-G11</f>
        <v>1.0913936421275139E-11</v>
      </c>
      <c r="J11" s="8">
        <f t="shared" ref="J11:J22" si="1">+B11</f>
        <v>43831</v>
      </c>
      <c r="K11" s="10">
        <f>'[53]BU-2'!$E$11</f>
        <v>75109</v>
      </c>
      <c r="L11" s="10">
        <f>'[53]BU-3'!$F$37</f>
        <v>73189</v>
      </c>
      <c r="M11" s="12">
        <f>'[53]BU-3'!$F$38</f>
        <v>1900</v>
      </c>
      <c r="N11" s="33">
        <f t="shared" ref="N11:N22" si="2">L11+M11</f>
        <v>75089</v>
      </c>
      <c r="O11" s="12">
        <f>'[53]BU-2'!$E$30</f>
        <v>362</v>
      </c>
      <c r="P11" s="10">
        <f>'[53]BU-2'!$E$31</f>
        <v>0</v>
      </c>
      <c r="Q11" s="33">
        <f t="shared" ref="Q11:Q22" si="3">+P11+O11</f>
        <v>362</v>
      </c>
      <c r="R11" s="10">
        <f>'[53]BU-2'!$E$32</f>
        <v>0</v>
      </c>
      <c r="S11" s="10">
        <f>'[53]BU-2'!$E$33</f>
        <v>0</v>
      </c>
      <c r="T11" s="33">
        <f t="shared" ref="T11:T22" si="4">+S11+R11</f>
        <v>0</v>
      </c>
      <c r="V11" s="8">
        <f t="shared" ref="V11:V22" si="5">+B11</f>
        <v>43831</v>
      </c>
      <c r="W11" s="10">
        <f>[54]Feuil1!$K$40</f>
        <v>30208</v>
      </c>
      <c r="X11" s="10">
        <f>[54]Feuil1!$L$40</f>
        <v>38012</v>
      </c>
      <c r="Y11" s="10">
        <f>[54]Feuil1!$M$40</f>
        <v>228</v>
      </c>
      <c r="Z11" s="10">
        <f>[54]Feuil1!$N$40</f>
        <v>1900</v>
      </c>
      <c r="AA11" s="10">
        <f>[54]Feuil1!$O$40</f>
        <v>4690</v>
      </c>
      <c r="AB11" s="12">
        <f t="shared" ref="AB11:AB22" si="6">+Y11+Z11+AA11+X11+W11</f>
        <v>75038</v>
      </c>
      <c r="AC11" s="10">
        <f>[54]Feuil1!$Q$40</f>
        <v>65424</v>
      </c>
      <c r="AD11" s="10">
        <f>[54]Feuil1!$R$40</f>
        <v>9226</v>
      </c>
      <c r="AE11" s="10">
        <f>[54]Feuil1!$S$40</f>
        <v>0</v>
      </c>
      <c r="AF11" s="18">
        <f>[54]Feuil1!$T$40</f>
        <v>388</v>
      </c>
      <c r="AG11" s="12">
        <f t="shared" ref="AG11:AG22" si="7">SUM(AC11:AF11)</f>
        <v>75038</v>
      </c>
      <c r="AH11" s="13">
        <f t="shared" ref="AH11:AH22" si="8">+AG11-AB11</f>
        <v>0</v>
      </c>
      <c r="AI11" s="8">
        <f t="shared" ref="AI11:AI22" si="9">+B11</f>
        <v>43831</v>
      </c>
      <c r="AJ11" s="12">
        <f>'[53]BU-2'!$E$20</f>
        <v>120533</v>
      </c>
      <c r="AK11" s="12">
        <f>'[53]BU-3'!$F$39</f>
        <v>9226</v>
      </c>
      <c r="AL11" s="12">
        <f>'[53]BU-2'!$E$34</f>
        <v>0</v>
      </c>
      <c r="AM11" s="12">
        <f>SUM(AJ11:AL11)</f>
        <v>129759</v>
      </c>
      <c r="AN11" s="12">
        <f>'[53]BU-3'!$F$56</f>
        <v>111021</v>
      </c>
      <c r="AO11" s="10">
        <f>'[53]BU-3'!$F$40</f>
        <v>4690</v>
      </c>
      <c r="AP11" s="10">
        <f>'[53]BU-2'!$E$35</f>
        <v>4822</v>
      </c>
      <c r="AQ11" s="12">
        <f>SUM(AN11:AP11)</f>
        <v>120533</v>
      </c>
      <c r="AR11" s="51">
        <f>+AQ11-AJ11</f>
        <v>0</v>
      </c>
      <c r="AS11" s="8">
        <f>+AI11</f>
        <v>43831</v>
      </c>
      <c r="AT11" s="10">
        <f>'[53]BU-3'!$F$72</f>
        <v>54891</v>
      </c>
      <c r="AU11" s="10">
        <f>'[53]BU-3'!$F$47</f>
        <v>34949</v>
      </c>
      <c r="AV11" s="10">
        <f>[54]Feuil1!$BB$40</f>
        <v>21572</v>
      </c>
      <c r="AW11" s="12">
        <f>SUM(AT11:AV11)</f>
        <v>111412</v>
      </c>
      <c r="AX11" s="10">
        <f>[54]Feuil1!$BD$40</f>
        <v>35762</v>
      </c>
      <c r="AY11" s="20">
        <f>[54]Feuil1!$BE$40</f>
        <v>37434</v>
      </c>
      <c r="AZ11" s="12">
        <f>[54]Feuil1!$BF$40</f>
        <v>38216</v>
      </c>
      <c r="BA11" s="12">
        <f>SUM(AX11:AZ11)</f>
        <v>111412</v>
      </c>
      <c r="BB11" s="13">
        <f>+BA11-AW11</f>
        <v>0</v>
      </c>
      <c r="BC11" s="8">
        <f t="shared" ref="BC11:BC22" si="10">+B11</f>
        <v>43831</v>
      </c>
      <c r="BD11" s="10">
        <f>'[53]BU-2'!$E$15</f>
        <v>138652</v>
      </c>
      <c r="BE11" s="10">
        <f>'[53]BU-3'!$F$69</f>
        <v>93988</v>
      </c>
      <c r="BF11" s="10">
        <f>'[53]BU-3'!$F$13-BE11</f>
        <v>44664</v>
      </c>
      <c r="BG11" s="10">
        <f>'[53]BU-3'!$F$41</f>
        <v>0</v>
      </c>
      <c r="BH11" s="10">
        <f>+SUM(BE11:BG11)</f>
        <v>138652</v>
      </c>
      <c r="BI11" s="10">
        <f>'[53]BU-2'!$E$17</f>
        <v>44664</v>
      </c>
      <c r="BJ11" s="10">
        <f>'[53]BU-3'!$F$12</f>
        <v>1288</v>
      </c>
      <c r="BK11" s="10">
        <f>'[53]BU-3'!$F$45</f>
        <v>1376</v>
      </c>
      <c r="BL11" s="10">
        <f>[54]Feuil1!$AO$40</f>
        <v>22929</v>
      </c>
      <c r="BM11" s="10">
        <f>[54]Feuil1!$AP$40</f>
        <v>19036</v>
      </c>
      <c r="BN11" s="10">
        <f>SUM(BJ11:BM11)</f>
        <v>44629</v>
      </c>
      <c r="BO11" s="10">
        <f>'[53]BU-2'!$E$18</f>
        <v>41965</v>
      </c>
      <c r="BP11" s="10">
        <f>[54]Feuil1!$AX$40</f>
        <v>21682</v>
      </c>
      <c r="BQ11" s="10">
        <f>'[53]BU-3'!$F$58</f>
        <v>15642</v>
      </c>
      <c r="BR11" s="10">
        <f>'[53]BU-3'!$F$44</f>
        <v>20167</v>
      </c>
      <c r="BS11" s="10"/>
      <c r="BT11" s="10">
        <f t="shared" ref="BT11:BT22" si="11">SUM(BP11:BS11)</f>
        <v>57491</v>
      </c>
      <c r="BU11" s="13">
        <f>+BT11-BO11</f>
        <v>15526</v>
      </c>
      <c r="BV11" s="13">
        <f>+BN11-BI11</f>
        <v>-35</v>
      </c>
      <c r="BW11" s="8">
        <f t="shared" ref="BW11:BW22" si="12">+B11</f>
        <v>43831</v>
      </c>
      <c r="BX11" s="10">
        <f>'[53]BU-2'!$E$19</f>
        <v>7062.3779999999997</v>
      </c>
      <c r="BY11" s="10">
        <f>'[53]BU-3'!$F$46</f>
        <v>0</v>
      </c>
      <c r="BZ11" s="10">
        <f>'[53]BU-3'!$F$59</f>
        <v>4014.5929999999998</v>
      </c>
      <c r="CA11" s="10">
        <f>'[53]BU-3'!$F$71</f>
        <v>3047.7849999999999</v>
      </c>
      <c r="CB11" s="10">
        <f>'[53]BU-3'!$F$46</f>
        <v>0</v>
      </c>
      <c r="CC11" s="11">
        <f>+SUM(BY11:CB11)</f>
        <v>7062.3779999999997</v>
      </c>
      <c r="CD11" s="13">
        <f>+CC11-BX11</f>
        <v>0</v>
      </c>
      <c r="CE11" s="8">
        <f t="shared" ref="CE11:CE22" si="13">+B11</f>
        <v>43831</v>
      </c>
      <c r="CF11" s="23">
        <f>'[53]BU-3'!$F$83</f>
        <v>56.490200000000002</v>
      </c>
      <c r="CG11" s="23">
        <f>'[53]BU-3'!$H$83</f>
        <v>0</v>
      </c>
      <c r="CH11" s="23">
        <v>0</v>
      </c>
      <c r="CI11" s="23">
        <f>'[53]BU-3'!$J$83</f>
        <v>0</v>
      </c>
      <c r="CJ11" s="21">
        <f t="shared" ref="CJ11:CJ22" si="14">SUM(CH11:CI11)</f>
        <v>0</v>
      </c>
      <c r="CK11" s="21">
        <f t="shared" ref="CK11:CK23" si="15">+CF11+CG11-CJ11</f>
        <v>56.490200000000002</v>
      </c>
      <c r="CM11" s="8">
        <f t="shared" ref="CM11:CM22" si="16">+B11</f>
        <v>43831</v>
      </c>
      <c r="CN11" s="9">
        <f>'[53]BU-3'!$F$82</f>
        <v>13.248595080000083</v>
      </c>
      <c r="CO11" s="9">
        <f>'[53]BU-3'!$H$82</f>
        <v>21</v>
      </c>
      <c r="CP11" s="9">
        <f>'[53]BU-3'!$J$82</f>
        <v>19.385031120000001</v>
      </c>
      <c r="CQ11" s="11">
        <f>+CN11+CO11-CP11</f>
        <v>14.863563960000086</v>
      </c>
      <c r="CR11" s="23">
        <f>'[53]BU-3'!$F$84</f>
        <v>13.4774902374999</v>
      </c>
      <c r="CS11" s="23">
        <f>'[53]BU-3'!$H$84</f>
        <v>45.6237225</v>
      </c>
      <c r="CT11" s="23">
        <f>'[53]BU-3'!$J$84</f>
        <v>47.3</v>
      </c>
      <c r="CU11" s="21">
        <f>+CR11+CS11-CT11</f>
        <v>11.801212737499903</v>
      </c>
      <c r="CW11" s="8">
        <f t="shared" ref="CW11:CW22" si="17">+B11</f>
        <v>43831</v>
      </c>
      <c r="CX11" s="10">
        <v>448</v>
      </c>
      <c r="CY11" s="10"/>
      <c r="CZ11" s="10"/>
      <c r="DA11" s="10"/>
      <c r="DB11" s="12">
        <f>+CX11+CY11-CZ11-DA11</f>
        <v>448</v>
      </c>
      <c r="DC11" s="10">
        <v>20</v>
      </c>
      <c r="DD11" s="10"/>
      <c r="DE11" s="10"/>
      <c r="DF11" s="12">
        <f>+DC11+DD11-DE11</f>
        <v>20</v>
      </c>
      <c r="DG11" s="10">
        <v>2290</v>
      </c>
      <c r="DH11" s="10"/>
      <c r="DI11" s="10"/>
      <c r="DJ11" s="12">
        <f>+DG11+DH11-DI11</f>
        <v>2290</v>
      </c>
      <c r="DK11" s="13"/>
      <c r="DL11" s="8">
        <f t="shared" ref="DL11:DL22" si="18">+B11</f>
        <v>43831</v>
      </c>
      <c r="DM11" s="106">
        <f>'[53]BU-4'!$E$35</f>
        <v>30.860416666666666</v>
      </c>
      <c r="DN11" s="106">
        <f>'[53]BU-4'!$F$35</f>
        <v>0</v>
      </c>
      <c r="DO11" s="106">
        <f>'[53]BU-4'!$G$35</f>
        <v>0</v>
      </c>
      <c r="DP11" s="106">
        <f>'[53]BU-4'!$H$35</f>
        <v>0.13958333333333334</v>
      </c>
      <c r="DQ11" s="9"/>
      <c r="DR11" s="10"/>
      <c r="DS11" s="10"/>
      <c r="DT11" s="10"/>
      <c r="DU11" s="10"/>
      <c r="DV11" s="10"/>
      <c r="DW11" s="10"/>
      <c r="DX11" s="10"/>
    </row>
    <row r="12" spans="2:128" ht="15.95" customHeight="1" x14ac:dyDescent="0.2">
      <c r="B12" s="8">
        <v>43862</v>
      </c>
      <c r="C12" s="10">
        <f>+'[55]BU-2'!$E$10</f>
        <v>630</v>
      </c>
      <c r="D12" s="10">
        <f>+'[55]BU-3'!$F$11</f>
        <v>1275.6900000000003</v>
      </c>
      <c r="E12" s="10">
        <f>+'[55]BU-2'!$E$28</f>
        <v>53.086903648090612</v>
      </c>
      <c r="F12" s="10">
        <f>+'[55]BU-2'!$E$29</f>
        <v>154.53309635190473</v>
      </c>
      <c r="G12" s="31">
        <f t="shared" si="0"/>
        <v>207.61999999999534</v>
      </c>
      <c r="H12" s="10">
        <f>+'[55]BU-2'!$E$27</f>
        <v>853.31000000000017</v>
      </c>
      <c r="I12" s="52">
        <f t="shared" ref="I12:I22" si="19">+C12+H12-D12-G12</f>
        <v>4.5474735088646412E-12</v>
      </c>
      <c r="J12" s="8">
        <f t="shared" si="1"/>
        <v>43862</v>
      </c>
      <c r="K12" s="10">
        <f>'[55]BU-2'!$E$11</f>
        <v>5240</v>
      </c>
      <c r="L12" s="10">
        <f>'[55]BU-3'!$F$37</f>
        <v>3630</v>
      </c>
      <c r="M12" s="12">
        <f>'[55]BU-3'!$F$38</f>
        <v>5606</v>
      </c>
      <c r="N12" s="33">
        <f t="shared" si="2"/>
        <v>9236</v>
      </c>
      <c r="O12" s="12">
        <f>'[55]BU-2'!$E$30</f>
        <v>0</v>
      </c>
      <c r="P12" s="10">
        <f>'[55]BU-2'!$E$31</f>
        <v>0</v>
      </c>
      <c r="Q12" s="33">
        <f t="shared" si="3"/>
        <v>0</v>
      </c>
      <c r="R12" s="10">
        <f>'[55]BU-2'!$E$32</f>
        <v>5101</v>
      </c>
      <c r="S12" s="10">
        <f>'[55]BU-2'!$E$33</f>
        <v>0</v>
      </c>
      <c r="T12" s="33">
        <f t="shared" si="4"/>
        <v>5101</v>
      </c>
      <c r="U12" s="13">
        <f t="shared" ref="U12:U23" si="20">+K11+T11-N11-Q11</f>
        <v>-342</v>
      </c>
      <c r="V12" s="8">
        <f t="shared" si="5"/>
        <v>43862</v>
      </c>
      <c r="W12" s="10">
        <f>[56]Feuil1!$K$40</f>
        <v>3174</v>
      </c>
      <c r="X12" s="10">
        <f>[56]Feuil1!$L$40</f>
        <v>1937</v>
      </c>
      <c r="Y12" s="10">
        <f>[56]Feuil1!$M$40</f>
        <v>0</v>
      </c>
      <c r="Z12" s="10">
        <f>[56]Feuil1!$N$40</f>
        <v>5606</v>
      </c>
      <c r="AA12" s="10">
        <f>[56]Feuil1!$O$40</f>
        <v>1903</v>
      </c>
      <c r="AB12" s="12">
        <f t="shared" si="6"/>
        <v>12620</v>
      </c>
      <c r="AC12" s="10">
        <f>[56]Feuil1!$Q$40</f>
        <v>9772</v>
      </c>
      <c r="AD12" s="10">
        <f>[56]Feuil1!$R$40</f>
        <v>1956</v>
      </c>
      <c r="AE12" s="10">
        <f>[56]Feuil1!$S$40</f>
        <v>710</v>
      </c>
      <c r="AF12" s="18">
        <f>[56]Feuil1!$T$40</f>
        <v>182</v>
      </c>
      <c r="AG12" s="12">
        <f t="shared" si="7"/>
        <v>12620</v>
      </c>
      <c r="AH12" s="13">
        <f t="shared" si="8"/>
        <v>0</v>
      </c>
      <c r="AI12" s="8">
        <f t="shared" si="9"/>
        <v>43862</v>
      </c>
      <c r="AJ12" s="12">
        <f>'[55]BU-2'!$E$20</f>
        <v>18579</v>
      </c>
      <c r="AK12" s="12">
        <f>'[55]BU-3'!$F$39</f>
        <v>1956</v>
      </c>
      <c r="AL12" s="12">
        <f>'[55]BU-2'!$E$34</f>
        <v>0</v>
      </c>
      <c r="AM12" s="12">
        <f t="shared" ref="AM12:AM22" si="21">SUM(AJ12:AL12)</f>
        <v>20535</v>
      </c>
      <c r="AN12" s="12">
        <f>'[55]BU-3'!$F$56</f>
        <v>9389</v>
      </c>
      <c r="AO12" s="10">
        <f>'[55]BU-3'!$F$40</f>
        <v>1903</v>
      </c>
      <c r="AP12" s="10">
        <f>'[55]BU-2'!$E$35</f>
        <v>6821</v>
      </c>
      <c r="AQ12" s="12">
        <f t="shared" ref="AQ12:AQ22" si="22">SUM(AN12:AP12)</f>
        <v>18113</v>
      </c>
      <c r="AR12" s="51">
        <f t="shared" ref="AR12:AR22" si="23">+AQ12-AJ12</f>
        <v>-466</v>
      </c>
      <c r="AS12" s="8">
        <f t="shared" ref="AS12:AS22" si="24">+AI12</f>
        <v>43862</v>
      </c>
      <c r="AT12" s="10">
        <f>'[55]BU-3'!$F$72</f>
        <v>3857</v>
      </c>
      <c r="AU12" s="10">
        <f>'[55]BU-3'!$F$47</f>
        <v>2403</v>
      </c>
      <c r="AV12" s="10">
        <f>[56]Feuil1!$BB$40</f>
        <v>10287</v>
      </c>
      <c r="AW12" s="12">
        <f t="shared" ref="AW12:AW22" si="25">SUM(AT12:AV12)</f>
        <v>16547</v>
      </c>
      <c r="AX12" s="10">
        <f>[56]Feuil1!$BD$40</f>
        <v>5649</v>
      </c>
      <c r="AY12" s="20">
        <f>[56]Feuil1!$BE$40</f>
        <v>1538</v>
      </c>
      <c r="AZ12" s="12">
        <f>[56]Feuil1!$BF$40</f>
        <v>9271</v>
      </c>
      <c r="BA12" s="12">
        <f t="shared" ref="BA12:BA22" si="26">SUM(AX12:AZ12)</f>
        <v>16458</v>
      </c>
      <c r="BB12" s="13">
        <f t="shared" ref="BB12:BB22" si="27">+BA12-AW12</f>
        <v>-89</v>
      </c>
      <c r="BC12" s="8">
        <f t="shared" si="10"/>
        <v>43862</v>
      </c>
      <c r="BD12" s="10">
        <f>'[55]BU-2'!$E$15</f>
        <v>56485</v>
      </c>
      <c r="BE12" s="10">
        <f>'[55]BU-3'!$F$69</f>
        <v>41613</v>
      </c>
      <c r="BF12" s="10">
        <f>'[55]BU-3'!$F$13-BE12</f>
        <v>16107</v>
      </c>
      <c r="BG12" s="10">
        <f>'[55]BU-3'!$F$41</f>
        <v>971</v>
      </c>
      <c r="BH12" s="10">
        <f t="shared" ref="BH12:BH22" si="28">+SUM(BE12:BG12)</f>
        <v>58691</v>
      </c>
      <c r="BI12" s="10">
        <f>'[55]BU-2'!$E$17</f>
        <v>15136</v>
      </c>
      <c r="BJ12" s="10">
        <f>'[55]BU-3'!$F$12</f>
        <v>1440</v>
      </c>
      <c r="BK12" s="10">
        <f>'[55]BU-3'!$F$45</f>
        <v>1106</v>
      </c>
      <c r="BL12" s="10">
        <f>[56]Feuil1!$AO$40</f>
        <v>7265</v>
      </c>
      <c r="BM12" s="10">
        <f>[56]Feuil1!$AP$40</f>
        <v>5735</v>
      </c>
      <c r="BN12" s="10">
        <f>SUM(BJ12:BM12)</f>
        <v>15546</v>
      </c>
      <c r="BO12" s="10">
        <f>'[55]BU-2'!$E$18</f>
        <v>13000</v>
      </c>
      <c r="BP12" s="10">
        <f>[56]Feuil1!$AX$40</f>
        <v>10527</v>
      </c>
      <c r="BQ12" s="10">
        <f>'[55]BU-3'!$F$58</f>
        <v>1222</v>
      </c>
      <c r="BR12" s="10">
        <f>'[55]BU-3'!$F$44</f>
        <v>2888</v>
      </c>
      <c r="BS12" s="10"/>
      <c r="BT12" s="10">
        <f t="shared" si="11"/>
        <v>14637</v>
      </c>
      <c r="BU12" s="13">
        <f t="shared" ref="BU12:BU22" si="29">+BT12-BO12</f>
        <v>1637</v>
      </c>
      <c r="BV12" s="13">
        <f t="shared" ref="BV12:BV22" si="30">+BN12-BI12</f>
        <v>410</v>
      </c>
      <c r="BW12" s="8">
        <f t="shared" si="12"/>
        <v>43862</v>
      </c>
      <c r="BX12" s="10">
        <f>'[55]BU-2'!$E$19</f>
        <v>1021.588</v>
      </c>
      <c r="BY12" s="10">
        <f>'[55]BU-3'!$F$46</f>
        <v>0</v>
      </c>
      <c r="BZ12" s="10">
        <f>'[55]BU-3'!$F$59</f>
        <v>542.77800000000002</v>
      </c>
      <c r="CA12" s="10">
        <f>'[55]BU-3'!$F$71</f>
        <v>478.81</v>
      </c>
      <c r="CB12" s="10">
        <f>'[55]BU-3'!$F$46</f>
        <v>0</v>
      </c>
      <c r="CC12" s="11">
        <f t="shared" ref="CC12:CC22" si="31">+SUM(BY12:CB12)</f>
        <v>1021.588</v>
      </c>
      <c r="CD12" s="13">
        <f t="shared" ref="CD12:CD22" si="32">+CC12-BX12</f>
        <v>0</v>
      </c>
      <c r="CE12" s="8">
        <f t="shared" si="13"/>
        <v>43862</v>
      </c>
      <c r="CF12" s="21">
        <f>+CK11</f>
        <v>56.490200000000002</v>
      </c>
      <c r="CG12" s="23">
        <f>'[55]BU-3'!$H$83</f>
        <v>0</v>
      </c>
      <c r="CH12" s="23">
        <v>0</v>
      </c>
      <c r="CI12" s="23">
        <f>'[55]BU-3'!$J$83</f>
        <v>0</v>
      </c>
      <c r="CJ12" s="21">
        <f t="shared" si="14"/>
        <v>0</v>
      </c>
      <c r="CK12" s="21">
        <f t="shared" si="15"/>
        <v>56.490200000000002</v>
      </c>
      <c r="CM12" s="8">
        <f t="shared" si="16"/>
        <v>43862</v>
      </c>
      <c r="CN12" s="11">
        <f t="shared" ref="CN12:CN22" si="33">+CQ11</f>
        <v>14.863563960000086</v>
      </c>
      <c r="CO12" s="9">
        <f>'[55]BU-3'!$H$82</f>
        <v>0</v>
      </c>
      <c r="CP12" s="9">
        <f>'[55]BU-3'!$J$82</f>
        <v>6.6794649599999989</v>
      </c>
      <c r="CQ12" s="11">
        <f t="shared" ref="CQ12:CQ21" si="34">+CN12+CO12-CP12</f>
        <v>8.1840990000000868</v>
      </c>
      <c r="CR12" s="11">
        <f>+CU11</f>
        <v>11.801212737499903</v>
      </c>
      <c r="CS12" s="23">
        <f>'[55]BU-3'!$H$84</f>
        <v>17.374045624999997</v>
      </c>
      <c r="CT12" s="23">
        <f>'[55]BU-3'!$J$84</f>
        <v>17</v>
      </c>
      <c r="CU12" s="21">
        <f t="shared" ref="CU12:CU23" si="35">+CR12+CS12-CT12</f>
        <v>12.1752583624999</v>
      </c>
      <c r="CW12" s="8">
        <f t="shared" si="17"/>
        <v>43862</v>
      </c>
      <c r="CX12" s="12">
        <f>+DB11</f>
        <v>448</v>
      </c>
      <c r="CY12" s="10"/>
      <c r="CZ12" s="10"/>
      <c r="DA12" s="10"/>
      <c r="DB12" s="12">
        <f t="shared" ref="DB12:DB23" si="36">+CX12+CY12-CZ12-DA12</f>
        <v>448</v>
      </c>
      <c r="DC12" s="12">
        <f>+DF11</f>
        <v>20</v>
      </c>
      <c r="DD12" s="10"/>
      <c r="DE12" s="10"/>
      <c r="DF12" s="12">
        <f t="shared" ref="DF12:DF23" si="37">+DC12+DD12-DE12</f>
        <v>20</v>
      </c>
      <c r="DG12" s="12">
        <f>+DJ11</f>
        <v>2290</v>
      </c>
      <c r="DH12" s="10"/>
      <c r="DI12" s="10"/>
      <c r="DJ12" s="12">
        <f t="shared" ref="DJ12:DJ23" si="38">+DG12+DH12-DI12</f>
        <v>2290</v>
      </c>
      <c r="DK12" s="13"/>
      <c r="DL12" s="8">
        <f t="shared" si="18"/>
        <v>43862</v>
      </c>
      <c r="DM12" s="106">
        <f>'[55]BU-4'!$E$35</f>
        <v>2.1777777777777776</v>
      </c>
      <c r="DN12" s="106">
        <f>'[55]BU-4'!$F$35</f>
        <v>0</v>
      </c>
      <c r="DO12" s="106">
        <f>'[55]BU-4'!$G$35</f>
        <v>0</v>
      </c>
      <c r="DP12" s="106">
        <f>'[55]BU-4'!$H$35</f>
        <v>26.822222222222223</v>
      </c>
      <c r="DQ12" s="10"/>
      <c r="DR12" s="10"/>
      <c r="DS12" s="10"/>
      <c r="DT12" s="10"/>
      <c r="DU12" s="10"/>
      <c r="DV12" s="10"/>
      <c r="DW12" s="10"/>
      <c r="DX12" s="10"/>
    </row>
    <row r="13" spans="2:128" ht="15.95" customHeight="1" x14ac:dyDescent="0.2">
      <c r="B13" s="8">
        <v>43891</v>
      </c>
      <c r="C13" s="10">
        <f>+'[57]BU-2'!$E$10</f>
        <v>8623</v>
      </c>
      <c r="D13" s="10">
        <f>+'[57]BU-3'!$F$11</f>
        <v>3583.2500000000064</v>
      </c>
      <c r="E13" s="10">
        <f>+'[57]BU-2'!$E$28</f>
        <v>2360.8755377781108</v>
      </c>
      <c r="F13" s="10">
        <f>+'[57]BU-2'!$E$29</f>
        <v>3501.5344622218636</v>
      </c>
      <c r="G13" s="31">
        <f t="shared" si="0"/>
        <v>5862.4099999999744</v>
      </c>
      <c r="H13" s="10">
        <f>+'[57]BU-2'!$E$27</f>
        <v>822.66</v>
      </c>
      <c r="I13" s="52">
        <f t="shared" si="19"/>
        <v>1.9099388737231493E-11</v>
      </c>
      <c r="J13" s="8">
        <f t="shared" si="1"/>
        <v>43891</v>
      </c>
      <c r="K13" s="10">
        <f>'[57]BU-2'!$E$11</f>
        <v>42865</v>
      </c>
      <c r="L13" s="10">
        <f>'[57]BU-3'!$F$37</f>
        <v>41271</v>
      </c>
      <c r="M13" s="12">
        <f>'[57]BU-3'!$F$38</f>
        <v>1224</v>
      </c>
      <c r="N13" s="33">
        <f t="shared" si="2"/>
        <v>42495</v>
      </c>
      <c r="O13" s="12">
        <f>'[57]BU-2'!$E$30</f>
        <v>2478</v>
      </c>
      <c r="P13" s="10">
        <f>'[57]BU-2'!$E$31</f>
        <v>288</v>
      </c>
      <c r="Q13" s="33">
        <f t="shared" si="3"/>
        <v>2766</v>
      </c>
      <c r="R13" s="10">
        <f>'[57]BU-2'!$E$32</f>
        <v>3692</v>
      </c>
      <c r="S13" s="10">
        <f>'[57]BU-2'!$E$33</f>
        <v>0</v>
      </c>
      <c r="T13" s="33">
        <f t="shared" si="4"/>
        <v>3692</v>
      </c>
      <c r="U13" s="13">
        <f t="shared" si="20"/>
        <v>1105</v>
      </c>
      <c r="V13" s="8">
        <f t="shared" si="5"/>
        <v>43891</v>
      </c>
      <c r="W13" s="10">
        <f>[58]Feuil1!$K$40</f>
        <v>16621</v>
      </c>
      <c r="X13" s="10">
        <f>[58]Feuil1!$L$40</f>
        <v>14819</v>
      </c>
      <c r="Y13" s="10">
        <f>[58]Feuil1!$M$40</f>
        <v>3228</v>
      </c>
      <c r="Z13" s="10">
        <f>[58]Feuil1!$N$40</f>
        <v>1224</v>
      </c>
      <c r="AA13" s="10">
        <f>[58]Feuil1!$O$40</f>
        <v>2504</v>
      </c>
      <c r="AB13" s="12">
        <f t="shared" si="6"/>
        <v>38396</v>
      </c>
      <c r="AC13" s="10">
        <f>[58]Feuil1!$Q$40</f>
        <v>28679</v>
      </c>
      <c r="AD13" s="10">
        <f>[58]Feuil1!$R$40</f>
        <v>5757</v>
      </c>
      <c r="AE13" s="10">
        <f>[58]Feuil1!$S$40</f>
        <v>0</v>
      </c>
      <c r="AF13" s="18">
        <f>[58]Feuil1!$T$40</f>
        <v>3960</v>
      </c>
      <c r="AG13" s="12">
        <f t="shared" si="7"/>
        <v>38396</v>
      </c>
      <c r="AH13" s="13">
        <f t="shared" si="8"/>
        <v>0</v>
      </c>
      <c r="AI13" s="8">
        <f t="shared" si="9"/>
        <v>43891</v>
      </c>
      <c r="AJ13" s="12">
        <f>'[57]BU-2'!$E$20</f>
        <v>73282</v>
      </c>
      <c r="AK13" s="12">
        <f>'[57]BU-3'!$F$39</f>
        <v>5757</v>
      </c>
      <c r="AL13" s="12">
        <f>'[57]BU-2'!$E$34</f>
        <v>0</v>
      </c>
      <c r="AM13" s="12">
        <f t="shared" si="21"/>
        <v>79039</v>
      </c>
      <c r="AN13" s="12">
        <f>'[57]BU-3'!$F$56</f>
        <v>69621</v>
      </c>
      <c r="AO13" s="10">
        <f>'[57]BU-3'!$F$40</f>
        <v>2504</v>
      </c>
      <c r="AP13" s="10">
        <f>'[57]BU-2'!$E$35</f>
        <v>1157</v>
      </c>
      <c r="AQ13" s="12">
        <f t="shared" si="22"/>
        <v>73282</v>
      </c>
      <c r="AR13" s="51">
        <f t="shared" si="23"/>
        <v>0</v>
      </c>
      <c r="AS13" s="8">
        <f t="shared" si="24"/>
        <v>43891</v>
      </c>
      <c r="AT13" s="10">
        <f>'[57]BU-3'!$F$72</f>
        <v>24414</v>
      </c>
      <c r="AU13" s="10">
        <f>'[57]BU-3'!$F$47</f>
        <v>23224</v>
      </c>
      <c r="AV13" s="10">
        <f>[58]Feuil1!$BB$40</f>
        <v>20387</v>
      </c>
      <c r="AW13" s="12">
        <f t="shared" si="25"/>
        <v>68025</v>
      </c>
      <c r="AX13" s="10">
        <f>[58]Feuil1!$BD$40</f>
        <v>35948</v>
      </c>
      <c r="AY13" s="20">
        <f>[58]Feuil1!$BE$40</f>
        <v>30882</v>
      </c>
      <c r="AZ13" s="12">
        <f>[58]Feuil1!$BF$40</f>
        <v>1130</v>
      </c>
      <c r="BA13" s="12">
        <f t="shared" si="26"/>
        <v>67960</v>
      </c>
      <c r="BB13" s="13">
        <f t="shared" si="27"/>
        <v>-65</v>
      </c>
      <c r="BC13" s="8">
        <f t="shared" si="10"/>
        <v>43891</v>
      </c>
      <c r="BD13" s="10">
        <f>'[57]BU-2'!$E$15</f>
        <v>96029</v>
      </c>
      <c r="BE13" s="10">
        <f>'[57]BU-3'!$F$69</f>
        <v>58742</v>
      </c>
      <c r="BF13" s="10">
        <f>'[57]BU-3'!$F$13-BE13</f>
        <v>36772</v>
      </c>
      <c r="BG13" s="10">
        <f>'[57]BU-3'!$F$41</f>
        <v>373</v>
      </c>
      <c r="BH13" s="10">
        <f t="shared" si="28"/>
        <v>95887</v>
      </c>
      <c r="BI13" s="10">
        <f>'[57]BU-2'!$E$17</f>
        <v>36399</v>
      </c>
      <c r="BJ13" s="10">
        <f>'[57]BU-3'!$F$12</f>
        <v>1546</v>
      </c>
      <c r="BK13" s="10">
        <f>'[57]BU-3'!$F$45</f>
        <v>1119</v>
      </c>
      <c r="BL13" s="10">
        <f>[54]Feuil1!$AO$40</f>
        <v>22929</v>
      </c>
      <c r="BM13" s="10">
        <f>[54]Feuil1!$AP$40</f>
        <v>19036</v>
      </c>
      <c r="BN13" s="10">
        <f>SUM(BJ13:BM13)</f>
        <v>44630</v>
      </c>
      <c r="BO13" s="10">
        <f>'[57]BU-2'!$E$18</f>
        <v>33271</v>
      </c>
      <c r="BP13" s="10">
        <f>[58]Feuil1!$AX$40</f>
        <v>20009</v>
      </c>
      <c r="BQ13" s="10">
        <f>'[57]BU-3'!$F$58</f>
        <v>9050</v>
      </c>
      <c r="BR13" s="10">
        <f>'[57]BU-3'!$F$44</f>
        <v>12617</v>
      </c>
      <c r="BS13" s="10"/>
      <c r="BT13" s="10">
        <f t="shared" si="11"/>
        <v>41676</v>
      </c>
      <c r="BU13" s="13">
        <f t="shared" si="29"/>
        <v>8405</v>
      </c>
      <c r="BV13" s="13">
        <f t="shared" si="30"/>
        <v>8231</v>
      </c>
      <c r="BW13" s="8">
        <f t="shared" si="12"/>
        <v>43891</v>
      </c>
      <c r="BX13" s="10">
        <f>'[57]BU-2'!$E$19</f>
        <v>3633.241</v>
      </c>
      <c r="BY13" s="10">
        <f>'[57]BU-3'!$F$46</f>
        <v>0</v>
      </c>
      <c r="BZ13" s="10">
        <f>'[57]BU-3'!$F$59</f>
        <v>2035.172</v>
      </c>
      <c r="CA13" s="10">
        <f>'[57]BU-3'!$F$71</f>
        <v>1598.069</v>
      </c>
      <c r="CB13" s="10">
        <f>'[57]BU-3'!$F$46</f>
        <v>0</v>
      </c>
      <c r="CC13" s="11">
        <f t="shared" si="31"/>
        <v>3633.241</v>
      </c>
      <c r="CD13" s="13">
        <f t="shared" si="32"/>
        <v>0</v>
      </c>
      <c r="CE13" s="8">
        <f t="shared" si="13"/>
        <v>43891</v>
      </c>
      <c r="CF13" s="21">
        <f t="shared" ref="CF13:CF22" si="39">+CK12</f>
        <v>56.490200000000002</v>
      </c>
      <c r="CG13" s="23">
        <f>'[57]BU-3'!$H$83</f>
        <v>153</v>
      </c>
      <c r="CH13" s="23">
        <v>0</v>
      </c>
      <c r="CI13" s="23">
        <f>'[57]BU-3'!$J$83</f>
        <v>155.32</v>
      </c>
      <c r="CJ13" s="21">
        <f t="shared" si="14"/>
        <v>155.32</v>
      </c>
      <c r="CK13" s="21">
        <f t="shared" si="15"/>
        <v>54.170200000000023</v>
      </c>
      <c r="CM13" s="8">
        <f t="shared" si="16"/>
        <v>43891</v>
      </c>
      <c r="CN13" s="11">
        <f t="shared" si="33"/>
        <v>8.1840990000000868</v>
      </c>
      <c r="CO13" s="9">
        <f>'[57]BU-3'!$H$82</f>
        <v>17</v>
      </c>
      <c r="CP13" s="9">
        <f>'[57]BU-3'!$J$82</f>
        <v>14.553427559999999</v>
      </c>
      <c r="CQ13" s="11">
        <f t="shared" si="34"/>
        <v>10.630671440000089</v>
      </c>
      <c r="CR13" s="11">
        <f t="shared" ref="CR13:CR21" si="40">+CU12</f>
        <v>12.1752583624999</v>
      </c>
      <c r="CS13" s="23">
        <f>'[57]BU-3'!$H$84</f>
        <v>17.374045624999997</v>
      </c>
      <c r="CT13" s="23">
        <f>'[57]BU-3'!$J$84</f>
        <v>19.600000000000001</v>
      </c>
      <c r="CU13" s="21">
        <f t="shared" si="35"/>
        <v>9.9493039874998956</v>
      </c>
      <c r="CW13" s="8">
        <f t="shared" si="17"/>
        <v>43891</v>
      </c>
      <c r="CX13" s="12">
        <f t="shared" ref="CX13:CX22" si="41">+DB12</f>
        <v>448</v>
      </c>
      <c r="CY13" s="10"/>
      <c r="CZ13" s="10"/>
      <c r="DA13" s="10"/>
      <c r="DB13" s="12">
        <f t="shared" si="36"/>
        <v>448</v>
      </c>
      <c r="DC13" s="12">
        <f t="shared" ref="DC13:DC22" si="42">+DF12</f>
        <v>20</v>
      </c>
      <c r="DD13" s="10"/>
      <c r="DE13" s="10"/>
      <c r="DF13" s="12">
        <f t="shared" si="37"/>
        <v>20</v>
      </c>
      <c r="DG13" s="12">
        <f t="shared" ref="DG13:DG22" si="43">+DJ12</f>
        <v>2290</v>
      </c>
      <c r="DH13" s="10"/>
      <c r="DI13" s="10"/>
      <c r="DJ13" s="12">
        <f t="shared" si="38"/>
        <v>2290</v>
      </c>
      <c r="DK13" s="13"/>
      <c r="DL13" s="8">
        <f t="shared" si="18"/>
        <v>43891</v>
      </c>
      <c r="DM13" s="106">
        <f>'[57]BU-4'!$E$35</f>
        <v>14.402083333333334</v>
      </c>
      <c r="DN13" s="106">
        <f>'[57]BU-4'!$F$35</f>
        <v>0</v>
      </c>
      <c r="DO13" s="106">
        <f>'[57]BU-4'!$G$35</f>
        <v>0.18124999999999999</v>
      </c>
      <c r="DP13" s="106">
        <f>'[57]BU-4'!$H$35</f>
        <v>16.416666666666668</v>
      </c>
      <c r="DQ13" s="10"/>
      <c r="DR13" s="10"/>
      <c r="DS13" s="10"/>
      <c r="DT13" s="10"/>
      <c r="DU13" s="10"/>
      <c r="DV13" s="10"/>
      <c r="DW13" s="10"/>
      <c r="DX13" s="10"/>
    </row>
    <row r="14" spans="2:128" ht="15.95" customHeight="1" x14ac:dyDescent="0.2">
      <c r="B14" s="8">
        <v>43922</v>
      </c>
      <c r="C14" s="10">
        <f>+'[59]BU-2'!$E$10</f>
        <v>13827</v>
      </c>
      <c r="D14" s="10">
        <f>+'[59]BU-3'!$F$11</f>
        <v>6452.4699999999975</v>
      </c>
      <c r="E14" s="10">
        <f>+'[59]BU-2'!$E$28</f>
        <v>2636.3216552898139</v>
      </c>
      <c r="F14" s="10">
        <f>+'[59]BU-2'!$E$29</f>
        <v>5053.9683447101943</v>
      </c>
      <c r="G14" s="31">
        <f t="shared" si="0"/>
        <v>7690.2900000000081</v>
      </c>
      <c r="H14" s="10">
        <f>+'[59]BU-2'!$E$27</f>
        <v>315.7600000000009</v>
      </c>
      <c r="I14" s="52">
        <f t="shared" si="19"/>
        <v>0</v>
      </c>
      <c r="J14" s="8">
        <f t="shared" si="1"/>
        <v>43922</v>
      </c>
      <c r="K14" s="10">
        <f>'[59]BU-2'!$E$11</f>
        <v>81627</v>
      </c>
      <c r="L14" s="10">
        <f>'[59]BU-3'!$F$37</f>
        <v>80020</v>
      </c>
      <c r="M14" s="12">
        <f>'[59]BU-3'!$F$38</f>
        <v>4674</v>
      </c>
      <c r="N14" s="33">
        <f t="shared" si="2"/>
        <v>84694</v>
      </c>
      <c r="O14" s="12">
        <f>'[59]BU-2'!$E$30</f>
        <v>1291</v>
      </c>
      <c r="P14" s="10">
        <f>'[59]BU-2'!$E$31</f>
        <v>830</v>
      </c>
      <c r="Q14" s="33">
        <f t="shared" si="3"/>
        <v>2121</v>
      </c>
      <c r="R14" s="10">
        <f>'[59]BU-2'!$E$32</f>
        <v>617</v>
      </c>
      <c r="S14" s="10">
        <f>'[59]BU-2'!$E$33</f>
        <v>0</v>
      </c>
      <c r="T14" s="33">
        <f t="shared" si="4"/>
        <v>617</v>
      </c>
      <c r="U14" s="13">
        <f t="shared" si="20"/>
        <v>1296</v>
      </c>
      <c r="V14" s="8">
        <f t="shared" si="5"/>
        <v>43922</v>
      </c>
      <c r="W14" s="10">
        <f>[60]Feuil1!$K$40</f>
        <v>30628</v>
      </c>
      <c r="X14" s="10">
        <f>[60]Feuil1!$L$40</f>
        <v>45477</v>
      </c>
      <c r="Y14" s="10">
        <f>[60]Feuil1!$M$40</f>
        <v>2876</v>
      </c>
      <c r="Z14" s="10">
        <f>[60]Feuil1!$N$40</f>
        <v>4674</v>
      </c>
      <c r="AA14" s="10">
        <f>[60]Feuil1!$O$40</f>
        <v>5675</v>
      </c>
      <c r="AB14" s="12">
        <f t="shared" si="6"/>
        <v>89330</v>
      </c>
      <c r="AC14" s="10">
        <f>[60]Feuil1!$Q$40</f>
        <v>74008</v>
      </c>
      <c r="AD14" s="10">
        <f>[60]Feuil1!$R$40</f>
        <v>12720</v>
      </c>
      <c r="AE14" s="10">
        <f>[60]Feuil1!$S$40</f>
        <v>45</v>
      </c>
      <c r="AF14" s="18">
        <f>[60]Feuil1!$T$40</f>
        <v>2557</v>
      </c>
      <c r="AG14" s="12">
        <f t="shared" si="7"/>
        <v>89330</v>
      </c>
      <c r="AH14" s="13">
        <f t="shared" si="8"/>
        <v>0</v>
      </c>
      <c r="AI14" s="8">
        <f t="shared" si="9"/>
        <v>43922</v>
      </c>
      <c r="AJ14" s="12">
        <f>'[59]BU-2'!$E$20</f>
        <v>132098</v>
      </c>
      <c r="AK14" s="12">
        <f>'[59]BU-3'!$F$39</f>
        <v>12720</v>
      </c>
      <c r="AL14" s="12">
        <f>'[59]BU-2'!$E$34</f>
        <v>0</v>
      </c>
      <c r="AM14" s="12">
        <f t="shared" si="21"/>
        <v>144818</v>
      </c>
      <c r="AN14" s="12">
        <f>'[59]BU-3'!$F$56</f>
        <v>125917</v>
      </c>
      <c r="AO14" s="10">
        <f>'[59]BU-3'!$F$40</f>
        <v>5675</v>
      </c>
      <c r="AP14" s="10">
        <f>'[59]BU-2'!$E$35</f>
        <v>506</v>
      </c>
      <c r="AQ14" s="12">
        <f t="shared" si="22"/>
        <v>132098</v>
      </c>
      <c r="AR14" s="51">
        <f t="shared" si="23"/>
        <v>0</v>
      </c>
      <c r="AS14" s="8">
        <f t="shared" si="24"/>
        <v>43922</v>
      </c>
      <c r="AT14" s="10">
        <f>'[59]BU-3'!$F$72</f>
        <v>68099</v>
      </c>
      <c r="AU14" s="10">
        <f>'[59]BU-3'!$F$47</f>
        <v>31145</v>
      </c>
      <c r="AV14" s="10">
        <f>[60]Feuil1!$BB$40</f>
        <v>20324</v>
      </c>
      <c r="AW14" s="12">
        <f t="shared" si="25"/>
        <v>119568</v>
      </c>
      <c r="AX14" s="10">
        <f>[60]Feuil1!$BD$40</f>
        <v>41331</v>
      </c>
      <c r="AY14" s="20">
        <f>[60]Feuil1!$BE$40</f>
        <v>25861</v>
      </c>
      <c r="AZ14" s="12">
        <f>[60]Feuil1!$BF$40</f>
        <v>52231</v>
      </c>
      <c r="BA14" s="12">
        <f t="shared" si="26"/>
        <v>119423</v>
      </c>
      <c r="BB14" s="13">
        <f t="shared" si="27"/>
        <v>-145</v>
      </c>
      <c r="BC14" s="8">
        <f t="shared" si="10"/>
        <v>43922</v>
      </c>
      <c r="BD14" s="10">
        <f>'[59]BU-2'!$E$15</f>
        <v>160896</v>
      </c>
      <c r="BE14" s="10">
        <f>'[59]BU-3'!$F$69</f>
        <v>116132</v>
      </c>
      <c r="BF14" s="10">
        <f>'[59]BU-3'!$F$13-BE14</f>
        <v>44519</v>
      </c>
      <c r="BG14" s="10">
        <f>'[59]BU-3'!$F$41</f>
        <v>0</v>
      </c>
      <c r="BH14" s="10">
        <f t="shared" si="28"/>
        <v>160651</v>
      </c>
      <c r="BI14" s="10">
        <f>'[59]BU-2'!$E$17</f>
        <v>44519</v>
      </c>
      <c r="BJ14" s="10">
        <f>'[59]BU-3'!$F$12</f>
        <v>818</v>
      </c>
      <c r="BK14" s="10">
        <f>'[59]BU-3'!$F$45</f>
        <v>1245</v>
      </c>
      <c r="BL14" s="10">
        <f>[54]Feuil1!$AO$40</f>
        <v>22929</v>
      </c>
      <c r="BM14" s="10">
        <f>[54]Feuil1!$AP$40</f>
        <v>19036</v>
      </c>
      <c r="BN14" s="10">
        <f>SUM(BJ14:BM14)</f>
        <v>44028</v>
      </c>
      <c r="BO14" s="10">
        <f>'[59]BU-2'!$E$18</f>
        <v>42484</v>
      </c>
      <c r="BP14" s="10">
        <f>[60]Feuil1!$AX$40</f>
        <v>20227</v>
      </c>
      <c r="BQ14" s="10">
        <f>'[59]BU-3'!$F$58</f>
        <v>16633</v>
      </c>
      <c r="BR14" s="10">
        <f>'[59]BU-3'!$F$44</f>
        <v>21697</v>
      </c>
      <c r="BS14" s="10"/>
      <c r="BT14" s="10">
        <f t="shared" si="11"/>
        <v>58557</v>
      </c>
      <c r="BU14" s="13">
        <f t="shared" si="29"/>
        <v>16073</v>
      </c>
      <c r="BV14" s="13">
        <f t="shared" si="30"/>
        <v>-491</v>
      </c>
      <c r="BW14" s="8">
        <f t="shared" si="12"/>
        <v>43922</v>
      </c>
      <c r="BX14" s="10">
        <f>'[59]BU-2'!$E$19</f>
        <v>7475.46</v>
      </c>
      <c r="BY14" s="10">
        <f>'[59]BU-3'!$F$46</f>
        <v>0</v>
      </c>
      <c r="BZ14" s="10">
        <f>'[59]BU-3'!$F$59</f>
        <v>3955.038</v>
      </c>
      <c r="CA14" s="10">
        <f>'[59]BU-3'!$F$71</f>
        <v>3520.422</v>
      </c>
      <c r="CB14" s="10">
        <f>'[59]BU-3'!$F$46</f>
        <v>0</v>
      </c>
      <c r="CC14" s="11">
        <f t="shared" si="31"/>
        <v>7475.46</v>
      </c>
      <c r="CD14" s="13">
        <f t="shared" si="32"/>
        <v>0</v>
      </c>
      <c r="CE14" s="8">
        <f t="shared" si="13"/>
        <v>43922</v>
      </c>
      <c r="CF14" s="21">
        <f t="shared" si="39"/>
        <v>54.170200000000023</v>
      </c>
      <c r="CG14" s="23">
        <f>'[59]BU-3'!$H$83</f>
        <v>0</v>
      </c>
      <c r="CH14" s="23">
        <v>0</v>
      </c>
      <c r="CI14" s="23">
        <f>'[59]BU-3'!$J$83</f>
        <v>0</v>
      </c>
      <c r="CJ14" s="21">
        <f t="shared" si="14"/>
        <v>0</v>
      </c>
      <c r="CK14" s="21">
        <f t="shared" si="15"/>
        <v>54.170200000000023</v>
      </c>
      <c r="CM14" s="8">
        <f t="shared" si="16"/>
        <v>43922</v>
      </c>
      <c r="CN14" s="11">
        <f t="shared" si="33"/>
        <v>10.630671440000089</v>
      </c>
      <c r="CO14" s="9">
        <f>'[59]BU-3'!$H$82</f>
        <v>29.1</v>
      </c>
      <c r="CP14" s="9">
        <f>'[59]BU-3'!$J$82</f>
        <v>22.430964359999997</v>
      </c>
      <c r="CQ14" s="11">
        <f t="shared" si="34"/>
        <v>17.299707080000097</v>
      </c>
      <c r="CR14" s="11">
        <f t="shared" si="40"/>
        <v>9.9493039874998956</v>
      </c>
      <c r="CS14" s="23">
        <f>'[59]BU-3'!$H$84</f>
        <v>45.803484999999995</v>
      </c>
      <c r="CT14" s="23">
        <f>'[59]BU-3'!$J$84</f>
        <v>42.15</v>
      </c>
      <c r="CU14" s="21">
        <f t="shared" si="35"/>
        <v>13.602788987499892</v>
      </c>
      <c r="CW14" s="8">
        <f t="shared" si="17"/>
        <v>43922</v>
      </c>
      <c r="CX14" s="12">
        <f t="shared" si="41"/>
        <v>448</v>
      </c>
      <c r="CY14" s="10"/>
      <c r="CZ14" s="10"/>
      <c r="DA14" s="10"/>
      <c r="DB14" s="12">
        <f t="shared" si="36"/>
        <v>448</v>
      </c>
      <c r="DC14" s="12">
        <f t="shared" si="42"/>
        <v>20</v>
      </c>
      <c r="DD14" s="10"/>
      <c r="DE14" s="10"/>
      <c r="DF14" s="12">
        <f t="shared" si="37"/>
        <v>20</v>
      </c>
      <c r="DG14" s="12">
        <f t="shared" si="43"/>
        <v>2290</v>
      </c>
      <c r="DH14" s="10"/>
      <c r="DI14" s="10"/>
      <c r="DJ14" s="12">
        <f t="shared" si="38"/>
        <v>2290</v>
      </c>
      <c r="DK14" s="13"/>
      <c r="DL14" s="8">
        <f t="shared" si="18"/>
        <v>43922</v>
      </c>
      <c r="DM14" s="106">
        <f>'[59]BU-4'!$E$35</f>
        <v>27.878472222222221</v>
      </c>
      <c r="DN14" s="106">
        <f>'[59]BU-4'!$F$35</f>
        <v>0</v>
      </c>
      <c r="DO14" s="106">
        <f>'[59]BU-4'!$G$35</f>
        <v>0.15625</v>
      </c>
      <c r="DP14" s="106">
        <f>'[59]BU-4'!$H$35</f>
        <v>1.9652777777777779</v>
      </c>
      <c r="DQ14" s="10"/>
      <c r="DR14" s="10"/>
      <c r="DS14" s="10"/>
      <c r="DT14" s="10"/>
      <c r="DU14" s="10"/>
      <c r="DV14" s="10"/>
      <c r="DW14" s="10"/>
      <c r="DX14" s="10"/>
    </row>
    <row r="15" spans="2:128" ht="15.95" customHeight="1" x14ac:dyDescent="0.2">
      <c r="B15" s="8">
        <v>43952</v>
      </c>
      <c r="C15" s="10">
        <f>+'[61]BU-2'!$E$10</f>
        <v>15800</v>
      </c>
      <c r="D15" s="10">
        <f>+'[61]BU-3'!$F$11</f>
        <v>6876.4547250000032</v>
      </c>
      <c r="E15" s="10">
        <f>+'[61]BU-2'!$E$28</f>
        <v>3038.8281861948585</v>
      </c>
      <c r="F15" s="10">
        <f>+'[61]BU-2'!$E$29</f>
        <v>5884.7171263051459</v>
      </c>
      <c r="G15" s="31">
        <f t="shared" si="0"/>
        <v>8923.545312500004</v>
      </c>
      <c r="H15" s="10">
        <f>+'[61]BU-2'!$E$27</f>
        <v>0</v>
      </c>
      <c r="I15" s="52">
        <f t="shared" si="19"/>
        <v>-3.7500007238122635E-5</v>
      </c>
      <c r="J15" s="8">
        <f t="shared" si="1"/>
        <v>43952</v>
      </c>
      <c r="K15" s="10">
        <f>'[61]BU-2'!$E$11</f>
        <v>94693</v>
      </c>
      <c r="L15" s="10">
        <f>'[61]BU-3'!$F$37</f>
        <v>92114</v>
      </c>
      <c r="M15" s="12">
        <f>'[61]BU-3'!$F$38</f>
        <v>2579</v>
      </c>
      <c r="N15" s="33">
        <f t="shared" si="2"/>
        <v>94693</v>
      </c>
      <c r="O15" s="12">
        <f>'[61]BU-2'!$E$30</f>
        <v>101</v>
      </c>
      <c r="P15" s="10">
        <f>'[61]BU-2'!$E$31</f>
        <v>0</v>
      </c>
      <c r="Q15" s="33">
        <f t="shared" si="3"/>
        <v>101</v>
      </c>
      <c r="R15" s="10">
        <f>'[61]BU-2'!$E$32</f>
        <v>0</v>
      </c>
      <c r="S15" s="10">
        <f>'[61]BU-2'!$E$33</f>
        <v>0</v>
      </c>
      <c r="T15" s="33">
        <f t="shared" si="4"/>
        <v>0</v>
      </c>
      <c r="U15" s="13">
        <f t="shared" si="20"/>
        <v>-4571</v>
      </c>
      <c r="V15" s="8">
        <f t="shared" si="5"/>
        <v>43952</v>
      </c>
      <c r="W15" s="10">
        <f>[62]Feuil1!$K$40</f>
        <v>33392</v>
      </c>
      <c r="X15" s="10">
        <f>[62]Feuil1!$L$40</f>
        <v>55433</v>
      </c>
      <c r="Y15" s="10">
        <f>[62]Feuil1!$M$40</f>
        <v>2632</v>
      </c>
      <c r="Z15" s="10">
        <f>[62]Feuil1!$N$40</f>
        <v>2579</v>
      </c>
      <c r="AA15" s="10">
        <f>[62]Feuil1!$O$40</f>
        <v>5783</v>
      </c>
      <c r="AB15" s="12">
        <f t="shared" si="6"/>
        <v>99819</v>
      </c>
      <c r="AC15" s="10">
        <f>[62]Feuil1!$Q$40</f>
        <v>85960</v>
      </c>
      <c r="AD15" s="10">
        <f>[62]Feuil1!$R$40</f>
        <v>13665</v>
      </c>
      <c r="AE15" s="10">
        <f>[62]Feuil1!$S$40</f>
        <v>0</v>
      </c>
      <c r="AF15" s="18">
        <f>[62]Feuil1!$T$40</f>
        <v>194</v>
      </c>
      <c r="AG15" s="12">
        <f t="shared" si="7"/>
        <v>99819</v>
      </c>
      <c r="AH15" s="13">
        <f t="shared" si="8"/>
        <v>0</v>
      </c>
      <c r="AI15" s="8">
        <f t="shared" si="9"/>
        <v>43952</v>
      </c>
      <c r="AJ15" s="12">
        <f>'[61]BU-2'!$E$20</f>
        <v>151978</v>
      </c>
      <c r="AK15" s="12">
        <f>'[61]BU-3'!$F$39</f>
        <v>13665</v>
      </c>
      <c r="AL15" s="12">
        <f>'[61]BU-2'!$E$34</f>
        <v>0</v>
      </c>
      <c r="AM15" s="12">
        <f t="shared" si="21"/>
        <v>165643</v>
      </c>
      <c r="AN15" s="12">
        <f>'[61]BU-3'!$F$56</f>
        <v>137515</v>
      </c>
      <c r="AO15" s="10">
        <f>'[61]BU-3'!$F$40</f>
        <v>5783</v>
      </c>
      <c r="AP15" s="10">
        <f>'[61]BU-2'!$E$35</f>
        <v>8680</v>
      </c>
      <c r="AQ15" s="12">
        <f t="shared" si="22"/>
        <v>151978</v>
      </c>
      <c r="AR15" s="51">
        <f t="shared" si="23"/>
        <v>0</v>
      </c>
      <c r="AS15" s="8">
        <f t="shared" si="24"/>
        <v>43952</v>
      </c>
      <c r="AT15" s="10">
        <f>'[61]BU-3'!$F$72</f>
        <v>79618</v>
      </c>
      <c r="AU15" s="10">
        <f>'[61]BU-3'!$F$47</f>
        <v>34049</v>
      </c>
      <c r="AV15" s="10">
        <f>[62]Feuil1!$BB$40</f>
        <v>24664</v>
      </c>
      <c r="AW15" s="12">
        <f t="shared" si="25"/>
        <v>138331</v>
      </c>
      <c r="AX15" s="10">
        <f>[62]Feuil1!$BD$40</f>
        <v>41250</v>
      </c>
      <c r="AY15" s="20">
        <f>[62]Feuil1!$BE$40</f>
        <v>58676</v>
      </c>
      <c r="AZ15" s="12">
        <f>[62]Feuil1!$BF$40</f>
        <v>38405</v>
      </c>
      <c r="BA15" s="12">
        <f t="shared" si="26"/>
        <v>138331</v>
      </c>
      <c r="BB15" s="13">
        <f t="shared" si="27"/>
        <v>0</v>
      </c>
      <c r="BC15" s="8">
        <f t="shared" si="10"/>
        <v>43952</v>
      </c>
      <c r="BD15" s="10">
        <f>'[61]BU-2'!$E$15</f>
        <v>188863</v>
      </c>
      <c r="BE15" s="10">
        <f>'[61]BU-3'!$F$69</f>
        <v>138492</v>
      </c>
      <c r="BF15" s="10">
        <f>'[61]BU-3'!$F$13-BE15</f>
        <v>50492</v>
      </c>
      <c r="BG15" s="10">
        <f>'[61]BU-3'!$F$41</f>
        <v>0</v>
      </c>
      <c r="BH15" s="10">
        <f t="shared" si="28"/>
        <v>188984</v>
      </c>
      <c r="BI15" s="10">
        <f>'[61]BU-2'!$E$17</f>
        <v>50492</v>
      </c>
      <c r="BJ15" s="10">
        <f>'[61]BU-3'!$F$12</f>
        <v>814</v>
      </c>
      <c r="BK15" s="10">
        <f>'[61]BU-3'!$F$45</f>
        <v>1461</v>
      </c>
      <c r="BL15" s="10">
        <f>[54]Feuil1!$AO$40</f>
        <v>22929</v>
      </c>
      <c r="BM15" s="10">
        <f>[54]Feuil1!$AP$40</f>
        <v>19036</v>
      </c>
      <c r="BN15" s="10">
        <f t="shared" ref="BN15" si="44">SUM(BJ15:BM15)</f>
        <v>44240</v>
      </c>
      <c r="BO15" s="10">
        <f>'[61]BU-2'!$E$18</f>
        <v>48183</v>
      </c>
      <c r="BP15" s="10">
        <f>[62]Feuil1!$AX$40</f>
        <v>24546</v>
      </c>
      <c r="BQ15" s="10">
        <f>'[61]BU-3'!$F$58</f>
        <v>17676</v>
      </c>
      <c r="BR15" s="10">
        <f>'[61]BU-3'!$F$44</f>
        <v>23681</v>
      </c>
      <c r="BS15" s="10"/>
      <c r="BT15" s="10">
        <f t="shared" si="11"/>
        <v>65903</v>
      </c>
      <c r="BU15" s="13">
        <f t="shared" si="29"/>
        <v>17720</v>
      </c>
      <c r="BV15" s="13">
        <f t="shared" si="30"/>
        <v>-6252</v>
      </c>
      <c r="BW15" s="8">
        <f t="shared" si="12"/>
        <v>43952</v>
      </c>
      <c r="BX15" s="10">
        <f>'[61]BU-2'!$E$19</f>
        <v>8017.6149999999998</v>
      </c>
      <c r="BY15" s="10">
        <f>'[61]BU-3'!$F$46</f>
        <v>0</v>
      </c>
      <c r="BZ15" s="10">
        <f>'[61]BU-3'!$F$59</f>
        <v>3965.95</v>
      </c>
      <c r="CA15" s="10">
        <f>'[61]BU-3'!$F$71</f>
        <v>4051.665</v>
      </c>
      <c r="CB15" s="10">
        <f>'[61]BU-3'!$F$46</f>
        <v>0</v>
      </c>
      <c r="CC15" s="11">
        <f t="shared" si="31"/>
        <v>8017.6149999999998</v>
      </c>
      <c r="CD15" s="13">
        <f t="shared" si="32"/>
        <v>0</v>
      </c>
      <c r="CE15" s="8">
        <f t="shared" si="13"/>
        <v>43952</v>
      </c>
      <c r="CF15" s="21">
        <f t="shared" si="39"/>
        <v>54.170200000000023</v>
      </c>
      <c r="CG15" s="23">
        <f>'[61]BU-3'!$H$83</f>
        <v>0</v>
      </c>
      <c r="CH15" s="23">
        <v>0</v>
      </c>
      <c r="CI15" s="23">
        <f>'[61]BU-3'!$J$83</f>
        <v>0.62999999999999989</v>
      </c>
      <c r="CJ15" s="21">
        <f t="shared" si="14"/>
        <v>0.62999999999999989</v>
      </c>
      <c r="CK15" s="21">
        <f t="shared" si="15"/>
        <v>53.54020000000002</v>
      </c>
      <c r="CM15" s="8">
        <f t="shared" si="16"/>
        <v>43952</v>
      </c>
      <c r="CN15" s="11">
        <f t="shared" si="33"/>
        <v>17.299707080000097</v>
      </c>
      <c r="CO15" s="9">
        <f>'[61]BU-3'!$H$82</f>
        <v>19.399999999999999</v>
      </c>
      <c r="CP15" s="9">
        <f>'[61]BU-3'!$J$82</f>
        <v>26.639942279999996</v>
      </c>
      <c r="CQ15" s="11">
        <f t="shared" si="34"/>
        <v>10.059764800000099</v>
      </c>
      <c r="CR15" s="11">
        <f t="shared" si="40"/>
        <v>13.602788987499892</v>
      </c>
      <c r="CS15" s="23">
        <f>'[61]BU-3'!$H$84</f>
        <v>57.317273125</v>
      </c>
      <c r="CT15" s="23">
        <f>'[61]BU-3'!$J$84</f>
        <v>61.05</v>
      </c>
      <c r="CU15" s="21">
        <f t="shared" si="35"/>
        <v>9.8700621124998946</v>
      </c>
      <c r="CW15" s="8">
        <f t="shared" si="17"/>
        <v>43952</v>
      </c>
      <c r="CX15" s="12">
        <f t="shared" si="41"/>
        <v>448</v>
      </c>
      <c r="CY15" s="10"/>
      <c r="CZ15" s="10"/>
      <c r="DA15" s="10"/>
      <c r="DB15" s="12">
        <f t="shared" si="36"/>
        <v>448</v>
      </c>
      <c r="DC15" s="12">
        <f t="shared" si="42"/>
        <v>20</v>
      </c>
      <c r="DD15" s="10"/>
      <c r="DE15" s="10"/>
      <c r="DF15" s="12">
        <f t="shared" si="37"/>
        <v>20</v>
      </c>
      <c r="DG15" s="12">
        <f t="shared" si="43"/>
        <v>2290</v>
      </c>
      <c r="DH15" s="10"/>
      <c r="DI15" s="10"/>
      <c r="DJ15" s="12">
        <f t="shared" si="38"/>
        <v>2290</v>
      </c>
      <c r="DK15" s="13"/>
      <c r="DL15" s="8">
        <f t="shared" si="18"/>
        <v>43952</v>
      </c>
      <c r="DM15" s="106">
        <f>'[61]BU-4'!$E$35</f>
        <v>31</v>
      </c>
      <c r="DN15" s="106">
        <f>'[61]BU-4'!$F$35</f>
        <v>0</v>
      </c>
      <c r="DO15" s="106">
        <f>'[61]BU-4'!$G$35</f>
        <v>0</v>
      </c>
      <c r="DP15" s="106">
        <f>'[61]BU-4'!$H$35</f>
        <v>0</v>
      </c>
      <c r="DQ15" s="10"/>
      <c r="DR15" s="10"/>
      <c r="DS15" s="10"/>
      <c r="DT15" s="10"/>
      <c r="DU15" s="10"/>
      <c r="DV15" s="10"/>
      <c r="DW15" s="10"/>
      <c r="DX15" s="10"/>
    </row>
    <row r="16" spans="2:128" ht="15.95" customHeight="1" x14ac:dyDescent="0.2">
      <c r="B16" s="8">
        <v>43983</v>
      </c>
      <c r="C16" s="10">
        <f>+'[63]BU-2'!$E$10</f>
        <v>14743</v>
      </c>
      <c r="D16" s="10">
        <f>+'[63]BU-3'!$F$11</f>
        <v>6455.4920249999977</v>
      </c>
      <c r="E16" s="10">
        <f>+'[63]BU-2'!$E$28</f>
        <v>2918.5937995682611</v>
      </c>
      <c r="F16" s="10">
        <f>+'[63]BU-2'!$E$29</f>
        <v>5675.9140129317393</v>
      </c>
      <c r="G16" s="31">
        <f t="shared" si="0"/>
        <v>8594.5078125</v>
      </c>
      <c r="H16" s="10">
        <f>+'[63]BU-2'!$E$27</f>
        <v>307</v>
      </c>
      <c r="I16" s="52">
        <f t="shared" si="19"/>
        <v>1.6250000226136763E-4</v>
      </c>
      <c r="J16" s="8">
        <f t="shared" si="1"/>
        <v>43983</v>
      </c>
      <c r="K16" s="10">
        <f>'[63]BU-2'!$E$11</f>
        <v>85408</v>
      </c>
      <c r="L16" s="10">
        <f>'[63]BU-3'!$F$37</f>
        <v>81122</v>
      </c>
      <c r="M16" s="12">
        <f>'[63]BU-3'!$F$38</f>
        <v>4286</v>
      </c>
      <c r="N16" s="33">
        <f t="shared" si="2"/>
        <v>85408</v>
      </c>
      <c r="O16" s="12">
        <f>'[63]BU-2'!$E$30</f>
        <v>0</v>
      </c>
      <c r="P16" s="10">
        <f>'[63]BU-2'!$E$31</f>
        <v>34</v>
      </c>
      <c r="Q16" s="33">
        <f t="shared" si="3"/>
        <v>34</v>
      </c>
      <c r="R16" s="10">
        <f>'[63]BU-2'!$E$32</f>
        <v>665</v>
      </c>
      <c r="S16" s="10">
        <f>'[63]BU-2'!$E$33</f>
        <v>0</v>
      </c>
      <c r="T16" s="33">
        <f t="shared" si="4"/>
        <v>665</v>
      </c>
      <c r="U16" s="13">
        <f t="shared" si="20"/>
        <v>-101</v>
      </c>
      <c r="V16" s="8">
        <f t="shared" si="5"/>
        <v>43983</v>
      </c>
      <c r="W16" s="10">
        <f>[64]Feuil1!$K$40</f>
        <v>32065</v>
      </c>
      <c r="X16" s="10">
        <f>[64]Feuil1!$L$40</f>
        <v>41641</v>
      </c>
      <c r="Y16" s="10">
        <f>[64]Feuil1!$M$40</f>
        <v>3497</v>
      </c>
      <c r="Z16" s="10">
        <f>[64]Feuil1!$N$40</f>
        <v>4286</v>
      </c>
      <c r="AA16" s="10">
        <f>[64]Feuil1!$O$40</f>
        <v>5897</v>
      </c>
      <c r="AB16" s="12">
        <f t="shared" si="6"/>
        <v>87386</v>
      </c>
      <c r="AC16" s="10">
        <f>[64]Feuil1!$Q$40</f>
        <v>74711</v>
      </c>
      <c r="AD16" s="10">
        <f>[64]Feuil1!$R$40</f>
        <v>10682</v>
      </c>
      <c r="AE16" s="10">
        <f>[64]Feuil1!$S$40</f>
        <v>0</v>
      </c>
      <c r="AF16" s="18">
        <f>[64]Feuil1!$T$40</f>
        <v>1993</v>
      </c>
      <c r="AG16" s="12">
        <f t="shared" si="7"/>
        <v>87386</v>
      </c>
      <c r="AH16" s="13">
        <f t="shared" si="8"/>
        <v>0</v>
      </c>
      <c r="AI16" s="8">
        <f t="shared" si="9"/>
        <v>43983</v>
      </c>
      <c r="AJ16" s="12">
        <f>'[63]BU-2'!$E$20</f>
        <v>133332</v>
      </c>
      <c r="AK16" s="12">
        <f>'[63]BU-3'!$F$39</f>
        <v>10682</v>
      </c>
      <c r="AL16" s="12">
        <f>'[63]BU-2'!$E$34</f>
        <v>0</v>
      </c>
      <c r="AM16" s="12">
        <f t="shared" si="21"/>
        <v>144014</v>
      </c>
      <c r="AN16" s="12">
        <f>'[63]BU-3'!$F$56</f>
        <v>126953</v>
      </c>
      <c r="AO16" s="10">
        <f>'[63]BU-3'!$F$40</f>
        <v>5897</v>
      </c>
      <c r="AP16" s="10">
        <f>'[63]BU-2'!$E$35</f>
        <v>482</v>
      </c>
      <c r="AQ16" s="12">
        <f t="shared" si="22"/>
        <v>133332</v>
      </c>
      <c r="AR16" s="51">
        <f t="shared" si="23"/>
        <v>0</v>
      </c>
      <c r="AS16" s="8">
        <f t="shared" si="24"/>
        <v>43983</v>
      </c>
      <c r="AT16" s="10">
        <f>'[63]BU-3'!$F$72</f>
        <v>69975</v>
      </c>
      <c r="AU16" s="10">
        <f>'[63]BU-3'!$F$47</f>
        <v>35830</v>
      </c>
      <c r="AV16" s="10">
        <f>[64]Feuil1!$BB$40</f>
        <v>16721</v>
      </c>
      <c r="AW16" s="12">
        <f t="shared" si="25"/>
        <v>122526</v>
      </c>
      <c r="AX16" s="10">
        <f>[64]Feuil1!$BD$40</f>
        <v>36579</v>
      </c>
      <c r="AY16" s="20">
        <f>[64]Feuil1!$BE$40</f>
        <v>33826</v>
      </c>
      <c r="AZ16" s="12">
        <f>[64]Feuil1!$BF$40</f>
        <v>52121</v>
      </c>
      <c r="BA16" s="12">
        <f t="shared" si="26"/>
        <v>122526</v>
      </c>
      <c r="BB16" s="13">
        <f t="shared" si="27"/>
        <v>0</v>
      </c>
      <c r="BC16" s="8">
        <f t="shared" si="10"/>
        <v>43983</v>
      </c>
      <c r="BD16" s="10">
        <f>'[63]BU-2'!$E$15</f>
        <v>184656</v>
      </c>
      <c r="BE16" s="10">
        <f>'[63]BU-3'!$F$69</f>
        <v>143227</v>
      </c>
      <c r="BF16" s="10">
        <f>'[63]BU-3'!$F$13-BE16</f>
        <v>41255</v>
      </c>
      <c r="BG16" s="10">
        <f>'[63]BU-3'!$F$41</f>
        <v>0</v>
      </c>
      <c r="BH16" s="10">
        <f t="shared" si="28"/>
        <v>184482</v>
      </c>
      <c r="BI16" s="10">
        <f>'[63]BU-2'!$E$17</f>
        <v>41255</v>
      </c>
      <c r="BJ16" s="10">
        <f>'[63]BU-3'!$F$12</f>
        <v>939</v>
      </c>
      <c r="BK16" s="10">
        <f>'[63]BU-3'!$F$45</f>
        <v>1215</v>
      </c>
      <c r="BL16" s="10">
        <f>[54]Feuil1!$AO$40</f>
        <v>22929</v>
      </c>
      <c r="BM16" s="10">
        <f>[54]Feuil1!$AP$40</f>
        <v>19036</v>
      </c>
      <c r="BN16" s="10">
        <f>SUM(BJ16:BM16)</f>
        <v>44119</v>
      </c>
      <c r="BO16" s="10">
        <f>'[63]BU-2'!$E$18</f>
        <v>39101</v>
      </c>
      <c r="BP16" s="10">
        <f>[64]Feuil1!$AX$40</f>
        <v>16856</v>
      </c>
      <c r="BQ16" s="10">
        <f>'[63]BU-3'!$F$58</f>
        <v>17424</v>
      </c>
      <c r="BR16" s="10">
        <f>'[63]BU-3'!$F$44</f>
        <v>22425</v>
      </c>
      <c r="BS16" s="10"/>
      <c r="BT16" s="10">
        <f t="shared" si="11"/>
        <v>56705</v>
      </c>
      <c r="BU16" s="13">
        <f t="shared" si="29"/>
        <v>17604</v>
      </c>
      <c r="BV16" s="13">
        <f t="shared" si="30"/>
        <v>2864</v>
      </c>
      <c r="BW16" s="8">
        <f t="shared" si="12"/>
        <v>43983</v>
      </c>
      <c r="BX16" s="10">
        <f>'[63]BU-2'!$E$19</f>
        <v>7500.5959999999995</v>
      </c>
      <c r="BY16" s="10">
        <f>'[63]BU-3'!$F$46</f>
        <v>0</v>
      </c>
      <c r="BZ16" s="10">
        <f>'[63]BU-3'!$F$59</f>
        <v>3740.7959999999998</v>
      </c>
      <c r="CA16" s="10">
        <f>'[63]BU-3'!$F$71</f>
        <v>3759.8</v>
      </c>
      <c r="CB16" s="10">
        <f>'[63]BU-3'!$F$46</f>
        <v>0</v>
      </c>
      <c r="CC16" s="11">
        <f t="shared" si="31"/>
        <v>7500.5959999999995</v>
      </c>
      <c r="CD16" s="13">
        <f t="shared" si="32"/>
        <v>0</v>
      </c>
      <c r="CE16" s="8">
        <f t="shared" si="13"/>
        <v>43983</v>
      </c>
      <c r="CF16" s="21">
        <f t="shared" si="39"/>
        <v>53.54020000000002</v>
      </c>
      <c r="CG16" s="23">
        <f>'[63]BU-3'!$H$83</f>
        <v>0</v>
      </c>
      <c r="CH16" s="23">
        <v>0</v>
      </c>
      <c r="CI16" s="23">
        <f>'[63]BU-3'!$J$83</f>
        <v>0</v>
      </c>
      <c r="CJ16" s="21">
        <f t="shared" si="14"/>
        <v>0</v>
      </c>
      <c r="CK16" s="21">
        <f t="shared" si="15"/>
        <v>53.54020000000002</v>
      </c>
      <c r="CM16" s="8">
        <f t="shared" si="16"/>
        <v>43983</v>
      </c>
      <c r="CN16" s="11">
        <f t="shared" si="33"/>
        <v>10.059764800000099</v>
      </c>
      <c r="CO16" s="9">
        <f>'[63]BU-3'!$H$82</f>
        <v>29.1</v>
      </c>
      <c r="CP16" s="9">
        <f>'[63]BU-3'!$J$82</f>
        <v>22.562494919999999</v>
      </c>
      <c r="CQ16" s="11">
        <f t="shared" si="34"/>
        <v>16.597269880000106</v>
      </c>
      <c r="CR16" s="11">
        <f t="shared" si="40"/>
        <v>9.8700621124998946</v>
      </c>
      <c r="CS16" s="23">
        <f>'[63]BU-3'!$H$84</f>
        <v>61.946157499999998</v>
      </c>
      <c r="CT16" s="23">
        <f>'[63]BU-3'!$J$84</f>
        <v>58.8</v>
      </c>
      <c r="CU16" s="21">
        <f t="shared" si="35"/>
        <v>13.016219612499896</v>
      </c>
      <c r="CW16" s="8">
        <f t="shared" si="17"/>
        <v>43983</v>
      </c>
      <c r="CX16" s="12">
        <f t="shared" si="41"/>
        <v>448</v>
      </c>
      <c r="CY16" s="10"/>
      <c r="CZ16" s="10"/>
      <c r="DA16" s="10"/>
      <c r="DB16" s="12">
        <f t="shared" si="36"/>
        <v>448</v>
      </c>
      <c r="DC16" s="12">
        <f t="shared" si="42"/>
        <v>20</v>
      </c>
      <c r="DD16" s="10"/>
      <c r="DE16" s="10"/>
      <c r="DF16" s="12">
        <f t="shared" si="37"/>
        <v>20</v>
      </c>
      <c r="DG16" s="12">
        <f t="shared" si="43"/>
        <v>2290</v>
      </c>
      <c r="DH16" s="10"/>
      <c r="DI16" s="10"/>
      <c r="DJ16" s="12">
        <f t="shared" si="38"/>
        <v>2290</v>
      </c>
      <c r="DK16" s="13"/>
      <c r="DL16" s="8">
        <f t="shared" si="18"/>
        <v>43983</v>
      </c>
      <c r="DM16" s="106">
        <f>'[63]BU-4'!$E$35</f>
        <v>28.198611111111109</v>
      </c>
      <c r="DN16" s="106">
        <f>'[63]BU-4'!$F$35</f>
        <v>0</v>
      </c>
      <c r="DO16" s="106">
        <f>'[63]BU-4'!$G$35</f>
        <v>0.27986111111111112</v>
      </c>
      <c r="DP16" s="106">
        <f>'[63]BU-4'!$H$35</f>
        <v>1.5215277777777778</v>
      </c>
      <c r="DQ16" s="10"/>
      <c r="DR16" s="10"/>
      <c r="DS16" s="10"/>
      <c r="DT16" s="10"/>
      <c r="DU16" s="10"/>
      <c r="DV16" s="10"/>
      <c r="DW16" s="10"/>
      <c r="DX16" s="10"/>
    </row>
    <row r="17" spans="2:128" ht="15.95" customHeight="1" x14ac:dyDescent="0.2">
      <c r="B17" s="8">
        <v>44013</v>
      </c>
      <c r="C17" s="10">
        <f>+'[65]BU-2'!$E$10</f>
        <v>16731</v>
      </c>
      <c r="D17" s="10">
        <f>+'[65]BU-3'!$F$11</f>
        <v>6881.1810124999993</v>
      </c>
      <c r="E17" s="10">
        <f>+'[65]BU-2'!$E$28</f>
        <v>2992.9549999999999</v>
      </c>
      <c r="F17" s="10">
        <f>+'[65]BU-2'!$E$29</f>
        <v>7008.0739999999996</v>
      </c>
      <c r="G17" s="31">
        <f t="shared" si="0"/>
        <v>10001.028999999999</v>
      </c>
      <c r="H17" s="10">
        <f>+'[65]BU-2'!$E$27</f>
        <v>151.20999999999913</v>
      </c>
      <c r="I17" s="52">
        <f t="shared" si="19"/>
        <v>-1.2499998774728738E-5</v>
      </c>
      <c r="J17" s="8">
        <f t="shared" si="1"/>
        <v>44013</v>
      </c>
      <c r="K17" s="10">
        <f>'[65]BU-2'!$E$11</f>
        <v>94614</v>
      </c>
      <c r="L17" s="10">
        <f>'[65]BU-3'!$F$37</f>
        <v>91824</v>
      </c>
      <c r="M17" s="12">
        <f>'[65]BU-3'!$F$38</f>
        <v>2790</v>
      </c>
      <c r="N17" s="33">
        <f t="shared" si="2"/>
        <v>94614</v>
      </c>
      <c r="O17" s="12">
        <f>'[65]BU-2'!$E$30</f>
        <v>46</v>
      </c>
      <c r="P17" s="10">
        <f>'[65]BU-2'!$E$31</f>
        <v>0</v>
      </c>
      <c r="Q17" s="33">
        <f t="shared" si="3"/>
        <v>46</v>
      </c>
      <c r="R17" s="10">
        <f>'[65]BU-2'!$E$32</f>
        <v>327</v>
      </c>
      <c r="S17" s="10">
        <f>'[65]BU-2'!$E$33</f>
        <v>0</v>
      </c>
      <c r="T17" s="33">
        <f t="shared" si="4"/>
        <v>327</v>
      </c>
      <c r="U17" s="13">
        <f t="shared" si="20"/>
        <v>631</v>
      </c>
      <c r="V17" s="8">
        <f t="shared" si="5"/>
        <v>44013</v>
      </c>
      <c r="W17" s="10">
        <f>[66]Feuil1!$K$40</f>
        <v>36220</v>
      </c>
      <c r="X17" s="10">
        <f>[66]Feuil1!$L$40</f>
        <v>47282</v>
      </c>
      <c r="Y17" s="10">
        <f>[66]Feuil1!$M$40</f>
        <v>1483</v>
      </c>
      <c r="Z17" s="10">
        <f>[66]Feuil1!$N$40</f>
        <v>2790</v>
      </c>
      <c r="AA17" s="10">
        <f>[66]Feuil1!$O$40</f>
        <v>6089</v>
      </c>
      <c r="AB17" s="12">
        <f t="shared" si="6"/>
        <v>93864</v>
      </c>
      <c r="AC17" s="10">
        <f>[66]Feuil1!$Q$40</f>
        <v>82166</v>
      </c>
      <c r="AD17" s="10">
        <f>[66]Feuil1!$R$40</f>
        <v>10828</v>
      </c>
      <c r="AE17" s="10">
        <f>[66]Feuil1!$S$40</f>
        <v>0</v>
      </c>
      <c r="AF17" s="18">
        <f>[66]Feuil1!$T$40</f>
        <v>870</v>
      </c>
      <c r="AG17" s="12">
        <f t="shared" si="7"/>
        <v>93864</v>
      </c>
      <c r="AH17" s="13">
        <f t="shared" si="8"/>
        <v>0</v>
      </c>
      <c r="AI17" s="8">
        <f t="shared" si="9"/>
        <v>44013</v>
      </c>
      <c r="AJ17" s="12">
        <f>'[65]BU-2'!$E$20</f>
        <v>148761</v>
      </c>
      <c r="AK17" s="12">
        <f>'[65]BU-3'!$F$39</f>
        <v>10828</v>
      </c>
      <c r="AL17" s="12">
        <f>'[65]BU-2'!$E$34</f>
        <v>0</v>
      </c>
      <c r="AM17" s="12">
        <f t="shared" si="21"/>
        <v>159589</v>
      </c>
      <c r="AN17" s="12">
        <f>'[65]BU-3'!$F$56</f>
        <v>142024</v>
      </c>
      <c r="AO17" s="10">
        <f>'[65]BU-3'!$F$40</f>
        <v>6089</v>
      </c>
      <c r="AP17" s="10">
        <f>'[65]BU-2'!$E$35</f>
        <v>648</v>
      </c>
      <c r="AQ17" s="12">
        <f t="shared" si="22"/>
        <v>148761</v>
      </c>
      <c r="AR17" s="51">
        <f t="shared" si="23"/>
        <v>0</v>
      </c>
      <c r="AS17" s="8">
        <f t="shared" si="24"/>
        <v>44013</v>
      </c>
      <c r="AT17" s="10">
        <f>'[65]BU-3'!$F$72</f>
        <v>64171</v>
      </c>
      <c r="AU17" s="10">
        <f>'[65]BU-3'!$F$47</f>
        <v>41280</v>
      </c>
      <c r="AV17" s="10">
        <f>[66]Feuil1!$BB$40</f>
        <v>32274</v>
      </c>
      <c r="AW17" s="12">
        <f t="shared" si="25"/>
        <v>137725</v>
      </c>
      <c r="AX17" s="10">
        <f>[66]Feuil1!$BD$40</f>
        <v>56278</v>
      </c>
      <c r="AY17" s="20">
        <f>[66]Feuil1!$BE$40</f>
        <v>43751</v>
      </c>
      <c r="AZ17" s="12">
        <f>[66]Feuil1!$BF$40</f>
        <v>37829</v>
      </c>
      <c r="BA17" s="12">
        <f t="shared" si="26"/>
        <v>137858</v>
      </c>
      <c r="BB17" s="13">
        <f t="shared" si="27"/>
        <v>133</v>
      </c>
      <c r="BC17" s="8">
        <f t="shared" si="10"/>
        <v>44013</v>
      </c>
      <c r="BD17" s="10">
        <f>'[65]BU-2'!$E$15</f>
        <v>223174</v>
      </c>
      <c r="BE17" s="10">
        <f>'[65]BU-3'!$F$69</f>
        <v>161902.5</v>
      </c>
      <c r="BF17" s="10">
        <f>'[65]BU-3'!$F$13-BE17</f>
        <v>61271.5</v>
      </c>
      <c r="BG17" s="10">
        <f>'[65]BU-3'!$F$41</f>
        <v>0</v>
      </c>
      <c r="BH17" s="10">
        <f t="shared" si="28"/>
        <v>223174</v>
      </c>
      <c r="BI17" s="10">
        <f>'[65]BU-2'!$E$17</f>
        <v>61271.5</v>
      </c>
      <c r="BJ17" s="10">
        <f>'[65]BU-3'!$F$12</f>
        <v>1107</v>
      </c>
      <c r="BK17" s="10">
        <f>'[65]BU-3'!$F$45</f>
        <v>1583</v>
      </c>
      <c r="BL17" s="10">
        <f>[54]Feuil1!$AO$40</f>
        <v>22929</v>
      </c>
      <c r="BM17" s="10">
        <f>[54]Feuil1!$AP$40</f>
        <v>19036</v>
      </c>
      <c r="BN17" s="10">
        <f t="shared" ref="BN17:BN22" si="45">SUM(BJ17:BM17)</f>
        <v>44655</v>
      </c>
      <c r="BO17" s="10">
        <f>'[65]BU-2'!$E$18</f>
        <v>58567</v>
      </c>
      <c r="BP17" s="10">
        <f>[66]Feuil1!$AX$40</f>
        <v>32232</v>
      </c>
      <c r="BQ17" s="10">
        <f>'[65]BU-3'!$F$58</f>
        <v>18511</v>
      </c>
      <c r="BR17" s="10">
        <f>'[65]BU-3'!$F$44</f>
        <v>25656</v>
      </c>
      <c r="BS17" s="10"/>
      <c r="BT17" s="10">
        <f t="shared" si="11"/>
        <v>76399</v>
      </c>
      <c r="BU17" s="13">
        <f t="shared" si="29"/>
        <v>17832</v>
      </c>
      <c r="BV17" s="13">
        <f t="shared" si="30"/>
        <v>-16616.5</v>
      </c>
      <c r="BW17" s="8">
        <f t="shared" si="12"/>
        <v>44013</v>
      </c>
      <c r="BX17" s="10">
        <f>'[65]BU-2'!$E$19</f>
        <v>7700.3530000000001</v>
      </c>
      <c r="BY17" s="10">
        <f>'[65]BU-3'!$F$46</f>
        <v>0</v>
      </c>
      <c r="BZ17" s="10">
        <f>'[65]BU-3'!$F$59</f>
        <v>3896.9</v>
      </c>
      <c r="CA17" s="10">
        <f>'[65]BU-3'!$F$71</f>
        <v>3803.453</v>
      </c>
      <c r="CB17" s="10">
        <f>'[65]BU-3'!$F$46</f>
        <v>0</v>
      </c>
      <c r="CC17" s="11">
        <f t="shared" ref="CC17" si="46">+SUM(BY17:CB17)</f>
        <v>7700.3530000000001</v>
      </c>
      <c r="CD17" s="13">
        <f t="shared" si="32"/>
        <v>0</v>
      </c>
      <c r="CE17" s="8">
        <f t="shared" si="13"/>
        <v>44013</v>
      </c>
      <c r="CF17" s="21">
        <f t="shared" si="39"/>
        <v>53.54020000000002</v>
      </c>
      <c r="CG17" s="23">
        <f>'[65]BU-3'!$H$83</f>
        <v>0</v>
      </c>
      <c r="CH17" s="23">
        <v>0</v>
      </c>
      <c r="CI17" s="23">
        <f>'[65]BU-3'!$J$83</f>
        <v>0</v>
      </c>
      <c r="CJ17" s="21">
        <f t="shared" si="14"/>
        <v>0</v>
      </c>
      <c r="CK17" s="21">
        <f t="shared" si="15"/>
        <v>53.54020000000002</v>
      </c>
      <c r="CM17" s="8">
        <f t="shared" si="16"/>
        <v>44013</v>
      </c>
      <c r="CN17" s="11">
        <f t="shared" si="33"/>
        <v>16.597269880000106</v>
      </c>
      <c r="CO17" s="9">
        <f>'[65]BU-3'!$H$82</f>
        <v>27</v>
      </c>
      <c r="CP17" s="9">
        <f>'[65]BU-3'!$J$82</f>
        <v>32.272166640000002</v>
      </c>
      <c r="CQ17" s="11">
        <f t="shared" si="34"/>
        <v>11.325103240000104</v>
      </c>
      <c r="CR17" s="11">
        <f t="shared" si="40"/>
        <v>13.016219612499896</v>
      </c>
      <c r="CS17" s="23">
        <f>'[65]BU-3'!$H$84</f>
        <v>70.46690000000001</v>
      </c>
      <c r="CT17" s="23">
        <f>'[65]BU-3'!$J$84</f>
        <v>71.95</v>
      </c>
      <c r="CU17" s="21">
        <f t="shared" si="35"/>
        <v>11.533119612499902</v>
      </c>
      <c r="CW17" s="8">
        <f t="shared" si="17"/>
        <v>44013</v>
      </c>
      <c r="CX17" s="12">
        <f t="shared" si="41"/>
        <v>448</v>
      </c>
      <c r="CY17" s="10"/>
      <c r="CZ17" s="10"/>
      <c r="DA17" s="10"/>
      <c r="DB17" s="12">
        <f t="shared" si="36"/>
        <v>448</v>
      </c>
      <c r="DC17" s="12">
        <f t="shared" si="42"/>
        <v>20</v>
      </c>
      <c r="DD17" s="10"/>
      <c r="DE17" s="10"/>
      <c r="DF17" s="12">
        <f t="shared" si="37"/>
        <v>20</v>
      </c>
      <c r="DG17" s="12">
        <f t="shared" si="43"/>
        <v>2290</v>
      </c>
      <c r="DH17" s="10"/>
      <c r="DI17" s="10"/>
      <c r="DJ17" s="12">
        <f t="shared" si="38"/>
        <v>2290</v>
      </c>
      <c r="DK17" s="13"/>
      <c r="DL17" s="8">
        <f t="shared" si="18"/>
        <v>44013</v>
      </c>
      <c r="DM17" s="106">
        <f>'[65]BU-4'!$E$35</f>
        <v>30.069444444444446</v>
      </c>
      <c r="DN17" s="106">
        <f>'[65]BU-4'!$F$35</f>
        <v>0.15972222222222224</v>
      </c>
      <c r="DO17" s="106">
        <f>'[65]BU-4'!$G$35</f>
        <v>0</v>
      </c>
      <c r="DP17" s="106">
        <f>'[65]BU-4'!$H$35</f>
        <v>0.77083333333333326</v>
      </c>
      <c r="DQ17" s="10"/>
      <c r="DR17" s="10"/>
      <c r="DS17" s="10"/>
      <c r="DT17" s="10"/>
      <c r="DU17" s="10"/>
      <c r="DV17" s="10"/>
      <c r="DW17" s="10"/>
      <c r="DX17" s="10"/>
    </row>
    <row r="18" spans="2:128" ht="15.95" customHeight="1" x14ac:dyDescent="0.2">
      <c r="B18" s="8">
        <v>44044</v>
      </c>
      <c r="C18" s="10">
        <f>+'[67]BU-2'!$E$10</f>
        <v>16472</v>
      </c>
      <c r="D18" s="10">
        <f>+'[67]BU-3'!$F$11</f>
        <v>6800.8279375000002</v>
      </c>
      <c r="E18" s="10">
        <f>+'[67]BU-2'!$E$28</f>
        <v>2980.784869660024</v>
      </c>
      <c r="F18" s="10">
        <f>+'[67]BU-2'!$E$29</f>
        <v>6826.3870053399769</v>
      </c>
      <c r="G18" s="31">
        <f t="shared" si="0"/>
        <v>9807.171875</v>
      </c>
      <c r="H18" s="10">
        <f>+'[67]BU-2'!$E$27</f>
        <v>136</v>
      </c>
      <c r="I18" s="52">
        <f t="shared" si="19"/>
        <v>1.874999998108251E-4</v>
      </c>
      <c r="J18" s="8">
        <f t="shared" si="1"/>
        <v>44044</v>
      </c>
      <c r="K18" s="10">
        <f>'[67]BU-2'!$E$11</f>
        <v>93295</v>
      </c>
      <c r="L18" s="10">
        <f>'[67]BU-3'!$F$37</f>
        <v>89577</v>
      </c>
      <c r="M18" s="12">
        <f>'[67]BU-3'!$F$38</f>
        <v>3718</v>
      </c>
      <c r="N18" s="33">
        <f t="shared" si="2"/>
        <v>93295</v>
      </c>
      <c r="O18" s="12">
        <f>'[67]BU-2'!$E$30</f>
        <v>118</v>
      </c>
      <c r="P18" s="10">
        <f>'[67]BU-2'!$E$31</f>
        <v>282</v>
      </c>
      <c r="Q18" s="33">
        <f t="shared" si="3"/>
        <v>400</v>
      </c>
      <c r="R18" s="10">
        <f>'[67]BU-2'!$E$32</f>
        <v>565</v>
      </c>
      <c r="S18" s="10">
        <f>'[67]BU-2'!$E$33</f>
        <v>0</v>
      </c>
      <c r="T18" s="33">
        <f t="shared" si="4"/>
        <v>565</v>
      </c>
      <c r="U18" s="13">
        <f t="shared" si="20"/>
        <v>281</v>
      </c>
      <c r="V18" s="8">
        <f t="shared" si="5"/>
        <v>44044</v>
      </c>
      <c r="W18" s="10">
        <f>[68]Feuil1!$K$40</f>
        <v>36307</v>
      </c>
      <c r="X18" s="10">
        <f>[68]Feuil1!$L$40</f>
        <v>45624</v>
      </c>
      <c r="Y18" s="10">
        <f>[68]Feuil1!$M$40</f>
        <v>953.59999999999991</v>
      </c>
      <c r="Z18" s="10">
        <f>[68]Feuil1!$N$40</f>
        <v>3718</v>
      </c>
      <c r="AA18" s="10">
        <f>[68]Feuil1!$O$40</f>
        <v>6380</v>
      </c>
      <c r="AB18" s="12">
        <f t="shared" si="6"/>
        <v>92982.6</v>
      </c>
      <c r="AC18" s="10">
        <f>[68]Feuil1!$Q$40</f>
        <v>80512</v>
      </c>
      <c r="AD18" s="10">
        <f>[68]Feuil1!$R$40</f>
        <v>10909</v>
      </c>
      <c r="AE18" s="10">
        <f>[68]Feuil1!$S$40</f>
        <v>0</v>
      </c>
      <c r="AF18" s="18">
        <f>[68]Feuil1!$T$40</f>
        <v>1561</v>
      </c>
      <c r="AG18" s="12">
        <f t="shared" si="7"/>
        <v>92982</v>
      </c>
      <c r="AH18" s="13">
        <f t="shared" si="8"/>
        <v>-0.60000000000582077</v>
      </c>
      <c r="AI18" s="8">
        <f t="shared" si="9"/>
        <v>44044</v>
      </c>
      <c r="AJ18" s="12">
        <f>'[67]BU-2'!$E$20</f>
        <v>146401</v>
      </c>
      <c r="AK18" s="12">
        <f>'[67]BU-3'!$F$39</f>
        <v>10909</v>
      </c>
      <c r="AL18" s="12">
        <f>'[67]BU-2'!$E$34</f>
        <v>0</v>
      </c>
      <c r="AM18" s="12">
        <f t="shared" si="21"/>
        <v>157310</v>
      </c>
      <c r="AN18" s="12">
        <f>'[67]BU-3'!$F$56</f>
        <v>139029</v>
      </c>
      <c r="AO18" s="10">
        <f>'[67]BU-3'!$F$40</f>
        <v>6380</v>
      </c>
      <c r="AP18" s="10">
        <f>'[67]BU-2'!$E$35</f>
        <v>992</v>
      </c>
      <c r="AQ18" s="12">
        <f t="shared" si="22"/>
        <v>146401</v>
      </c>
      <c r="AR18" s="51">
        <f t="shared" si="23"/>
        <v>0</v>
      </c>
      <c r="AS18" s="8">
        <f t="shared" si="24"/>
        <v>44044</v>
      </c>
      <c r="AT18" s="10">
        <f>'[67]BU-3'!$F$72</f>
        <v>67098</v>
      </c>
      <c r="AU18" s="10">
        <f>'[67]BU-3'!$F$47</f>
        <v>42367.4</v>
      </c>
      <c r="AV18" s="10">
        <f>[68]Feuil1!$BB$40</f>
        <v>25179</v>
      </c>
      <c r="AW18" s="12">
        <f t="shared" si="25"/>
        <v>134644.4</v>
      </c>
      <c r="AX18" s="10">
        <f>[68]Feuil1!$BD$40</f>
        <v>43587</v>
      </c>
      <c r="AY18" s="20">
        <f>[68]Feuil1!$BE$40</f>
        <v>40572</v>
      </c>
      <c r="AZ18" s="12">
        <f>[68]Feuil1!$BF$40</f>
        <v>50268</v>
      </c>
      <c r="BA18" s="12">
        <f t="shared" si="26"/>
        <v>134427</v>
      </c>
      <c r="BB18" s="13">
        <f t="shared" si="27"/>
        <v>-217.39999999999418</v>
      </c>
      <c r="BC18" s="8">
        <f t="shared" si="10"/>
        <v>44044</v>
      </c>
      <c r="BD18" s="10">
        <f>'[67]BU-2'!$E$15</f>
        <v>216035</v>
      </c>
      <c r="BE18" s="10">
        <f>'[67]BU-3'!$F$69</f>
        <v>162684</v>
      </c>
      <c r="BF18" s="10">
        <f>'[67]BU-3'!$F$13-BE18</f>
        <v>53291</v>
      </c>
      <c r="BG18" s="10">
        <f>'[67]BU-3'!$F$41</f>
        <v>0</v>
      </c>
      <c r="BH18" s="10">
        <f t="shared" si="28"/>
        <v>215975</v>
      </c>
      <c r="BI18" s="10">
        <f>'[67]BU-2'!$E$17</f>
        <v>53291</v>
      </c>
      <c r="BJ18" s="10">
        <f>'[67]BU-3'!$F$12</f>
        <v>1348</v>
      </c>
      <c r="BK18" s="10">
        <f>'[67]BU-3'!$F$45</f>
        <v>1281</v>
      </c>
      <c r="BL18" s="10">
        <f>[54]Feuil1!$AO$40</f>
        <v>22929</v>
      </c>
      <c r="BM18" s="10">
        <f>[54]Feuil1!$AP$40</f>
        <v>19036</v>
      </c>
      <c r="BN18" s="10">
        <f t="shared" si="45"/>
        <v>44594</v>
      </c>
      <c r="BO18" s="10">
        <f>'[67]BU-2'!$E$18</f>
        <v>50727</v>
      </c>
      <c r="BP18" s="10">
        <f>[68]Feuil1!$AX$40</f>
        <v>25282</v>
      </c>
      <c r="BQ18" s="10">
        <f>'[67]BU-3'!$F$58</f>
        <v>18537</v>
      </c>
      <c r="BR18" s="10">
        <f>'[67]BU-3'!$F$44</f>
        <v>25299</v>
      </c>
      <c r="BS18" s="10"/>
      <c r="BT18" s="10">
        <f t="shared" si="11"/>
        <v>69118</v>
      </c>
      <c r="BU18" s="13">
        <f t="shared" si="29"/>
        <v>18391</v>
      </c>
      <c r="BV18" s="13">
        <f t="shared" si="30"/>
        <v>-8697</v>
      </c>
      <c r="BW18" s="8">
        <f t="shared" si="12"/>
        <v>44044</v>
      </c>
      <c r="BX18" s="10">
        <f>'[67]BU-2'!$E$19</f>
        <v>7551.7870000000003</v>
      </c>
      <c r="BY18" s="10">
        <f>'[67]BU-3'!$F$46</f>
        <v>0</v>
      </c>
      <c r="BZ18" s="10">
        <f>'[67]BU-3'!$F$59</f>
        <v>3647.152</v>
      </c>
      <c r="CA18" s="10">
        <f>'[67]BU-3'!$F$71</f>
        <v>3904.6350000000002</v>
      </c>
      <c r="CB18" s="10">
        <f>'[67]BU-3'!$F$46</f>
        <v>0</v>
      </c>
      <c r="CC18" s="11">
        <f t="shared" si="31"/>
        <v>7551.7870000000003</v>
      </c>
      <c r="CD18" s="13">
        <f t="shared" si="32"/>
        <v>0</v>
      </c>
      <c r="CE18" s="8">
        <f t="shared" si="13"/>
        <v>44044</v>
      </c>
      <c r="CF18" s="21">
        <f t="shared" si="39"/>
        <v>53.54020000000002</v>
      </c>
      <c r="CG18" s="23">
        <f>'[67]BU-3'!$H$83</f>
        <v>0</v>
      </c>
      <c r="CH18" s="23">
        <v>0</v>
      </c>
      <c r="CI18" s="23">
        <f>'[67]BU-3'!$J$83</f>
        <v>0.12</v>
      </c>
      <c r="CJ18" s="21">
        <f t="shared" si="14"/>
        <v>0.12</v>
      </c>
      <c r="CK18" s="21">
        <f t="shared" si="15"/>
        <v>53.420200000000023</v>
      </c>
      <c r="CM18" s="8">
        <f t="shared" si="16"/>
        <v>44044</v>
      </c>
      <c r="CN18" s="11">
        <f t="shared" si="33"/>
        <v>11.325103240000104</v>
      </c>
      <c r="CO18" s="9">
        <f>'[67]BU-3'!$H$82</f>
        <v>29.1</v>
      </c>
      <c r="CP18" s="9">
        <f>'[67]BU-3'!$J$82</f>
        <v>30.158384760000001</v>
      </c>
      <c r="CQ18" s="11">
        <f t="shared" si="34"/>
        <v>10.266718480000105</v>
      </c>
      <c r="CR18" s="11">
        <f t="shared" si="40"/>
        <v>11.533119612499902</v>
      </c>
      <c r="CS18" s="23">
        <f>'[67]BU-3'!$H$84</f>
        <v>63.096637500000007</v>
      </c>
      <c r="CT18" s="23">
        <f>'[67]BU-3'!$J$84</f>
        <v>67.400000000000006</v>
      </c>
      <c r="CU18" s="21">
        <f t="shared" si="35"/>
        <v>7.2297571124998967</v>
      </c>
      <c r="CW18" s="8">
        <f t="shared" si="17"/>
        <v>44044</v>
      </c>
      <c r="CX18" s="12">
        <f t="shared" si="41"/>
        <v>448</v>
      </c>
      <c r="CY18" s="10"/>
      <c r="CZ18" s="10"/>
      <c r="DA18" s="10"/>
      <c r="DB18" s="12">
        <f t="shared" si="36"/>
        <v>448</v>
      </c>
      <c r="DC18" s="12">
        <f t="shared" si="42"/>
        <v>20</v>
      </c>
      <c r="DD18" s="10"/>
      <c r="DE18" s="10"/>
      <c r="DF18" s="12">
        <f t="shared" si="37"/>
        <v>20</v>
      </c>
      <c r="DG18" s="12">
        <f t="shared" si="43"/>
        <v>2290</v>
      </c>
      <c r="DH18" s="10"/>
      <c r="DI18" s="10"/>
      <c r="DJ18" s="12">
        <f t="shared" si="38"/>
        <v>2290</v>
      </c>
      <c r="DK18" s="13"/>
      <c r="DL18" s="8">
        <f t="shared" si="18"/>
        <v>44044</v>
      </c>
      <c r="DM18" s="106">
        <f>'[67]BU-4'!$E$35</f>
        <v>29.770833333333332</v>
      </c>
      <c r="DN18" s="106">
        <f>'[67]BU-4'!$F$35</f>
        <v>0</v>
      </c>
      <c r="DO18" s="106">
        <f>'[67]BU-4'!$G$35</f>
        <v>0</v>
      </c>
      <c r="DP18" s="106">
        <f>'[67]BU-4'!$H$35</f>
        <v>1.2291666666666667</v>
      </c>
      <c r="DQ18" s="10"/>
      <c r="DR18" s="10"/>
      <c r="DS18" s="10"/>
      <c r="DT18" s="10"/>
      <c r="DU18" s="10"/>
      <c r="DV18" s="10"/>
      <c r="DW18" s="10"/>
      <c r="DX18" s="10"/>
    </row>
    <row r="19" spans="2:128" ht="15.95" customHeight="1" x14ac:dyDescent="0.2">
      <c r="B19" s="8">
        <v>44075</v>
      </c>
      <c r="C19" s="10">
        <f>+'[69]BU-2'!$E$10</f>
        <v>15412</v>
      </c>
      <c r="D19" s="10">
        <f>+'[69]BU-3'!$F$11</f>
        <v>6617.3518750000003</v>
      </c>
      <c r="E19" s="10">
        <f>+'[69]BU-2'!$E$28</f>
        <v>3258.3589703830144</v>
      </c>
      <c r="F19" s="10">
        <f>+'[69]BU-2'!$E$29</f>
        <v>5633.2894671169861</v>
      </c>
      <c r="G19" s="31">
        <f t="shared" si="0"/>
        <v>8891.6484375</v>
      </c>
      <c r="H19" s="10">
        <f>+'[69]BU-2'!$E$27</f>
        <v>97</v>
      </c>
      <c r="I19" s="52">
        <f t="shared" si="19"/>
        <v>-3.125000002910383E-4</v>
      </c>
      <c r="J19" s="8">
        <f t="shared" si="1"/>
        <v>44075</v>
      </c>
      <c r="K19" s="10">
        <f>'[69]BU-2'!$E$11</f>
        <v>90710</v>
      </c>
      <c r="L19" s="10">
        <f>'[69]BU-3'!$F$37</f>
        <v>85865</v>
      </c>
      <c r="M19" s="12">
        <f>'[69]BU-3'!$F$38</f>
        <v>4801</v>
      </c>
      <c r="N19" s="33">
        <f t="shared" si="2"/>
        <v>90666</v>
      </c>
      <c r="O19" s="12">
        <f>'[69]BU-2'!$E$30</f>
        <v>0</v>
      </c>
      <c r="P19" s="10">
        <f>'[69]BU-2'!$E$31</f>
        <v>0</v>
      </c>
      <c r="Q19" s="33">
        <f t="shared" si="3"/>
        <v>0</v>
      </c>
      <c r="R19" s="10">
        <f>'[69]BU-2'!$E$32</f>
        <v>0</v>
      </c>
      <c r="S19" s="10">
        <f>'[69]BU-2'!$E$33</f>
        <v>0</v>
      </c>
      <c r="T19" s="33">
        <f t="shared" si="4"/>
        <v>0</v>
      </c>
      <c r="U19" s="13">
        <f t="shared" si="20"/>
        <v>165</v>
      </c>
      <c r="V19" s="8">
        <f t="shared" si="5"/>
        <v>44075</v>
      </c>
      <c r="W19" s="10">
        <f>[70]Feuil1!$K$40</f>
        <v>35648</v>
      </c>
      <c r="X19" s="10">
        <f>[70]Feuil1!$L$40</f>
        <v>42456</v>
      </c>
      <c r="Y19" s="10">
        <f>[70]Feuil1!$M$40</f>
        <v>1257</v>
      </c>
      <c r="Z19" s="10">
        <f>[70]Feuil1!$N$40</f>
        <v>4801</v>
      </c>
      <c r="AA19" s="10">
        <f>[70]Feuil1!$O$40</f>
        <v>6427</v>
      </c>
      <c r="AB19" s="12">
        <f t="shared" si="6"/>
        <v>90589</v>
      </c>
      <c r="AC19" s="10">
        <f>[70]Feuil1!$Q$40</f>
        <v>80160</v>
      </c>
      <c r="AD19" s="10">
        <f>[70]Feuil1!$R$40</f>
        <v>8862</v>
      </c>
      <c r="AE19" s="10">
        <f>[70]Feuil1!$S$40</f>
        <v>0</v>
      </c>
      <c r="AF19" s="18">
        <f>[70]Feuil1!$T$40</f>
        <v>1567</v>
      </c>
      <c r="AG19" s="12">
        <f t="shared" si="7"/>
        <v>90589</v>
      </c>
      <c r="AH19" s="13">
        <f t="shared" si="8"/>
        <v>0</v>
      </c>
      <c r="AI19" s="8">
        <f t="shared" si="9"/>
        <v>44075</v>
      </c>
      <c r="AJ19" s="12">
        <f>'[69]BU-2'!$E$20</f>
        <v>142321</v>
      </c>
      <c r="AK19" s="12">
        <f>'[69]BU-3'!$F$39</f>
        <v>8862</v>
      </c>
      <c r="AL19" s="12">
        <f>'[69]BU-2'!$E$34</f>
        <v>0</v>
      </c>
      <c r="AM19" s="12">
        <f t="shared" si="21"/>
        <v>151183</v>
      </c>
      <c r="AN19" s="12">
        <f>'[69]BU-3'!$F$56</f>
        <v>135762</v>
      </c>
      <c r="AO19" s="10">
        <f>'[69]BU-3'!$F$40</f>
        <v>6427</v>
      </c>
      <c r="AP19" s="10">
        <f>'[69]BU-2'!$E$35</f>
        <v>132</v>
      </c>
      <c r="AQ19" s="12">
        <f t="shared" si="22"/>
        <v>142321</v>
      </c>
      <c r="AR19" s="51">
        <f t="shared" si="23"/>
        <v>0</v>
      </c>
      <c r="AS19" s="8">
        <f t="shared" si="24"/>
        <v>44075</v>
      </c>
      <c r="AT19" s="10">
        <f>'[69]BU-3'!$F$72</f>
        <v>69594</v>
      </c>
      <c r="AU19" s="10">
        <f>'[69]BU-3'!$F$47</f>
        <v>37162</v>
      </c>
      <c r="AV19" s="10">
        <f>[70]Feuil1!$BB$40</f>
        <v>26172</v>
      </c>
      <c r="AW19" s="12">
        <f t="shared" si="25"/>
        <v>132928</v>
      </c>
      <c r="AX19" s="10">
        <f>[70]Feuil1!$BD$40</f>
        <v>39688</v>
      </c>
      <c r="AY19" s="20">
        <f>[70]Feuil1!$BE$40</f>
        <v>37492</v>
      </c>
      <c r="AZ19" s="12">
        <f>[70]Feuil1!$BF$40</f>
        <v>55748</v>
      </c>
      <c r="BA19" s="12">
        <f t="shared" si="26"/>
        <v>132928</v>
      </c>
      <c r="BB19" s="13">
        <f t="shared" si="27"/>
        <v>0</v>
      </c>
      <c r="BC19" s="8">
        <f t="shared" si="10"/>
        <v>44075</v>
      </c>
      <c r="BD19" s="10">
        <f>'[69]BU-2'!$E$15</f>
        <v>211061</v>
      </c>
      <c r="BE19" s="10">
        <f>'[69]BU-3'!$F$69</f>
        <v>152893</v>
      </c>
      <c r="BF19" s="10">
        <f>'[69]BU-3'!$F$13-BE19</f>
        <v>58168</v>
      </c>
      <c r="BG19" s="10">
        <f>'[69]BU-3'!$F$41</f>
        <v>0</v>
      </c>
      <c r="BH19" s="10">
        <f t="shared" si="28"/>
        <v>211061</v>
      </c>
      <c r="BI19" s="10">
        <f>'[69]BU-2'!$E$17</f>
        <v>57771</v>
      </c>
      <c r="BJ19" s="10">
        <f>'[69]BU-3'!$F$12</f>
        <v>2120</v>
      </c>
      <c r="BK19" s="10">
        <f>'[69]BU-3'!$F$45</f>
        <v>2433</v>
      </c>
      <c r="BL19" s="10">
        <f>[54]Feuil1!$AO$40</f>
        <v>22929</v>
      </c>
      <c r="BM19" s="10">
        <f>[54]Feuil1!$AP$40</f>
        <v>19036</v>
      </c>
      <c r="BN19" s="10">
        <f t="shared" si="45"/>
        <v>46518</v>
      </c>
      <c r="BO19" s="10">
        <f>'[69]BU-2'!$E$18</f>
        <v>53143</v>
      </c>
      <c r="BP19" s="10">
        <f>[70]Feuil1!$AX$40</f>
        <v>26863</v>
      </c>
      <c r="BQ19" s="10">
        <f>'[69]BU-3'!$F$58</f>
        <v>18162</v>
      </c>
      <c r="BR19" s="10">
        <f>'[69]BU-3'!$F$44</f>
        <v>26274</v>
      </c>
      <c r="BS19" s="10"/>
      <c r="BT19" s="10">
        <f t="shared" si="11"/>
        <v>71299</v>
      </c>
      <c r="BU19" s="13">
        <f t="shared" si="29"/>
        <v>18156</v>
      </c>
      <c r="BV19" s="13">
        <f t="shared" si="30"/>
        <v>-11253</v>
      </c>
      <c r="BW19" s="8">
        <f t="shared" si="12"/>
        <v>44075</v>
      </c>
      <c r="BX19" s="10">
        <f>'[69]BU-2'!$E$19</f>
        <v>7559.7879999999996</v>
      </c>
      <c r="BY19" s="10">
        <f>'[69]BU-3'!$F$46</f>
        <v>0</v>
      </c>
      <c r="BZ19" s="10">
        <f>'[69]BU-3'!$F$59</f>
        <v>3672.0169999999998</v>
      </c>
      <c r="CA19" s="10">
        <f>'[69]BU-3'!$F$71</f>
        <v>3887.7710000000002</v>
      </c>
      <c r="CB19" s="10">
        <f>'[69]BU-3'!$F$46</f>
        <v>0</v>
      </c>
      <c r="CC19" s="11">
        <f t="shared" si="31"/>
        <v>7559.7880000000005</v>
      </c>
      <c r="CD19" s="13">
        <f t="shared" si="32"/>
        <v>0</v>
      </c>
      <c r="CE19" s="8">
        <f t="shared" si="13"/>
        <v>44075</v>
      </c>
      <c r="CF19" s="21">
        <f t="shared" si="39"/>
        <v>53.420200000000023</v>
      </c>
      <c r="CG19" s="23">
        <f>'[69]BU-3'!$H$83</f>
        <v>0</v>
      </c>
      <c r="CH19" s="23">
        <v>0</v>
      </c>
      <c r="CI19" s="23">
        <f>'[69]BU-3'!$J$83</f>
        <v>0</v>
      </c>
      <c r="CJ19" s="21">
        <f t="shared" si="14"/>
        <v>0</v>
      </c>
      <c r="CK19" s="21">
        <f t="shared" si="15"/>
        <v>53.420200000000023</v>
      </c>
      <c r="CM19" s="8">
        <f t="shared" si="16"/>
        <v>44075</v>
      </c>
      <c r="CN19" s="11">
        <f t="shared" si="33"/>
        <v>10.266718480000105</v>
      </c>
      <c r="CO19" s="9">
        <f>'[69]BU-3'!$H$82</f>
        <v>38.799999999999997</v>
      </c>
      <c r="CP19" s="9">
        <f>'[69]BU-3'!$J$82</f>
        <v>35.531122199999999</v>
      </c>
      <c r="CQ19" s="11">
        <f t="shared" si="34"/>
        <v>13.535596280000107</v>
      </c>
      <c r="CR19" s="11">
        <f t="shared" si="40"/>
        <v>7.2297571124998967</v>
      </c>
      <c r="CS19" s="23">
        <f>'[69]BU-3'!$H$84</f>
        <v>84.263671874999986</v>
      </c>
      <c r="CT19" s="23">
        <f>'[69]BU-3'!$J$84</f>
        <v>83.7</v>
      </c>
      <c r="CU19" s="21">
        <f t="shared" si="35"/>
        <v>7.7934289874998797</v>
      </c>
      <c r="CW19" s="8">
        <f t="shared" si="17"/>
        <v>44075</v>
      </c>
      <c r="CX19" s="12">
        <f t="shared" si="41"/>
        <v>448</v>
      </c>
      <c r="CY19" s="10"/>
      <c r="CZ19" s="10"/>
      <c r="DA19" s="10"/>
      <c r="DB19" s="12">
        <f t="shared" si="36"/>
        <v>448</v>
      </c>
      <c r="DC19" s="12">
        <f t="shared" si="42"/>
        <v>20</v>
      </c>
      <c r="DD19" s="10"/>
      <c r="DE19" s="10"/>
      <c r="DF19" s="12">
        <f t="shared" si="37"/>
        <v>20</v>
      </c>
      <c r="DG19" s="12">
        <f t="shared" si="43"/>
        <v>2290</v>
      </c>
      <c r="DH19" s="10"/>
      <c r="DI19" s="10"/>
      <c r="DJ19" s="12">
        <f t="shared" si="38"/>
        <v>2290</v>
      </c>
      <c r="DK19" s="13"/>
      <c r="DL19" s="8">
        <f t="shared" si="18"/>
        <v>44075</v>
      </c>
      <c r="DM19" s="106">
        <f>'[69]BU-4'!$E$35</f>
        <v>29.604166666666664</v>
      </c>
      <c r="DN19" s="106">
        <f>'[69]BU-4'!$F$35</f>
        <v>0</v>
      </c>
      <c r="DO19" s="106">
        <f>'[69]BU-4'!$G$35</f>
        <v>0.39583333333333337</v>
      </c>
      <c r="DP19" s="106">
        <f>'[69]BU-4'!$H$35</f>
        <v>0</v>
      </c>
      <c r="DQ19" s="10"/>
      <c r="DR19" s="10"/>
      <c r="DS19" s="10"/>
      <c r="DT19" s="10"/>
      <c r="DU19" s="10"/>
      <c r="DV19" s="10"/>
      <c r="DW19" s="10"/>
      <c r="DX19" s="10"/>
    </row>
    <row r="20" spans="2:128" ht="15.95" customHeight="1" x14ac:dyDescent="0.2">
      <c r="B20" s="8">
        <v>44105</v>
      </c>
      <c r="C20" s="10">
        <f>+'[71]BU-2'!$E$10</f>
        <v>16117</v>
      </c>
      <c r="D20" s="10">
        <f>+'[71]BU-3'!$F$11</f>
        <v>6862.7839375000003</v>
      </c>
      <c r="E20" s="10">
        <f>+'[71]BU-2'!$E$28</f>
        <v>2650.2941118457466</v>
      </c>
      <c r="F20" s="10">
        <f>+'[71]BU-2'!$E$29</f>
        <v>6604.3621381542525</v>
      </c>
      <c r="G20" s="31">
        <f t="shared" si="0"/>
        <v>9254.65625</v>
      </c>
      <c r="H20" s="10">
        <f>+'[71]BU-2'!$E$27</f>
        <v>0.44</v>
      </c>
      <c r="I20" s="52">
        <f t="shared" si="19"/>
        <v>-1.874999998108251E-4</v>
      </c>
      <c r="J20" s="8">
        <f t="shared" si="1"/>
        <v>44105</v>
      </c>
      <c r="K20" s="10">
        <f>'[71]BU-2'!$E$11</f>
        <v>97122</v>
      </c>
      <c r="L20" s="10">
        <f>'[71]BU-3'!$F$37</f>
        <v>91898</v>
      </c>
      <c r="M20" s="12">
        <f>'[71]BU-3'!$F$38</f>
        <v>5224</v>
      </c>
      <c r="N20" s="33">
        <f t="shared" si="2"/>
        <v>97122</v>
      </c>
      <c r="O20" s="12">
        <f>'[71]BU-2'!$E$30</f>
        <v>2184</v>
      </c>
      <c r="P20" s="10">
        <f>'[71]BU-2'!$E$31</f>
        <v>0</v>
      </c>
      <c r="Q20" s="33">
        <f t="shared" si="3"/>
        <v>2184</v>
      </c>
      <c r="R20" s="10">
        <f>'[71]BU-2'!$E$32</f>
        <v>0</v>
      </c>
      <c r="S20" s="10">
        <f>'[71]BU-2'!$E$33</f>
        <v>0</v>
      </c>
      <c r="T20" s="33">
        <f t="shared" si="4"/>
        <v>0</v>
      </c>
      <c r="U20" s="13">
        <f t="shared" si="20"/>
        <v>44</v>
      </c>
      <c r="V20" s="8">
        <f t="shared" si="5"/>
        <v>44105</v>
      </c>
      <c r="W20" s="10">
        <f>[72]Feuil1!$K$40</f>
        <v>37260</v>
      </c>
      <c r="X20" s="10">
        <f>[72]Feuil1!$L$40</f>
        <v>50802</v>
      </c>
      <c r="Y20" s="10">
        <f>[72]Feuil1!$M$40</f>
        <v>556</v>
      </c>
      <c r="Z20" s="10">
        <f>[72]Feuil1!$N$40</f>
        <v>5224</v>
      </c>
      <c r="AA20" s="10">
        <f>[72]Feuil1!$O$40</f>
        <v>6481</v>
      </c>
      <c r="AB20" s="12">
        <f t="shared" si="6"/>
        <v>100323</v>
      </c>
      <c r="AC20" s="10">
        <f>[72]Feuil1!$Q$40</f>
        <v>87598</v>
      </c>
      <c r="AD20" s="10">
        <f>[72]Feuil1!$R$40</f>
        <v>11393</v>
      </c>
      <c r="AE20" s="10">
        <f>[72]Feuil1!$S$40</f>
        <v>0</v>
      </c>
      <c r="AF20" s="18">
        <f>[72]Feuil1!$T$40</f>
        <v>1332</v>
      </c>
      <c r="AG20" s="12">
        <f t="shared" si="7"/>
        <v>100323</v>
      </c>
      <c r="AH20" s="13">
        <f t="shared" si="8"/>
        <v>0</v>
      </c>
      <c r="AI20" s="8">
        <f t="shared" si="9"/>
        <v>44105</v>
      </c>
      <c r="AJ20" s="12">
        <f>'[71]BU-2'!$E$20</f>
        <v>153102</v>
      </c>
      <c r="AK20" s="12">
        <f>'[71]BU-3'!$F$39</f>
        <v>11393</v>
      </c>
      <c r="AL20" s="12">
        <f>'[71]BU-2'!$E$34</f>
        <v>0</v>
      </c>
      <c r="AM20" s="12">
        <f t="shared" si="21"/>
        <v>164495</v>
      </c>
      <c r="AN20" s="12">
        <f>'[71]BU-3'!$F$56</f>
        <v>146422</v>
      </c>
      <c r="AO20" s="10">
        <f>'[71]BU-3'!$F$40</f>
        <v>6481</v>
      </c>
      <c r="AP20" s="10">
        <f>'[71]BU-2'!$E$35</f>
        <v>105</v>
      </c>
      <c r="AQ20" s="12">
        <f t="shared" si="22"/>
        <v>153008</v>
      </c>
      <c r="AR20" s="51">
        <f t="shared" si="23"/>
        <v>-94</v>
      </c>
      <c r="AS20" s="8">
        <f t="shared" si="24"/>
        <v>44105</v>
      </c>
      <c r="AT20" s="10">
        <f>'[71]BU-3'!$F$72</f>
        <v>82982</v>
      </c>
      <c r="AU20" s="10">
        <f>'[71]BU-3'!$F$47</f>
        <v>40401</v>
      </c>
      <c r="AV20" s="10">
        <f>[72]Feuil1!$BB$40</f>
        <v>18624</v>
      </c>
      <c r="AW20" s="12">
        <f t="shared" si="25"/>
        <v>142007</v>
      </c>
      <c r="AX20" s="10">
        <f>[72]Feuil1!$BD$40</f>
        <v>51846</v>
      </c>
      <c r="AY20" s="20">
        <f>[72]Feuil1!$BE$40</f>
        <v>47258</v>
      </c>
      <c r="AZ20" s="12">
        <f>[72]Feuil1!$BF$40</f>
        <v>42665</v>
      </c>
      <c r="BA20" s="12">
        <f t="shared" si="26"/>
        <v>141769</v>
      </c>
      <c r="BB20" s="13">
        <f t="shared" si="27"/>
        <v>-238</v>
      </c>
      <c r="BC20" s="8">
        <f t="shared" si="10"/>
        <v>44105</v>
      </c>
      <c r="BD20" s="10">
        <f>'[71]BU-2'!$E$15</f>
        <v>196321</v>
      </c>
      <c r="BE20" s="10">
        <f>'[71]BU-3'!$F$69</f>
        <v>148280</v>
      </c>
      <c r="BF20" s="10">
        <f>'[71]BU-3'!$F$13-BE20</f>
        <v>47941</v>
      </c>
      <c r="BG20" s="10">
        <f>'[71]BU-3'!$F$41</f>
        <v>0</v>
      </c>
      <c r="BH20" s="10">
        <f t="shared" si="28"/>
        <v>196221</v>
      </c>
      <c r="BI20" s="10">
        <f>'[71]BU-2'!$E$17</f>
        <v>47941</v>
      </c>
      <c r="BJ20" s="10">
        <f>'[71]BU-3'!$F$12</f>
        <v>845</v>
      </c>
      <c r="BK20" s="10">
        <f>'[71]BU-3'!$F$45</f>
        <v>1401</v>
      </c>
      <c r="BL20" s="10">
        <f>[54]Feuil1!$AO$40</f>
        <v>22929</v>
      </c>
      <c r="BM20" s="10">
        <f>[54]Feuil1!$AP$40</f>
        <v>19036</v>
      </c>
      <c r="BN20" s="10">
        <f t="shared" si="45"/>
        <v>44211</v>
      </c>
      <c r="BO20" s="10">
        <f>'[71]BU-2'!$E$18</f>
        <v>45715</v>
      </c>
      <c r="BP20" s="10">
        <f>[72]Feuil1!$AX$40</f>
        <v>18734</v>
      </c>
      <c r="BQ20" s="10">
        <f>'[71]BU-3'!$F$58</f>
        <v>20396</v>
      </c>
      <c r="BR20" s="10">
        <f>'[71]BU-3'!$F$44</f>
        <v>26669</v>
      </c>
      <c r="BS20" s="10"/>
      <c r="BT20" s="10">
        <f t="shared" si="11"/>
        <v>65799</v>
      </c>
      <c r="BU20" s="13">
        <f t="shared" si="29"/>
        <v>20084</v>
      </c>
      <c r="BV20" s="13">
        <f t="shared" si="30"/>
        <v>-3730</v>
      </c>
      <c r="BW20" s="8">
        <f t="shared" si="12"/>
        <v>44105</v>
      </c>
      <c r="BX20" s="10">
        <f>'[71]BU-2'!$E$19</f>
        <v>8545.1229999999996</v>
      </c>
      <c r="BY20" s="10">
        <f>'[71]BU-3'!$F$46</f>
        <v>0</v>
      </c>
      <c r="BZ20" s="10">
        <f>'[71]BU-3'!$F$59</f>
        <v>3865.848</v>
      </c>
      <c r="CA20" s="10">
        <f>'[71]BU-3'!$F$71</f>
        <v>4679.2749999999996</v>
      </c>
      <c r="CB20" s="10">
        <f>'[71]BU-3'!$F$46</f>
        <v>0</v>
      </c>
      <c r="CC20" s="11">
        <f>+SUM(BY20:CB20)</f>
        <v>8545.1229999999996</v>
      </c>
      <c r="CD20" s="13">
        <f t="shared" si="32"/>
        <v>0</v>
      </c>
      <c r="CE20" s="8">
        <f t="shared" si="13"/>
        <v>44105</v>
      </c>
      <c r="CF20" s="21">
        <f t="shared" si="39"/>
        <v>53.420200000000023</v>
      </c>
      <c r="CG20" s="23">
        <f>'[71]BU-3'!$H$83</f>
        <v>0</v>
      </c>
      <c r="CH20" s="23">
        <v>0</v>
      </c>
      <c r="CI20" s="23">
        <f>'[71]BU-3'!$J$83</f>
        <v>0</v>
      </c>
      <c r="CJ20" s="21">
        <f t="shared" si="14"/>
        <v>0</v>
      </c>
      <c r="CK20" s="21">
        <f t="shared" si="15"/>
        <v>53.420200000000023</v>
      </c>
      <c r="CM20" s="8">
        <f t="shared" si="16"/>
        <v>44105</v>
      </c>
      <c r="CN20" s="11">
        <f t="shared" si="33"/>
        <v>13.535596280000107</v>
      </c>
      <c r="CO20" s="9">
        <f>'[71]BU-3'!$H$82</f>
        <v>21.21</v>
      </c>
      <c r="CP20" s="9">
        <f>'[71]BU-3'!$J$82</f>
        <v>28.341976319999997</v>
      </c>
      <c r="CQ20" s="11">
        <f t="shared" si="34"/>
        <v>6.4036199600001105</v>
      </c>
      <c r="CR20" s="11">
        <f t="shared" si="40"/>
        <v>7.7934289874998797</v>
      </c>
      <c r="CS20" s="23">
        <f>'[71]BU-3'!$H$84</f>
        <v>68.417607500000003</v>
      </c>
      <c r="CT20" s="23">
        <f>'[71]BU-3'!$J$84</f>
        <v>63.6</v>
      </c>
      <c r="CU20" s="21">
        <f t="shared" si="35"/>
        <v>12.611036487499881</v>
      </c>
      <c r="CW20" s="8">
        <f t="shared" si="17"/>
        <v>44105</v>
      </c>
      <c r="CX20" s="12">
        <f t="shared" si="41"/>
        <v>448</v>
      </c>
      <c r="CY20" s="10"/>
      <c r="CZ20" s="10"/>
      <c r="DA20" s="10"/>
      <c r="DB20" s="12">
        <f t="shared" si="36"/>
        <v>448</v>
      </c>
      <c r="DC20" s="12">
        <f t="shared" si="42"/>
        <v>20</v>
      </c>
      <c r="DD20" s="10"/>
      <c r="DE20" s="10"/>
      <c r="DF20" s="12">
        <f t="shared" si="37"/>
        <v>20</v>
      </c>
      <c r="DG20" s="12">
        <f t="shared" si="43"/>
        <v>2290</v>
      </c>
      <c r="DH20" s="10"/>
      <c r="DI20" s="10"/>
      <c r="DJ20" s="12">
        <f t="shared" si="38"/>
        <v>2290</v>
      </c>
      <c r="DK20" s="13"/>
      <c r="DL20" s="8">
        <f t="shared" si="18"/>
        <v>44105</v>
      </c>
      <c r="DM20" s="106">
        <f>'[71]BU-4'!$E$35</f>
        <v>31</v>
      </c>
      <c r="DN20" s="106">
        <f>'[71]BU-4'!$F$35</f>
        <v>0</v>
      </c>
      <c r="DO20" s="106">
        <f>'[71]BU-4'!$G$35</f>
        <v>0</v>
      </c>
      <c r="DP20" s="106">
        <f>'[71]BU-4'!$H$35</f>
        <v>0</v>
      </c>
      <c r="DQ20" s="10"/>
      <c r="DR20" s="10"/>
      <c r="DS20" s="10"/>
      <c r="DT20" s="10"/>
      <c r="DU20" s="10"/>
      <c r="DV20" s="10"/>
      <c r="DW20" s="10"/>
      <c r="DX20" s="10"/>
    </row>
    <row r="21" spans="2:128" ht="15.95" customHeight="1" x14ac:dyDescent="0.2">
      <c r="B21" s="8">
        <v>44136</v>
      </c>
      <c r="C21" s="10">
        <f>+'[73]BU-2'!$E$10</f>
        <v>15225</v>
      </c>
      <c r="D21" s="10">
        <f>+'[73]BU-3'!$F$11</f>
        <v>6664.0159374999985</v>
      </c>
      <c r="E21" s="10">
        <f>+'[73]BU-2'!$E$28</f>
        <v>2337.3225517972132</v>
      </c>
      <c r="F21" s="10">
        <f>+'[73]BU-2'!$E$29</f>
        <v>6223.6618232027868</v>
      </c>
      <c r="G21" s="31">
        <f t="shared" si="0"/>
        <v>8560.984375</v>
      </c>
      <c r="H21" s="10">
        <f>+'[73]BU-2'!$E$27</f>
        <v>0</v>
      </c>
      <c r="I21" s="52">
        <f t="shared" si="19"/>
        <v>-3.124999984720489E-4</v>
      </c>
      <c r="J21" s="8">
        <f t="shared" si="1"/>
        <v>44136</v>
      </c>
      <c r="K21" s="10">
        <f>'[73]BU-2'!$E$11</f>
        <v>92715</v>
      </c>
      <c r="L21" s="10">
        <f>'[73]BU-3'!$F$37</f>
        <v>86827</v>
      </c>
      <c r="M21" s="12">
        <f>'[73]BU-3'!$F$38</f>
        <v>5400</v>
      </c>
      <c r="N21" s="33">
        <f t="shared" si="2"/>
        <v>92227</v>
      </c>
      <c r="O21" s="12">
        <f>'[73]BU-2'!$E$30</f>
        <v>1297</v>
      </c>
      <c r="P21" s="10">
        <f>'[73]BU-2'!$E$31</f>
        <v>922</v>
      </c>
      <c r="Q21" s="33">
        <f t="shared" si="3"/>
        <v>2219</v>
      </c>
      <c r="R21" s="10">
        <f>'[73]BU-2'!$E$32</f>
        <v>0</v>
      </c>
      <c r="S21" s="10">
        <f>'[73]BU-2'!$E$33</f>
        <v>0</v>
      </c>
      <c r="T21" s="33">
        <f t="shared" si="4"/>
        <v>0</v>
      </c>
      <c r="U21" s="13">
        <f t="shared" si="20"/>
        <v>-2184</v>
      </c>
      <c r="V21" s="8">
        <f t="shared" si="5"/>
        <v>44136</v>
      </c>
      <c r="W21" s="10">
        <f>[74]Feuil1!$K$40</f>
        <v>36026</v>
      </c>
      <c r="X21" s="10">
        <f>[74]Feuil1!$L$40</f>
        <v>46786</v>
      </c>
      <c r="Y21" s="10">
        <f>[74]Feuil1!$M$40</f>
        <v>426</v>
      </c>
      <c r="Z21" s="10">
        <f>[74]Feuil1!$N$40</f>
        <v>5400</v>
      </c>
      <c r="AA21" s="10">
        <f>[74]Feuil1!$O$40</f>
        <v>6489</v>
      </c>
      <c r="AB21" s="12">
        <f t="shared" si="6"/>
        <v>95127</v>
      </c>
      <c r="AC21" s="10">
        <f>[74]Feuil1!$Q$40</f>
        <v>80461</v>
      </c>
      <c r="AD21" s="10">
        <f>[74]Feuil1!$R$40</f>
        <v>11629</v>
      </c>
      <c r="AE21" s="10">
        <f>[74]Feuil1!$S$40</f>
        <v>0</v>
      </c>
      <c r="AF21" s="18">
        <f>[74]Feuil1!$T$40</f>
        <v>3037</v>
      </c>
      <c r="AG21" s="12">
        <f t="shared" si="7"/>
        <v>95127</v>
      </c>
      <c r="AH21" s="13">
        <f t="shared" si="8"/>
        <v>0</v>
      </c>
      <c r="AI21" s="8">
        <f t="shared" si="9"/>
        <v>44136</v>
      </c>
      <c r="AJ21" s="12">
        <f>'[73]BU-2'!$E$20</f>
        <v>147955</v>
      </c>
      <c r="AK21" s="12">
        <f>'[73]BU-3'!$F$39</f>
        <v>11629</v>
      </c>
      <c r="AL21" s="12">
        <f>'[73]BU-2'!$E$34</f>
        <v>0</v>
      </c>
      <c r="AM21" s="12">
        <f t="shared" si="21"/>
        <v>159584</v>
      </c>
      <c r="AN21" s="12">
        <f>'[73]BU-3'!$F$56</f>
        <v>139919</v>
      </c>
      <c r="AO21" s="10">
        <f>'[73]BU-3'!$F$40</f>
        <v>6489</v>
      </c>
      <c r="AP21" s="10">
        <f>'[73]BU-2'!$E$35</f>
        <v>1547</v>
      </c>
      <c r="AQ21" s="12">
        <f t="shared" si="22"/>
        <v>147955</v>
      </c>
      <c r="AR21" s="51">
        <f t="shared" si="23"/>
        <v>0</v>
      </c>
      <c r="AS21" s="8">
        <f t="shared" si="24"/>
        <v>44136</v>
      </c>
      <c r="AT21" s="10">
        <f>'[73]BU-3'!$F$72</f>
        <v>74851</v>
      </c>
      <c r="AU21" s="10">
        <f>'[73]BU-3'!$F$47</f>
        <v>39052</v>
      </c>
      <c r="AV21" s="10">
        <f>[74]Feuil1!$BB$40</f>
        <v>22903</v>
      </c>
      <c r="AW21" s="12">
        <f t="shared" si="25"/>
        <v>136806</v>
      </c>
      <c r="AX21" s="10">
        <f>[74]Feuil1!$BD$40</f>
        <v>49258</v>
      </c>
      <c r="AY21" s="20">
        <f>[74]Feuil1!$BE$40</f>
        <v>39183</v>
      </c>
      <c r="AZ21" s="12">
        <f>[74]Feuil1!$BF$40</f>
        <v>48365</v>
      </c>
      <c r="BA21" s="12">
        <f t="shared" si="26"/>
        <v>136806</v>
      </c>
      <c r="BB21" s="13">
        <f t="shared" si="27"/>
        <v>0</v>
      </c>
      <c r="BC21" s="8">
        <f t="shared" si="10"/>
        <v>44136</v>
      </c>
      <c r="BD21" s="10">
        <f>'[73]BU-2'!$E$15</f>
        <v>203562</v>
      </c>
      <c r="BE21" s="10">
        <f>'[73]BU-3'!$F$69</f>
        <v>152021</v>
      </c>
      <c r="BF21" s="10">
        <f>'[73]BU-3'!$F$13-BE21</f>
        <v>50992</v>
      </c>
      <c r="BG21" s="10">
        <f>'[73]BU-3'!$F$41</f>
        <v>0</v>
      </c>
      <c r="BH21" s="10">
        <f t="shared" si="28"/>
        <v>203013</v>
      </c>
      <c r="BI21" s="10">
        <f>'[73]BU-2'!$E$17</f>
        <v>50992</v>
      </c>
      <c r="BJ21" s="10">
        <f>'[73]BU-3'!$F$12</f>
        <v>852</v>
      </c>
      <c r="BK21" s="10">
        <f>'[73]BU-3'!$F$45</f>
        <v>1215</v>
      </c>
      <c r="BL21" s="10">
        <f>[54]Feuil1!$AO$40</f>
        <v>22929</v>
      </c>
      <c r="BM21" s="10">
        <f>[54]Feuil1!$AP$40</f>
        <v>19036</v>
      </c>
      <c r="BN21" s="10">
        <f t="shared" si="45"/>
        <v>44032</v>
      </c>
      <c r="BO21" s="10">
        <f>'[73]BU-2'!$E$18</f>
        <v>48755</v>
      </c>
      <c r="BP21" s="10">
        <f>[74]Feuil1!$AX$40</f>
        <v>22373</v>
      </c>
      <c r="BQ21" s="10">
        <f>'[73]BU-3'!$F$58</f>
        <v>19751</v>
      </c>
      <c r="BR21" s="10">
        <f>'[73]BU-3'!$F$44</f>
        <v>26236</v>
      </c>
      <c r="BS21" s="10"/>
      <c r="BT21" s="10">
        <f t="shared" si="11"/>
        <v>68360</v>
      </c>
      <c r="BU21" s="13">
        <f t="shared" si="29"/>
        <v>19605</v>
      </c>
      <c r="BV21" s="13">
        <f t="shared" si="30"/>
        <v>-6960</v>
      </c>
      <c r="BW21" s="8">
        <f t="shared" si="12"/>
        <v>44136</v>
      </c>
      <c r="BX21" s="10">
        <f>'[73]BU-2'!$E$19</f>
        <v>8568.6489999999994</v>
      </c>
      <c r="BY21" s="10">
        <f>'[73]BU-3'!$F$46</f>
        <v>0</v>
      </c>
      <c r="BZ21" s="10">
        <f>'[73]BU-3'!$F$59</f>
        <v>3840.248</v>
      </c>
      <c r="CA21" s="10">
        <f>'[73]BU-3'!$F$71</f>
        <v>4728.4009999999998</v>
      </c>
      <c r="CB21" s="10">
        <f>'[73]BU-3'!$F$46</f>
        <v>0</v>
      </c>
      <c r="CC21" s="11">
        <f t="shared" si="31"/>
        <v>8568.6489999999994</v>
      </c>
      <c r="CD21" s="13">
        <f t="shared" si="32"/>
        <v>0</v>
      </c>
      <c r="CE21" s="8">
        <f t="shared" si="13"/>
        <v>44136</v>
      </c>
      <c r="CF21" s="21">
        <f t="shared" si="39"/>
        <v>53.420200000000023</v>
      </c>
      <c r="CG21" s="23">
        <f>'[73]BU-3'!$H$83</f>
        <v>0</v>
      </c>
      <c r="CH21" s="23">
        <v>0</v>
      </c>
      <c r="CI21" s="23">
        <f>'[73]BU-3'!$J$83</f>
        <v>0</v>
      </c>
      <c r="CJ21" s="21">
        <f t="shared" si="14"/>
        <v>0</v>
      </c>
      <c r="CK21" s="21">
        <f t="shared" si="15"/>
        <v>53.420200000000023</v>
      </c>
      <c r="CM21" s="8">
        <f t="shared" si="16"/>
        <v>44136</v>
      </c>
      <c r="CN21" s="11">
        <f t="shared" si="33"/>
        <v>6.4036199600001105</v>
      </c>
      <c r="CO21" s="9">
        <f>'[73]BU-3'!$H$82</f>
        <v>29</v>
      </c>
      <c r="CP21" s="9">
        <f>'[73]BU-3'!$J$82</f>
        <v>29.515743599999997</v>
      </c>
      <c r="CQ21" s="11">
        <f t="shared" si="34"/>
        <v>5.8878763600001172</v>
      </c>
      <c r="CR21" s="11">
        <f t="shared" si="40"/>
        <v>12.611036487499881</v>
      </c>
      <c r="CS21" s="23">
        <f>'[73]BU-3'!$H$84</f>
        <v>55.63649375</v>
      </c>
      <c r="CT21" s="23">
        <f>'[73]BU-3'!$J$84</f>
        <v>51.8</v>
      </c>
      <c r="CU21" s="21">
        <f t="shared" si="35"/>
        <v>16.44753023749989</v>
      </c>
      <c r="CW21" s="8">
        <f t="shared" si="17"/>
        <v>44136</v>
      </c>
      <c r="CX21" s="12">
        <f t="shared" si="41"/>
        <v>448</v>
      </c>
      <c r="CY21" s="10"/>
      <c r="CZ21" s="10"/>
      <c r="DA21" s="10"/>
      <c r="DB21" s="12">
        <f t="shared" si="36"/>
        <v>448</v>
      </c>
      <c r="DC21" s="12">
        <f t="shared" si="42"/>
        <v>20</v>
      </c>
      <c r="DD21" s="10"/>
      <c r="DE21" s="10"/>
      <c r="DF21" s="12">
        <f t="shared" si="37"/>
        <v>20</v>
      </c>
      <c r="DG21" s="12">
        <f t="shared" si="43"/>
        <v>2290</v>
      </c>
      <c r="DH21" s="10"/>
      <c r="DI21" s="10"/>
      <c r="DJ21" s="12">
        <f t="shared" si="38"/>
        <v>2290</v>
      </c>
      <c r="DK21" s="13"/>
      <c r="DL21" s="8">
        <f t="shared" si="18"/>
        <v>44136</v>
      </c>
      <c r="DM21" s="106">
        <f>'[73]BU-4'!$E$35</f>
        <v>30</v>
      </c>
      <c r="DN21" s="106">
        <f>'[73]BU-4'!$F$35</f>
        <v>0</v>
      </c>
      <c r="DO21" s="106">
        <f>'[73]BU-4'!$G$35</f>
        <v>0</v>
      </c>
      <c r="DP21" s="106">
        <f>'[73]BU-4'!$H$35</f>
        <v>0</v>
      </c>
      <c r="DQ21" s="10"/>
      <c r="DR21" s="10"/>
      <c r="DS21" s="10"/>
      <c r="DT21" s="10"/>
      <c r="DU21" s="10"/>
      <c r="DV21" s="10"/>
      <c r="DW21" s="10"/>
      <c r="DX21" s="10"/>
    </row>
    <row r="22" spans="2:128" ht="15.95" customHeight="1" x14ac:dyDescent="0.2">
      <c r="B22" s="8">
        <v>44166</v>
      </c>
      <c r="C22" s="10">
        <f>+'[75]BU-2'!$E$10</f>
        <v>11888</v>
      </c>
      <c r="D22" s="10">
        <f>+'[75]BU-3'!$F$11</f>
        <v>6902.815374999981</v>
      </c>
      <c r="E22" s="10">
        <f>+'[75]BU-2'!$E$28</f>
        <v>1843.5329999999999</v>
      </c>
      <c r="F22" s="10">
        <f>+'[75]BU-2'!$E$29</f>
        <v>3150.652</v>
      </c>
      <c r="G22" s="31">
        <f t="shared" si="0"/>
        <v>4994.1849999999995</v>
      </c>
      <c r="H22" s="10">
        <f>+'[75]BU-2'!$E$27</f>
        <v>9</v>
      </c>
      <c r="I22" s="52">
        <f t="shared" si="19"/>
        <v>-3.7499998052226147E-4</v>
      </c>
      <c r="J22" s="8">
        <f t="shared" si="1"/>
        <v>44166</v>
      </c>
      <c r="K22" s="10">
        <f>'[75]BU-2'!$E$11</f>
        <v>87560</v>
      </c>
      <c r="L22" s="10">
        <f>'[75]BU-3'!$F$37</f>
        <v>80752</v>
      </c>
      <c r="M22" s="12">
        <f>'[75]BU-3'!$F$38</f>
        <v>6808</v>
      </c>
      <c r="N22" s="33">
        <f t="shared" si="2"/>
        <v>87560</v>
      </c>
      <c r="O22" s="12">
        <f>'[75]BU-2'!$E$30</f>
        <v>9048</v>
      </c>
      <c r="P22" s="10">
        <f>'[75]BU-2'!$E$31</f>
        <v>1396</v>
      </c>
      <c r="Q22" s="33">
        <f t="shared" si="3"/>
        <v>10444</v>
      </c>
      <c r="R22" s="10">
        <f>'[75]BU-2'!$E$32</f>
        <v>0</v>
      </c>
      <c r="S22" s="10">
        <f>'[75]BU-2'!$E$33</f>
        <v>0</v>
      </c>
      <c r="T22" s="33">
        <f t="shared" si="4"/>
        <v>0</v>
      </c>
      <c r="U22" s="13">
        <f t="shared" si="20"/>
        <v>-1731</v>
      </c>
      <c r="V22" s="8">
        <f t="shared" si="5"/>
        <v>44166</v>
      </c>
      <c r="W22" s="10">
        <f>[76]Feuil1!$K$40</f>
        <v>37753</v>
      </c>
      <c r="X22" s="10">
        <f>[76]Feuil1!$L$40</f>
        <v>51246</v>
      </c>
      <c r="Y22" s="10">
        <f>[76]Feuil1!$M$40</f>
        <v>0</v>
      </c>
      <c r="Z22" s="10">
        <f>[76]Feuil1!$N$40</f>
        <v>6808</v>
      </c>
      <c r="AA22" s="10">
        <f>[76]Feuil1!$O$40</f>
        <v>6506</v>
      </c>
      <c r="AB22" s="12">
        <f t="shared" si="6"/>
        <v>102313</v>
      </c>
      <c r="AC22" s="10">
        <f>[76]Feuil1!$Q$40</f>
        <v>81027</v>
      </c>
      <c r="AD22" s="10">
        <f>[76]Feuil1!$R$40</f>
        <v>12263</v>
      </c>
      <c r="AE22" s="10">
        <f>[76]Feuil1!$S$40</f>
        <v>0</v>
      </c>
      <c r="AF22" s="18">
        <f>[76]Feuil1!$T$40</f>
        <v>9023</v>
      </c>
      <c r="AG22" s="12">
        <f t="shared" si="7"/>
        <v>102313</v>
      </c>
      <c r="AH22" s="13">
        <f t="shared" si="8"/>
        <v>0</v>
      </c>
      <c r="AI22" s="8">
        <f t="shared" si="9"/>
        <v>44166</v>
      </c>
      <c r="AJ22" s="12">
        <f>'[75]BU-2'!$E$20</f>
        <v>149815.5</v>
      </c>
      <c r="AK22" s="12">
        <f>'[75]BU-3'!$F$39</f>
        <v>12263</v>
      </c>
      <c r="AL22" s="12">
        <f>'[75]BU-2'!$E$34</f>
        <v>0</v>
      </c>
      <c r="AM22" s="12">
        <f t="shared" si="21"/>
        <v>162078.5</v>
      </c>
      <c r="AN22" s="12">
        <f>'[75]BU-3'!$F$56</f>
        <v>143084</v>
      </c>
      <c r="AO22" s="10">
        <f>'[75]BU-3'!$F$40</f>
        <v>6506</v>
      </c>
      <c r="AP22" s="10">
        <f>'[75]BU-2'!$E$35</f>
        <v>233</v>
      </c>
      <c r="AQ22" s="12">
        <f t="shared" si="22"/>
        <v>149823</v>
      </c>
      <c r="AR22" s="51">
        <f t="shared" si="23"/>
        <v>7.5</v>
      </c>
      <c r="AS22" s="8">
        <f t="shared" si="24"/>
        <v>44166</v>
      </c>
      <c r="AT22" s="10">
        <f>'[75]BU-3'!$F$72</f>
        <v>71285</v>
      </c>
      <c r="AU22" s="10">
        <f>'[75]BU-3'!$F$47</f>
        <v>28459</v>
      </c>
      <c r="AV22" s="10">
        <f>[76]Feuil1!$BB$40</f>
        <v>37319</v>
      </c>
      <c r="AW22" s="12">
        <f t="shared" si="25"/>
        <v>137063</v>
      </c>
      <c r="AX22" s="10">
        <f>[76]Feuil1!$BD$40</f>
        <v>33568</v>
      </c>
      <c r="AY22" s="20">
        <f>[76]Feuil1!$BE$40</f>
        <v>37191</v>
      </c>
      <c r="AZ22" s="12">
        <f>[76]Feuil1!$BF$40</f>
        <v>40049</v>
      </c>
      <c r="BA22" s="12">
        <f t="shared" si="26"/>
        <v>110808</v>
      </c>
      <c r="BB22" s="13">
        <f t="shared" si="27"/>
        <v>-26255</v>
      </c>
      <c r="BC22" s="8">
        <f t="shared" si="10"/>
        <v>44166</v>
      </c>
      <c r="BD22" s="10">
        <f>'[75]BU-2'!$E$15</f>
        <v>229113</v>
      </c>
      <c r="BE22" s="10">
        <f>'[75]BU-3'!$F$69</f>
        <v>160079</v>
      </c>
      <c r="BF22" s="10">
        <f>'[75]BU-3'!$F$13-BE22</f>
        <v>69034</v>
      </c>
      <c r="BG22" s="10">
        <f>'[75]BU-3'!$F$41</f>
        <v>0</v>
      </c>
      <c r="BH22" s="10">
        <f t="shared" si="28"/>
        <v>229113</v>
      </c>
      <c r="BI22" s="10">
        <f>'[75]BU-2'!$E$17</f>
        <v>69034</v>
      </c>
      <c r="BJ22" s="10">
        <f>'[75]BU-3'!$F$12</f>
        <v>1419</v>
      </c>
      <c r="BK22" s="10">
        <f>'[75]BU-3'!$F$45</f>
        <v>1737</v>
      </c>
      <c r="BL22" s="10">
        <f>[54]Feuil1!$AO$40</f>
        <v>22929</v>
      </c>
      <c r="BM22" s="10">
        <f>[54]Feuil1!$AP$40</f>
        <v>19036</v>
      </c>
      <c r="BN22" s="10">
        <f t="shared" si="45"/>
        <v>45121</v>
      </c>
      <c r="BO22" s="10">
        <f>'[75]BU-2'!$E$18</f>
        <v>66057</v>
      </c>
      <c r="BP22" s="10">
        <f>[76]Feuil1!$AX$40</f>
        <v>37107</v>
      </c>
      <c r="BQ22" s="10">
        <f>'[75]BU-3'!$F$58</f>
        <v>20470</v>
      </c>
      <c r="BR22" s="10">
        <f>'[75]BU-3'!$F$44</f>
        <v>28242</v>
      </c>
      <c r="BS22" s="10"/>
      <c r="BT22" s="10">
        <f t="shared" si="11"/>
        <v>85819</v>
      </c>
      <c r="BU22" s="13">
        <f t="shared" si="29"/>
        <v>19762</v>
      </c>
      <c r="BV22" s="13">
        <f t="shared" si="30"/>
        <v>-23913</v>
      </c>
      <c r="BW22" s="8">
        <f t="shared" si="12"/>
        <v>44166</v>
      </c>
      <c r="BX22" s="10">
        <f>'[75]BU-2'!$E$19</f>
        <v>9292.3760000000002</v>
      </c>
      <c r="BY22" s="10">
        <f>'[75]BU-3'!$F$46</f>
        <v>0</v>
      </c>
      <c r="BZ22" s="10">
        <f>'[75]BU-3'!$F$59</f>
        <v>4065.7130000000002</v>
      </c>
      <c r="CA22" s="10">
        <f>'[75]BU-3'!$F$71</f>
        <v>5226.6629999999996</v>
      </c>
      <c r="CB22" s="10">
        <f>'[75]BU-3'!$F$46</f>
        <v>0</v>
      </c>
      <c r="CC22" s="11">
        <f t="shared" si="31"/>
        <v>9292.3760000000002</v>
      </c>
      <c r="CD22" s="13">
        <f t="shared" si="32"/>
        <v>0</v>
      </c>
      <c r="CE22" s="8">
        <f t="shared" si="13"/>
        <v>44166</v>
      </c>
      <c r="CF22" s="21">
        <f t="shared" si="39"/>
        <v>53.420200000000023</v>
      </c>
      <c r="CG22" s="23">
        <f>'[75]BU-3'!$H$83</f>
        <v>0</v>
      </c>
      <c r="CH22" s="23">
        <v>0</v>
      </c>
      <c r="CI22" s="23">
        <f>'[75]BU-3'!$J$83</f>
        <v>0</v>
      </c>
      <c r="CJ22" s="21">
        <f t="shared" si="14"/>
        <v>0</v>
      </c>
      <c r="CK22" s="21">
        <f t="shared" si="15"/>
        <v>53.420200000000023</v>
      </c>
      <c r="CM22" s="8">
        <f t="shared" si="16"/>
        <v>44166</v>
      </c>
      <c r="CN22" s="11">
        <f t="shared" si="33"/>
        <v>5.8878763600001172</v>
      </c>
      <c r="CO22" s="9">
        <f>'[75]BU-3'!$H$82</f>
        <v>57</v>
      </c>
      <c r="CP22" s="9">
        <f>'[75]BU-3'!$J$82</f>
        <v>54</v>
      </c>
      <c r="CQ22" s="11">
        <f>+CN22+CO22-CP22</f>
        <v>8.8878763600001207</v>
      </c>
      <c r="CR22" s="11">
        <f>+CU21</f>
        <v>16.44753023749989</v>
      </c>
      <c r="CS22" s="23">
        <f>'[75]BU-3'!$H$84</f>
        <v>68.273797499999986</v>
      </c>
      <c r="CT22" s="23">
        <f>'[75]BU-3'!$J$84</f>
        <v>72</v>
      </c>
      <c r="CU22" s="21">
        <f t="shared" si="35"/>
        <v>12.721327737499877</v>
      </c>
      <c r="CW22" s="8">
        <f t="shared" si="17"/>
        <v>44166</v>
      </c>
      <c r="CX22" s="12">
        <f t="shared" si="41"/>
        <v>448</v>
      </c>
      <c r="CY22" s="10"/>
      <c r="CZ22" s="10"/>
      <c r="DA22" s="10"/>
      <c r="DB22" s="12">
        <f t="shared" si="36"/>
        <v>448</v>
      </c>
      <c r="DC22" s="12">
        <f t="shared" si="42"/>
        <v>20</v>
      </c>
      <c r="DD22" s="10"/>
      <c r="DE22" s="10"/>
      <c r="DF22" s="12">
        <f t="shared" si="37"/>
        <v>20</v>
      </c>
      <c r="DG22" s="12">
        <f t="shared" si="43"/>
        <v>2290</v>
      </c>
      <c r="DH22" s="10"/>
      <c r="DI22" s="10"/>
      <c r="DJ22" s="12">
        <f t="shared" si="38"/>
        <v>2290</v>
      </c>
      <c r="DK22" s="13"/>
      <c r="DL22" s="8">
        <f t="shared" si="18"/>
        <v>44166</v>
      </c>
      <c r="DM22" s="106">
        <f>'[75]BU-4'!E35</f>
        <v>30.975000000000001</v>
      </c>
      <c r="DN22" s="106">
        <f>'[75]BU-4'!F35</f>
        <v>0</v>
      </c>
      <c r="DO22" s="106">
        <f>'[75]BU-4'!G35</f>
        <v>0</v>
      </c>
      <c r="DP22" s="106">
        <f>'[75]BU-4'!H35</f>
        <v>2.4999999999999998E-2</v>
      </c>
      <c r="DQ22" s="10"/>
      <c r="DR22" s="10"/>
      <c r="DS22" s="10"/>
      <c r="DT22" s="10"/>
      <c r="DU22" s="10"/>
      <c r="DV22" s="10"/>
      <c r="DW22" s="10"/>
      <c r="DX22" s="10"/>
    </row>
    <row r="23" spans="2:128" ht="15.75" x14ac:dyDescent="0.25">
      <c r="B23" s="30" t="s">
        <v>5</v>
      </c>
      <c r="C23" s="31">
        <f>SUM(C11:C22)</f>
        <v>158843</v>
      </c>
      <c r="D23" s="31">
        <f>SUM(D11:D22)</f>
        <v>71658.432824999982</v>
      </c>
      <c r="E23" s="31">
        <f>SUM(E11:E22)</f>
        <v>29254.216345540546</v>
      </c>
      <c r="F23" s="31">
        <f>SUM(F11:F22)</f>
        <v>60650.351716959427</v>
      </c>
      <c r="G23" s="31">
        <f t="shared" ref="G23" si="47">SUM(E23:F23)</f>
        <v>89904.56806249998</v>
      </c>
      <c r="H23" s="31">
        <f>SUM(H11:H22)</f>
        <v>2720.0000000000005</v>
      </c>
      <c r="I23"/>
      <c r="J23" s="8" t="s">
        <v>5</v>
      </c>
      <c r="K23" s="31">
        <f>SUM(K11:K22)</f>
        <v>940958</v>
      </c>
      <c r="L23" s="31">
        <f t="shared" ref="L23:T23" si="48">SUM(L11:L22)</f>
        <v>898089</v>
      </c>
      <c r="M23" s="31">
        <f t="shared" si="48"/>
        <v>49010</v>
      </c>
      <c r="N23" s="31">
        <f t="shared" si="48"/>
        <v>947099</v>
      </c>
      <c r="O23" s="31">
        <f t="shared" si="48"/>
        <v>16925</v>
      </c>
      <c r="P23" s="31">
        <f t="shared" si="48"/>
        <v>3752</v>
      </c>
      <c r="Q23" s="31">
        <f t="shared" si="48"/>
        <v>20677</v>
      </c>
      <c r="R23" s="31">
        <f t="shared" si="48"/>
        <v>10967</v>
      </c>
      <c r="S23" s="31">
        <f t="shared" si="48"/>
        <v>0</v>
      </c>
      <c r="T23" s="31">
        <f t="shared" si="48"/>
        <v>10967</v>
      </c>
      <c r="U23" s="13">
        <f t="shared" si="20"/>
        <v>-10444</v>
      </c>
      <c r="V23" s="8" t="s">
        <v>5</v>
      </c>
      <c r="W23" s="12">
        <f>SUM(W11:W22)</f>
        <v>365302</v>
      </c>
      <c r="X23" s="12">
        <f>SUM(X11:X22)</f>
        <v>481515</v>
      </c>
      <c r="Y23" s="12"/>
      <c r="Z23" s="12">
        <f>SUM(W23:X23)</f>
        <v>846817</v>
      </c>
      <c r="AA23" s="12" t="e">
        <f>+#REF!</f>
        <v>#REF!</v>
      </c>
      <c r="AB23" s="12">
        <f>SUM(AB11:AB22)</f>
        <v>977787.6</v>
      </c>
      <c r="AC23" s="12">
        <f t="shared" ref="AC23:AD23" si="49">SUM(AC11:AC22)</f>
        <v>830478</v>
      </c>
      <c r="AD23" s="12">
        <f t="shared" si="49"/>
        <v>119890</v>
      </c>
      <c r="AE23" s="12">
        <f>SUM(AE11:AE22)</f>
        <v>755</v>
      </c>
      <c r="AF23" s="12">
        <f>SUM(AF11:AF22)</f>
        <v>26664</v>
      </c>
      <c r="AG23" s="12">
        <f t="shared" ref="AG23" si="50">SUM(AC23:AE23)</f>
        <v>951123</v>
      </c>
      <c r="AI23" s="8" t="s">
        <v>5</v>
      </c>
      <c r="AJ23" s="12">
        <f>SUM(AJ11:AJ22)</f>
        <v>1518157.5</v>
      </c>
      <c r="AK23" s="12">
        <f t="shared" ref="AK23:BA23" si="51">SUM(AK11:AK22)</f>
        <v>119890</v>
      </c>
      <c r="AL23" s="12">
        <f t="shared" si="51"/>
        <v>0</v>
      </c>
      <c r="AM23" s="12">
        <f>SUM(AM11:AM22)</f>
        <v>1638047.5</v>
      </c>
      <c r="AN23" s="12">
        <f t="shared" si="51"/>
        <v>1426656</v>
      </c>
      <c r="AO23" s="12">
        <f t="shared" si="51"/>
        <v>64824</v>
      </c>
      <c r="AP23" s="12">
        <f t="shared" si="51"/>
        <v>26125</v>
      </c>
      <c r="AQ23" s="11">
        <f t="shared" si="51"/>
        <v>1517605</v>
      </c>
      <c r="AR23"/>
      <c r="AS23" s="8" t="s">
        <v>5</v>
      </c>
      <c r="AT23" s="12">
        <f t="shared" si="51"/>
        <v>730835</v>
      </c>
      <c r="AU23" s="12">
        <f t="shared" si="51"/>
        <v>390321.4</v>
      </c>
      <c r="AV23" s="12">
        <f t="shared" si="51"/>
        <v>276426</v>
      </c>
      <c r="AW23" s="12">
        <f t="shared" si="51"/>
        <v>1397582.4</v>
      </c>
      <c r="AX23" s="12">
        <f t="shared" si="51"/>
        <v>470744</v>
      </c>
      <c r="AY23" s="12">
        <f t="shared" si="51"/>
        <v>433664</v>
      </c>
      <c r="AZ23" s="12">
        <f t="shared" si="51"/>
        <v>466298</v>
      </c>
      <c r="BA23" s="12">
        <f t="shared" si="51"/>
        <v>1370706</v>
      </c>
      <c r="BC23" s="8" t="s">
        <v>5</v>
      </c>
      <c r="BD23" s="12">
        <f>SUM(BD11:BD22)</f>
        <v>2104847</v>
      </c>
      <c r="BE23" s="12">
        <f t="shared" ref="BE23:BS23" si="52">SUM(BE11:BE22)</f>
        <v>1530053.5</v>
      </c>
      <c r="BF23" s="12">
        <f t="shared" si="52"/>
        <v>574506.5</v>
      </c>
      <c r="BG23" s="12">
        <f>SUM(BG11:BG22)</f>
        <v>1344</v>
      </c>
      <c r="BH23" s="12">
        <f>SUM(BH11:BH22)</f>
        <v>2105904</v>
      </c>
      <c r="BI23" s="12">
        <f t="shared" si="52"/>
        <v>572765.5</v>
      </c>
      <c r="BJ23" s="12">
        <f t="shared" si="52"/>
        <v>14536</v>
      </c>
      <c r="BK23" s="12">
        <f t="shared" si="52"/>
        <v>17172</v>
      </c>
      <c r="BL23" s="12">
        <f t="shared" si="52"/>
        <v>259484</v>
      </c>
      <c r="BM23" s="12">
        <f t="shared" si="52"/>
        <v>215131</v>
      </c>
      <c r="BN23" s="12">
        <f>SUM(BN11:BN22)</f>
        <v>506323</v>
      </c>
      <c r="BO23" s="12">
        <f t="shared" si="52"/>
        <v>540968</v>
      </c>
      <c r="BP23" s="12">
        <f t="shared" si="52"/>
        <v>276438</v>
      </c>
      <c r="BQ23" s="12">
        <f t="shared" si="52"/>
        <v>193474</v>
      </c>
      <c r="BR23" s="12">
        <f t="shared" si="52"/>
        <v>261851</v>
      </c>
      <c r="BS23" s="12">
        <f t="shared" si="52"/>
        <v>0</v>
      </c>
      <c r="BT23" s="12">
        <f>SUM(BT11:BT22)</f>
        <v>731763</v>
      </c>
      <c r="BW23" s="8" t="s">
        <v>5</v>
      </c>
      <c r="BX23" s="12">
        <f t="shared" ref="BX23:CC23" si="53">SUM(BX11:BX22)</f>
        <v>83928.954000000012</v>
      </c>
      <c r="BY23" s="12">
        <f t="shared" si="53"/>
        <v>0</v>
      </c>
      <c r="BZ23" s="12">
        <f t="shared" si="53"/>
        <v>41242.205000000002</v>
      </c>
      <c r="CA23" s="12">
        <f t="shared" si="53"/>
        <v>42686.749000000003</v>
      </c>
      <c r="CB23" s="12">
        <f t="shared" si="53"/>
        <v>0</v>
      </c>
      <c r="CC23" s="12">
        <f t="shared" si="53"/>
        <v>83928.954000000012</v>
      </c>
      <c r="CE23" s="8" t="s">
        <v>5</v>
      </c>
      <c r="CF23" s="21">
        <f>+CF11</f>
        <v>56.490200000000002</v>
      </c>
      <c r="CG23" s="21">
        <f t="shared" ref="CG23:CJ23" si="54">SUM(CG11:CG22)</f>
        <v>153</v>
      </c>
      <c r="CH23" s="21">
        <f t="shared" si="54"/>
        <v>0</v>
      </c>
      <c r="CI23" s="21">
        <f t="shared" si="54"/>
        <v>156.07</v>
      </c>
      <c r="CJ23" s="21">
        <f t="shared" si="54"/>
        <v>156.07</v>
      </c>
      <c r="CK23" s="21">
        <f t="shared" si="15"/>
        <v>53.420200000000023</v>
      </c>
      <c r="CM23" s="8" t="s">
        <v>5</v>
      </c>
      <c r="CN23" s="11">
        <f>+CN11</f>
        <v>13.248595080000083</v>
      </c>
      <c r="CO23" s="21">
        <f>SUM(CO11:CO22)</f>
        <v>317.71000000000004</v>
      </c>
      <c r="CP23" s="21">
        <f>SUM(CP11:CP22)</f>
        <v>322.07071871999995</v>
      </c>
      <c r="CQ23" s="11">
        <f>+CQ22</f>
        <v>8.8878763600001207</v>
      </c>
      <c r="CR23" s="11">
        <f>+CR11</f>
        <v>13.4774902374999</v>
      </c>
      <c r="CS23" s="21">
        <f>SUM(CS11:CS22)</f>
        <v>655.59383749999995</v>
      </c>
      <c r="CT23" s="21">
        <f>SUM(CT11:CT22)</f>
        <v>656.34999999999991</v>
      </c>
      <c r="CU23" s="21">
        <f t="shared" si="35"/>
        <v>12.721327737499905</v>
      </c>
      <c r="CW23" s="8" t="s">
        <v>5</v>
      </c>
      <c r="CX23" s="12">
        <f>+CX11</f>
        <v>448</v>
      </c>
      <c r="CY23" s="12">
        <f>SUM(CY11:CY22)</f>
        <v>0</v>
      </c>
      <c r="CZ23" s="12">
        <f>SUM(CZ11:CZ22)</f>
        <v>0</v>
      </c>
      <c r="DA23" s="12">
        <f>SUM(DA11:DA22)</f>
        <v>0</v>
      </c>
      <c r="DB23" s="12">
        <f t="shared" si="36"/>
        <v>448</v>
      </c>
      <c r="DC23" s="12">
        <f>+DC11</f>
        <v>20</v>
      </c>
      <c r="DD23" s="12">
        <f>SUM(DD11:DD22)</f>
        <v>0</v>
      </c>
      <c r="DE23" s="12">
        <f>SUM(DE11:DE22)</f>
        <v>0</v>
      </c>
      <c r="DF23" s="12">
        <f t="shared" si="37"/>
        <v>20</v>
      </c>
      <c r="DG23" s="12">
        <f>+DG11</f>
        <v>2290</v>
      </c>
      <c r="DH23" s="12">
        <f>SUM(DH11:DH22)</f>
        <v>0</v>
      </c>
      <c r="DI23" s="12">
        <f>SUM(DI11:DI22)</f>
        <v>0</v>
      </c>
      <c r="DJ23" s="12">
        <f t="shared" si="38"/>
        <v>2290</v>
      </c>
      <c r="DK23" s="13"/>
      <c r="DL23" s="8" t="s">
        <v>5</v>
      </c>
      <c r="DM23" s="107">
        <f>SUM(DM11:DM22)</f>
        <v>315.93680555555557</v>
      </c>
      <c r="DN23" s="107">
        <f t="shared" ref="DN23:DP23" si="55">SUM(DN11:DN22)</f>
        <v>0.15972222222222224</v>
      </c>
      <c r="DO23" s="107">
        <f t="shared" si="55"/>
        <v>1.0131944444444445</v>
      </c>
      <c r="DP23" s="107">
        <f t="shared" si="55"/>
        <v>48.890277777777783</v>
      </c>
      <c r="DQ23" s="12">
        <f t="shared" ref="DQ23:DX23" si="56">SUM(DQ11:DQ22)</f>
        <v>0</v>
      </c>
      <c r="DR23" s="12">
        <f t="shared" si="56"/>
        <v>0</v>
      </c>
      <c r="DS23" s="12">
        <f t="shared" si="56"/>
        <v>0</v>
      </c>
      <c r="DT23" s="12">
        <f t="shared" si="56"/>
        <v>0</v>
      </c>
      <c r="DU23" s="12">
        <f t="shared" si="56"/>
        <v>0</v>
      </c>
      <c r="DV23" s="12">
        <f t="shared" si="56"/>
        <v>0</v>
      </c>
      <c r="DW23" s="12">
        <f t="shared" si="56"/>
        <v>0</v>
      </c>
      <c r="DX23" s="12">
        <f t="shared" si="56"/>
        <v>0</v>
      </c>
    </row>
    <row r="24" spans="2:128" x14ac:dyDescent="0.25">
      <c r="B24" s="14"/>
    </row>
    <row r="25" spans="2:128" ht="15.95" customHeight="1" x14ac:dyDescent="0.25"/>
    <row r="26" spans="2:128" ht="15.95" customHeight="1" x14ac:dyDescent="0.25"/>
    <row r="27" spans="2:128" ht="15.95" customHeight="1" x14ac:dyDescent="0.25"/>
    <row r="29" spans="2:128" ht="15.95" customHeight="1" x14ac:dyDescent="0.25"/>
    <row r="30" spans="2:128" ht="15.95" customHeight="1" x14ac:dyDescent="0.25"/>
    <row r="31" spans="2:128" ht="15.95" customHeight="1" x14ac:dyDescent="0.25">
      <c r="O31" s="13"/>
    </row>
    <row r="32" spans="2:128" ht="15.95" customHeight="1" x14ac:dyDescent="0.25"/>
    <row r="33" ht="15.95" customHeight="1" x14ac:dyDescent="0.25"/>
    <row r="34" ht="15.95" customHeight="1" x14ac:dyDescent="0.25"/>
    <row r="35" ht="15.95" customHeight="1" x14ac:dyDescent="0.25"/>
    <row r="36" ht="15.95" customHeight="1" x14ac:dyDescent="0.25"/>
    <row r="37" ht="15.95" customHeight="1" x14ac:dyDescent="0.25"/>
    <row r="38" ht="15.95" customHeight="1" x14ac:dyDescent="0.25"/>
    <row r="39" ht="15.95" customHeight="1" x14ac:dyDescent="0.25"/>
    <row r="40" ht="15.95" customHeight="1" x14ac:dyDescent="0.25"/>
    <row r="41" ht="15.95" customHeight="1" x14ac:dyDescent="0.25"/>
    <row r="44" ht="15.75" customHeight="1" x14ac:dyDescent="0.25"/>
    <row r="46" ht="15.95" customHeight="1" x14ac:dyDescent="0.25"/>
    <row r="47" ht="15.95" customHeight="1" x14ac:dyDescent="0.25"/>
    <row r="48" ht="15.95" customHeight="1" x14ac:dyDescent="0.25"/>
    <row r="49" spans="2:13" ht="15.95" customHeight="1" x14ac:dyDescent="0.25"/>
    <row r="50" spans="2:13" ht="15.95" customHeight="1" x14ac:dyDescent="0.25"/>
    <row r="51" spans="2:13" ht="15.95" customHeight="1" x14ac:dyDescent="0.25"/>
    <row r="52" spans="2:13" ht="15.95" customHeight="1" x14ac:dyDescent="0.25"/>
    <row r="53" spans="2:13" ht="15.95" customHeight="1" x14ac:dyDescent="0.25"/>
    <row r="54" spans="2:13" ht="15.95" customHeight="1" x14ac:dyDescent="0.25"/>
    <row r="55" spans="2:13" ht="15.95" customHeight="1" x14ac:dyDescent="0.25"/>
    <row r="56" spans="2:13" ht="15.95" customHeight="1" x14ac:dyDescent="0.25"/>
    <row r="57" spans="2:13" ht="15.95" customHeight="1" x14ac:dyDescent="0.25"/>
    <row r="58" spans="2:13" ht="15.95" customHeight="1" x14ac:dyDescent="0.25">
      <c r="J58" s="39"/>
      <c r="K58" s="39"/>
      <c r="L58" s="39"/>
      <c r="M58" s="39"/>
    </row>
    <row r="59" spans="2:13" ht="15.95" customHeight="1" x14ac:dyDescent="0.25">
      <c r="B59" s="22"/>
      <c r="C59" s="39"/>
      <c r="D59" s="39"/>
      <c r="E59" s="39"/>
      <c r="F59" s="39"/>
      <c r="G59" s="39"/>
      <c r="H59" s="39"/>
      <c r="I59" s="39"/>
    </row>
    <row r="61" spans="2:13" ht="15.75" customHeight="1" x14ac:dyDescent="0.25"/>
    <row r="63" spans="2:13" ht="15.95" customHeight="1" x14ac:dyDescent="0.25"/>
    <row r="64" spans="2:13" ht="15.95" customHeight="1" x14ac:dyDescent="0.25"/>
    <row r="65" ht="15.95" customHeight="1" x14ac:dyDescent="0.25"/>
    <row r="66" ht="15.95" customHeight="1" x14ac:dyDescent="0.25"/>
    <row r="67" ht="15.95" customHeight="1" x14ac:dyDescent="0.25"/>
    <row r="68" ht="15.95" customHeight="1" x14ac:dyDescent="0.25"/>
    <row r="69" ht="15.95" customHeight="1" x14ac:dyDescent="0.25"/>
    <row r="70" ht="15.95" customHeight="1" x14ac:dyDescent="0.25"/>
    <row r="71" ht="15.95" customHeight="1" x14ac:dyDescent="0.25"/>
    <row r="72" ht="15.95" customHeight="1" x14ac:dyDescent="0.25"/>
    <row r="73" ht="15.95" customHeight="1" x14ac:dyDescent="0.25"/>
    <row r="74" ht="15.95" customHeight="1" x14ac:dyDescent="0.25"/>
    <row r="75" ht="15.95" customHeight="1" x14ac:dyDescent="0.25"/>
    <row r="78" ht="15.75" customHeight="1" x14ac:dyDescent="0.25"/>
    <row r="80" ht="15.95" customHeight="1" x14ac:dyDescent="0.25"/>
    <row r="81" spans="21:25" ht="15.95" customHeight="1" x14ac:dyDescent="0.25"/>
    <row r="82" spans="21:25" ht="15.95" customHeight="1" x14ac:dyDescent="0.25"/>
    <row r="83" spans="21:25" ht="15.95" customHeight="1" x14ac:dyDescent="0.25"/>
    <row r="84" spans="21:25" ht="15.95" customHeight="1" x14ac:dyDescent="0.25"/>
    <row r="85" spans="21:25" ht="15.95" customHeight="1" x14ac:dyDescent="0.25"/>
    <row r="86" spans="21:25" ht="15.95" customHeight="1" x14ac:dyDescent="0.25"/>
    <row r="87" spans="21:25" ht="15.95" customHeight="1" x14ac:dyDescent="0.25"/>
    <row r="88" spans="21:25" ht="15.95" customHeight="1" x14ac:dyDescent="0.25"/>
    <row r="89" spans="21:25" ht="15.95" customHeight="1" x14ac:dyDescent="0.25"/>
    <row r="90" spans="21:25" ht="15.95" customHeight="1" x14ac:dyDescent="0.25"/>
    <row r="91" spans="21:25" ht="15.95" customHeight="1" x14ac:dyDescent="0.25"/>
    <row r="92" spans="21:25" ht="15.95" customHeight="1" x14ac:dyDescent="0.25"/>
    <row r="94" spans="21:25" x14ac:dyDescent="0.25">
      <c r="U94" s="1"/>
      <c r="V94" s="1"/>
      <c r="W94" s="1"/>
      <c r="X94" s="1"/>
      <c r="Y94" s="1"/>
    </row>
    <row r="95" spans="21:25" ht="15.75" customHeight="1" x14ac:dyDescent="0.25"/>
    <row r="97" spans="27:31" ht="15.95" customHeight="1" x14ac:dyDescent="0.25"/>
    <row r="98" spans="27:31" ht="15.95" customHeight="1" x14ac:dyDescent="0.25"/>
    <row r="99" spans="27:31" ht="15.95" customHeight="1" x14ac:dyDescent="0.25"/>
    <row r="100" spans="27:31" ht="15.95" customHeight="1" x14ac:dyDescent="0.25"/>
    <row r="101" spans="27:31" ht="15.95" customHeight="1" x14ac:dyDescent="0.25"/>
    <row r="102" spans="27:31" ht="15.95" customHeight="1" x14ac:dyDescent="0.25"/>
    <row r="103" spans="27:31" ht="15.95" customHeight="1" x14ac:dyDescent="0.25"/>
    <row r="104" spans="27:31" ht="15.95" customHeight="1" x14ac:dyDescent="0.25"/>
    <row r="105" spans="27:31" ht="15.95" customHeight="1" x14ac:dyDescent="0.25"/>
    <row r="106" spans="27:31" ht="15.95" customHeight="1" x14ac:dyDescent="0.25"/>
    <row r="107" spans="27:31" ht="15.95" customHeight="1" x14ac:dyDescent="0.25"/>
    <row r="108" spans="27:31" ht="15.95" customHeight="1" x14ac:dyDescent="0.25"/>
    <row r="109" spans="27:31" ht="15.95" customHeight="1" x14ac:dyDescent="0.25"/>
    <row r="112" spans="27:31" x14ac:dyDescent="0.25">
      <c r="AA112" s="15"/>
      <c r="AB112" s="15"/>
      <c r="AC112" s="15"/>
      <c r="AD112" s="15"/>
      <c r="AE112" s="15"/>
    </row>
    <row r="113" spans="11:15" ht="15.75" customHeight="1" x14ac:dyDescent="0.25"/>
    <row r="115" spans="11:15" ht="15.95" customHeight="1" x14ac:dyDescent="0.25"/>
    <row r="116" spans="11:15" ht="15.95" customHeight="1" x14ac:dyDescent="0.25"/>
    <row r="117" spans="11:15" ht="15.95" customHeight="1" x14ac:dyDescent="0.25"/>
    <row r="118" spans="11:15" ht="15.95" customHeight="1" x14ac:dyDescent="0.25"/>
    <row r="119" spans="11:15" ht="15.95" customHeight="1" x14ac:dyDescent="0.25"/>
    <row r="120" spans="11:15" ht="15.95" customHeight="1" x14ac:dyDescent="0.25"/>
    <row r="121" spans="11:15" ht="15.95" customHeight="1" x14ac:dyDescent="0.25"/>
    <row r="122" spans="11:15" ht="15.95" customHeight="1" x14ac:dyDescent="0.25"/>
    <row r="123" spans="11:15" ht="15.95" customHeight="1" x14ac:dyDescent="0.25"/>
    <row r="124" spans="11:15" ht="15.95" customHeight="1" x14ac:dyDescent="0.25"/>
    <row r="125" spans="11:15" ht="15.95" customHeight="1" x14ac:dyDescent="0.25"/>
    <row r="126" spans="11:15" ht="15.95" customHeight="1" x14ac:dyDescent="0.25"/>
    <row r="127" spans="11:15" ht="15.95" customHeight="1" x14ac:dyDescent="0.25">
      <c r="K127" s="15"/>
      <c r="L127" s="15"/>
      <c r="M127" s="15"/>
      <c r="N127" s="15"/>
      <c r="O127" s="15"/>
    </row>
    <row r="129" spans="15:17" ht="15.75" customHeight="1" x14ac:dyDescent="0.25"/>
    <row r="130" spans="15:17" x14ac:dyDescent="0.25">
      <c r="O130" s="24"/>
    </row>
    <row r="131" spans="15:17" ht="15.95" customHeight="1" x14ac:dyDescent="0.25">
      <c r="O131" s="24"/>
    </row>
    <row r="132" spans="15:17" ht="15.95" customHeight="1" x14ac:dyDescent="0.25">
      <c r="O132" s="24"/>
    </row>
    <row r="133" spans="15:17" ht="15.95" customHeight="1" x14ac:dyDescent="0.25">
      <c r="O133" s="24"/>
    </row>
    <row r="134" spans="15:17" ht="15.95" customHeight="1" x14ac:dyDescent="0.25">
      <c r="O134" s="24"/>
    </row>
    <row r="135" spans="15:17" ht="15.95" customHeight="1" x14ac:dyDescent="0.25">
      <c r="O135" s="24"/>
    </row>
    <row r="136" spans="15:17" ht="15.95" customHeight="1" x14ac:dyDescent="0.25">
      <c r="O136" s="24"/>
    </row>
    <row r="137" spans="15:17" ht="15.95" customHeight="1" x14ac:dyDescent="0.25">
      <c r="O137" s="24"/>
    </row>
    <row r="138" spans="15:17" ht="15.95" customHeight="1" x14ac:dyDescent="0.25">
      <c r="O138" s="24"/>
    </row>
    <row r="139" spans="15:17" ht="15.95" customHeight="1" x14ac:dyDescent="0.25">
      <c r="O139" s="24"/>
    </row>
    <row r="140" spans="15:17" ht="15.95" customHeight="1" x14ac:dyDescent="0.25"/>
    <row r="141" spans="15:17" ht="15.95" customHeight="1" x14ac:dyDescent="0.25"/>
    <row r="142" spans="15:17" ht="15.95" customHeight="1" x14ac:dyDescent="0.25">
      <c r="Q142" s="25"/>
    </row>
    <row r="143" spans="15:17" ht="15.95" customHeight="1" x14ac:dyDescent="0.25"/>
    <row r="145" spans="16:33" ht="15.75" customHeight="1" x14ac:dyDescent="0.25"/>
    <row r="147" spans="16:33" ht="15.95" customHeight="1" x14ac:dyDescent="0.25"/>
    <row r="148" spans="16:33" ht="15.95" customHeight="1" x14ac:dyDescent="0.25"/>
    <row r="149" spans="16:33" ht="15.95" customHeight="1" x14ac:dyDescent="0.25"/>
    <row r="150" spans="16:33" ht="15.95" customHeight="1" x14ac:dyDescent="0.25"/>
    <row r="151" spans="16:33" ht="15.95" customHeight="1" x14ac:dyDescent="0.25"/>
    <row r="152" spans="16:33" ht="15.95" customHeight="1" x14ac:dyDescent="0.25"/>
    <row r="153" spans="16:33" ht="15.95" customHeight="1" x14ac:dyDescent="0.25"/>
    <row r="154" spans="16:33" ht="15.95" customHeight="1" x14ac:dyDescent="0.25"/>
    <row r="155" spans="16:33" ht="15.95" customHeight="1" x14ac:dyDescent="0.25"/>
    <row r="156" spans="16:33" ht="15.95" customHeight="1" x14ac:dyDescent="0.25"/>
    <row r="157" spans="16:33" ht="15.95" customHeight="1" x14ac:dyDescent="0.25"/>
    <row r="158" spans="16:33" ht="15.95" customHeight="1" x14ac:dyDescent="0.25"/>
    <row r="159" spans="16:33" ht="15.95" customHeight="1" x14ac:dyDescent="0.25">
      <c r="P159" s="15" t="s">
        <v>48</v>
      </c>
      <c r="Q159" s="15"/>
      <c r="R159" s="15"/>
      <c r="S159" s="15"/>
      <c r="T159" s="15"/>
    </row>
    <row r="160" spans="16:33" ht="14.1" customHeight="1" x14ac:dyDescent="0.25">
      <c r="U160" s="15"/>
      <c r="V160" s="15"/>
      <c r="W160" s="15"/>
      <c r="X160" s="15"/>
      <c r="Y160" s="15"/>
      <c r="Z160" s="15"/>
      <c r="AA160" s="15"/>
      <c r="AB160" s="15"/>
      <c r="AC160" s="15"/>
      <c r="AD160" s="15"/>
      <c r="AE160" s="15"/>
      <c r="AF160" s="15"/>
      <c r="AG160" s="15"/>
    </row>
    <row r="161" spans="12:12" ht="14.1" customHeight="1" x14ac:dyDescent="0.25"/>
    <row r="162" spans="12:12" ht="27.75" customHeight="1" x14ac:dyDescent="0.25"/>
    <row r="163" spans="12:12" ht="14.1" customHeight="1" x14ac:dyDescent="0.25">
      <c r="L163" s="13"/>
    </row>
    <row r="164" spans="12:12" ht="14.1" customHeight="1" x14ac:dyDescent="0.25"/>
    <row r="165" spans="12:12" ht="14.1" customHeight="1" x14ac:dyDescent="0.25"/>
    <row r="166" spans="12:12" ht="14.1" customHeight="1" x14ac:dyDescent="0.25"/>
    <row r="167" spans="12:12" ht="14.1" customHeight="1" x14ac:dyDescent="0.25"/>
    <row r="168" spans="12:12" ht="14.1" customHeight="1" x14ac:dyDescent="0.25"/>
    <row r="169" spans="12:12" ht="14.1" customHeight="1" x14ac:dyDescent="0.25"/>
    <row r="170" spans="12:12" ht="14.1" customHeight="1" x14ac:dyDescent="0.25"/>
    <row r="171" spans="12:12" ht="14.1" customHeight="1" x14ac:dyDescent="0.25"/>
    <row r="172" spans="12:12" ht="14.1" customHeight="1" x14ac:dyDescent="0.25"/>
    <row r="173" spans="12:12" ht="14.1" customHeight="1" x14ac:dyDescent="0.25"/>
    <row r="174" spans="12:12" ht="14.1" customHeight="1" x14ac:dyDescent="0.25"/>
    <row r="175" spans="12:12" ht="14.1" customHeight="1" x14ac:dyDescent="0.25"/>
    <row r="176" spans="12:12" ht="9.9499999999999993" customHeight="1" x14ac:dyDescent="0.25"/>
  </sheetData>
  <mergeCells count="32">
    <mergeCell ref="AC9:AG9"/>
    <mergeCell ref="AI9:AI10"/>
    <mergeCell ref="DL9:DL10"/>
    <mergeCell ref="AT9:AW9"/>
    <mergeCell ref="AX9:BA9"/>
    <mergeCell ref="BC9:BC10"/>
    <mergeCell ref="BD9:BH9"/>
    <mergeCell ref="BI9:BN9"/>
    <mergeCell ref="BO9:BT9"/>
    <mergeCell ref="BW9:BW10"/>
    <mergeCell ref="BX9:CC9"/>
    <mergeCell ref="CE9:CE10"/>
    <mergeCell ref="CM9:CM10"/>
    <mergeCell ref="CW9:CW10"/>
    <mergeCell ref="AN9:AQ9"/>
    <mergeCell ref="AS9:AS10"/>
    <mergeCell ref="R9:T9"/>
    <mergeCell ref="V9:V10"/>
    <mergeCell ref="B8:H8"/>
    <mergeCell ref="J8:J10"/>
    <mergeCell ref="K8:K10"/>
    <mergeCell ref="O8:T8"/>
    <mergeCell ref="B9:B10"/>
    <mergeCell ref="C9:C10"/>
    <mergeCell ref="D9:D10"/>
    <mergeCell ref="E9:H9"/>
    <mergeCell ref="O9:Q9"/>
    <mergeCell ref="BI8:BN8"/>
    <mergeCell ref="BO8:BT8"/>
    <mergeCell ref="BW8:CC8"/>
    <mergeCell ref="AI8:AQ8"/>
    <mergeCell ref="BC8:BH8"/>
  </mergeCells>
  <pageMargins left="0.19685039370078741" right="0.19685039370078741" top="0.19685039370078741" bottom="0.19685039370078741" header="0.51181102362204722" footer="0.51181102362204722"/>
  <pageSetup paperSize="9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5"/>
    <pageSetUpPr fitToPage="1"/>
  </sheetPr>
  <dimension ref="B7:DX176"/>
  <sheetViews>
    <sheetView showGridLines="0" topLeftCell="DB1" workbookViewId="0">
      <selection activeCell="DL11" sqref="DL11:DP23"/>
    </sheetView>
  </sheetViews>
  <sheetFormatPr baseColWidth="10" defaultColWidth="8.625" defaultRowHeight="12" x14ac:dyDescent="0.25"/>
  <cols>
    <col min="1" max="1" width="8.625" style="2"/>
    <col min="2" max="2" width="6.625" style="2" customWidth="1"/>
    <col min="3" max="3" width="8.625" style="2" customWidth="1"/>
    <col min="4" max="4" width="7.875" style="2" customWidth="1"/>
    <col min="5" max="5" width="8.875" style="2" customWidth="1"/>
    <col min="6" max="6" width="8" style="2" customWidth="1"/>
    <col min="7" max="7" width="7.75" style="2" customWidth="1"/>
    <col min="8" max="8" width="6.625" style="2" customWidth="1"/>
    <col min="9" max="9" width="3.375" style="2" customWidth="1"/>
    <col min="10" max="10" width="7.875" style="2" customWidth="1"/>
    <col min="11" max="11" width="6.625" style="2" customWidth="1"/>
    <col min="12" max="12" width="6.875" style="2" customWidth="1"/>
    <col min="13" max="13" width="6.625" style="2" customWidth="1"/>
    <col min="14" max="14" width="7.75" style="2" customWidth="1"/>
    <col min="15" max="19" width="6.625" style="2" customWidth="1"/>
    <col min="20" max="20" width="7.625" style="2" customWidth="1"/>
    <col min="21" max="21" width="7.875" style="2" customWidth="1"/>
    <col min="22" max="25" width="6.625" style="2" customWidth="1"/>
    <col min="26" max="34" width="8.625" style="2" customWidth="1"/>
    <col min="35" max="35" width="9" style="2" customWidth="1"/>
    <col min="36" max="44" width="8.625" style="2" customWidth="1"/>
    <col min="45" max="45" width="7.5" style="2" customWidth="1"/>
    <col min="46" max="46" width="6.625" style="2" customWidth="1"/>
    <col min="47" max="48" width="5.625" style="2" customWidth="1"/>
    <col min="49" max="51" width="5.75" style="2" customWidth="1"/>
    <col min="52" max="54" width="5.625" style="2" customWidth="1"/>
    <col min="55" max="55" width="6.125" style="2" customWidth="1"/>
    <col min="56" max="57" width="6.875" style="2" customWidth="1"/>
    <col min="58" max="59" width="5.625" style="2" customWidth="1"/>
    <col min="60" max="60" width="6.875" style="2" customWidth="1"/>
    <col min="61" max="65" width="5.625" style="2" customWidth="1"/>
    <col min="66" max="67" width="5.75" style="2" customWidth="1"/>
    <col min="68" max="68" width="5.625" style="2" customWidth="1"/>
    <col min="69" max="16384" width="8.625" style="2"/>
  </cols>
  <sheetData>
    <row r="7" spans="2:128" x14ac:dyDescent="0.25">
      <c r="J7" s="44" t="s">
        <v>10</v>
      </c>
      <c r="K7" s="44"/>
      <c r="L7" s="44"/>
      <c r="M7" s="44"/>
      <c r="N7" s="44"/>
      <c r="O7" s="44"/>
      <c r="P7" s="44"/>
      <c r="Q7" s="44"/>
      <c r="R7" s="44"/>
      <c r="S7" s="44"/>
      <c r="T7" s="44"/>
    </row>
    <row r="8" spans="2:128" ht="15.75" x14ac:dyDescent="0.25">
      <c r="B8" s="117" t="s">
        <v>0</v>
      </c>
      <c r="C8" s="117"/>
      <c r="D8" s="117"/>
      <c r="E8" s="117"/>
      <c r="F8" s="117"/>
      <c r="G8" s="117"/>
      <c r="H8" s="117"/>
      <c r="I8"/>
      <c r="J8" s="128" t="s">
        <v>1</v>
      </c>
      <c r="K8" s="131" t="s">
        <v>67</v>
      </c>
      <c r="L8" s="45" t="s">
        <v>2</v>
      </c>
      <c r="M8" s="46"/>
      <c r="N8" s="47"/>
      <c r="O8" s="123" t="s">
        <v>69</v>
      </c>
      <c r="P8" s="124"/>
      <c r="Q8" s="124"/>
      <c r="R8" s="124"/>
      <c r="S8" s="124"/>
      <c r="T8" s="125"/>
      <c r="V8" s="44" t="s">
        <v>74</v>
      </c>
      <c r="W8" s="44"/>
      <c r="X8" s="44"/>
      <c r="Y8" s="44"/>
      <c r="Z8" s="44"/>
      <c r="AA8" s="44"/>
      <c r="AB8" s="44"/>
      <c r="AC8" s="44"/>
      <c r="AD8" s="44"/>
      <c r="AE8" s="44"/>
      <c r="AF8" s="44"/>
      <c r="AG8" s="44"/>
      <c r="AI8" s="145" t="s">
        <v>14</v>
      </c>
      <c r="AJ8" s="145"/>
      <c r="AK8" s="145"/>
      <c r="AL8" s="145"/>
      <c r="AM8" s="145"/>
      <c r="AN8" s="145"/>
      <c r="AO8" s="145"/>
      <c r="AP8" s="145"/>
      <c r="AQ8" s="145"/>
      <c r="AR8"/>
      <c r="AS8" s="40" t="s">
        <v>85</v>
      </c>
      <c r="AT8" s="40"/>
      <c r="AU8" s="40"/>
      <c r="AV8" s="40"/>
      <c r="AW8" s="40"/>
      <c r="AX8" s="40"/>
      <c r="AY8" s="40"/>
      <c r="AZ8" s="40"/>
      <c r="BA8" s="40"/>
      <c r="BC8" s="145" t="s">
        <v>16</v>
      </c>
      <c r="BD8" s="145"/>
      <c r="BE8" s="145"/>
      <c r="BF8" s="145"/>
      <c r="BG8" s="145"/>
      <c r="BH8" s="145"/>
      <c r="BI8" s="145" t="s">
        <v>17</v>
      </c>
      <c r="BJ8" s="145"/>
      <c r="BK8" s="145"/>
      <c r="BL8" s="145"/>
      <c r="BM8" s="145"/>
      <c r="BN8" s="145"/>
      <c r="BO8" s="145" t="s">
        <v>27</v>
      </c>
      <c r="BP8" s="145"/>
      <c r="BQ8" s="145"/>
      <c r="BR8" s="145"/>
      <c r="BS8" s="145"/>
      <c r="BT8" s="145"/>
      <c r="BW8" s="146" t="s">
        <v>30</v>
      </c>
      <c r="BX8" s="146"/>
      <c r="BY8" s="146"/>
      <c r="BZ8" s="146"/>
      <c r="CA8" s="146"/>
      <c r="CB8" s="146"/>
      <c r="CC8" s="146"/>
      <c r="CE8" s="15" t="s">
        <v>37</v>
      </c>
      <c r="CM8" s="15"/>
      <c r="CN8" s="15"/>
      <c r="CO8" s="15"/>
      <c r="CP8" s="15"/>
      <c r="CQ8" s="15"/>
      <c r="CR8" s="15"/>
      <c r="CS8" s="15"/>
      <c r="CT8" s="15"/>
      <c r="CU8" s="15"/>
      <c r="DE8" s="26"/>
      <c r="DG8" s="19"/>
      <c r="DR8" s="25"/>
    </row>
    <row r="9" spans="2:128" ht="22.5" customHeight="1" x14ac:dyDescent="0.25">
      <c r="B9" s="116" t="s">
        <v>1</v>
      </c>
      <c r="C9" s="119" t="s">
        <v>62</v>
      </c>
      <c r="D9" s="119" t="s">
        <v>63</v>
      </c>
      <c r="E9" s="116" t="s">
        <v>60</v>
      </c>
      <c r="F9" s="116"/>
      <c r="G9" s="116"/>
      <c r="H9" s="116"/>
      <c r="I9"/>
      <c r="J9" s="130"/>
      <c r="K9" s="132"/>
      <c r="L9" s="48"/>
      <c r="M9" s="49"/>
      <c r="N9" s="50"/>
      <c r="O9" s="123" t="s">
        <v>70</v>
      </c>
      <c r="P9" s="124"/>
      <c r="Q9" s="125"/>
      <c r="R9" s="123" t="s">
        <v>73</v>
      </c>
      <c r="S9" s="124"/>
      <c r="T9" s="125"/>
      <c r="V9" s="128" t="s">
        <v>1</v>
      </c>
      <c r="W9" s="41" t="s">
        <v>76</v>
      </c>
      <c r="X9" s="42"/>
      <c r="Y9" s="42"/>
      <c r="Z9" s="42"/>
      <c r="AA9" s="42"/>
      <c r="AB9" s="43"/>
      <c r="AC9" s="123" t="s">
        <v>2</v>
      </c>
      <c r="AD9" s="124"/>
      <c r="AE9" s="124"/>
      <c r="AF9" s="124"/>
      <c r="AG9" s="125"/>
      <c r="AI9" s="128" t="s">
        <v>1</v>
      </c>
      <c r="AJ9" s="3" t="s">
        <v>76</v>
      </c>
      <c r="AK9" s="4"/>
      <c r="AL9" s="4"/>
      <c r="AM9" s="4"/>
      <c r="AN9" s="116" t="s">
        <v>2</v>
      </c>
      <c r="AO9" s="116"/>
      <c r="AP9" s="116"/>
      <c r="AQ9" s="116"/>
      <c r="AR9"/>
      <c r="AS9" s="128" t="s">
        <v>1</v>
      </c>
      <c r="AT9" s="116" t="s">
        <v>76</v>
      </c>
      <c r="AU9" s="116"/>
      <c r="AV9" s="116"/>
      <c r="AW9" s="116"/>
      <c r="AX9" s="143" t="s">
        <v>87</v>
      </c>
      <c r="AY9" s="144"/>
      <c r="AZ9" s="144"/>
      <c r="BA9" s="144"/>
      <c r="BC9" s="128" t="s">
        <v>1</v>
      </c>
      <c r="BD9" s="123" t="s">
        <v>18</v>
      </c>
      <c r="BE9" s="124"/>
      <c r="BF9" s="124"/>
      <c r="BG9" s="124"/>
      <c r="BH9" s="125"/>
      <c r="BI9" s="135" t="s">
        <v>19</v>
      </c>
      <c r="BJ9" s="124"/>
      <c r="BK9" s="124"/>
      <c r="BL9" s="124"/>
      <c r="BM9" s="124"/>
      <c r="BN9" s="136"/>
      <c r="BO9" s="135" t="s">
        <v>93</v>
      </c>
      <c r="BP9" s="124"/>
      <c r="BQ9" s="124"/>
      <c r="BR9" s="124"/>
      <c r="BS9" s="124"/>
      <c r="BT9" s="136"/>
      <c r="BW9" s="128" t="s">
        <v>1</v>
      </c>
      <c r="BX9" s="123" t="s">
        <v>31</v>
      </c>
      <c r="BY9" s="124"/>
      <c r="BZ9" s="124"/>
      <c r="CA9" s="124"/>
      <c r="CB9" s="124"/>
      <c r="CC9" s="125"/>
      <c r="CE9" s="128" t="s">
        <v>1</v>
      </c>
      <c r="CF9" s="3" t="s">
        <v>38</v>
      </c>
      <c r="CG9" s="4"/>
      <c r="CH9" s="4"/>
      <c r="CI9" s="4"/>
      <c r="CJ9" s="4"/>
      <c r="CK9" s="5"/>
      <c r="CM9" s="128" t="s">
        <v>1</v>
      </c>
      <c r="CN9" s="3" t="s">
        <v>39</v>
      </c>
      <c r="CO9" s="4"/>
      <c r="CP9" s="4"/>
      <c r="CQ9" s="4"/>
      <c r="CR9" s="3" t="s">
        <v>40</v>
      </c>
      <c r="CS9" s="4"/>
      <c r="CT9" s="4"/>
      <c r="CU9" s="5"/>
      <c r="CW9" s="128" t="s">
        <v>1</v>
      </c>
      <c r="CX9" s="3" t="s">
        <v>43</v>
      </c>
      <c r="CY9" s="4"/>
      <c r="CZ9" s="4"/>
      <c r="DA9" s="4"/>
      <c r="DB9" s="5"/>
      <c r="DC9" s="3" t="s">
        <v>44</v>
      </c>
      <c r="DD9" s="4"/>
      <c r="DE9" s="4"/>
      <c r="DF9" s="5"/>
      <c r="DG9" s="3" t="s">
        <v>45</v>
      </c>
      <c r="DH9" s="4"/>
      <c r="DI9" s="4"/>
      <c r="DJ9" s="5"/>
      <c r="DL9" s="128" t="s">
        <v>1</v>
      </c>
      <c r="DM9" s="3" t="s">
        <v>49</v>
      </c>
      <c r="DN9" s="4"/>
      <c r="DO9" s="4"/>
      <c r="DP9" s="4"/>
      <c r="DQ9" s="5"/>
      <c r="DR9" s="3" t="s">
        <v>50</v>
      </c>
      <c r="DS9" s="4"/>
      <c r="DT9" s="3" t="s">
        <v>51</v>
      </c>
      <c r="DU9" s="4"/>
      <c r="DV9" s="3" t="s">
        <v>52</v>
      </c>
      <c r="DW9" s="4"/>
      <c r="DX9" s="5"/>
    </row>
    <row r="10" spans="2:128" ht="30" customHeight="1" x14ac:dyDescent="0.25">
      <c r="B10" s="116"/>
      <c r="C10" s="116"/>
      <c r="D10" s="116"/>
      <c r="E10" s="54" t="s">
        <v>64</v>
      </c>
      <c r="F10" s="54" t="s">
        <v>65</v>
      </c>
      <c r="G10" s="54" t="s">
        <v>58</v>
      </c>
      <c r="H10" s="54" t="s">
        <v>59</v>
      </c>
      <c r="I10"/>
      <c r="J10" s="129"/>
      <c r="K10" s="133"/>
      <c r="L10" s="55" t="s">
        <v>61</v>
      </c>
      <c r="M10" s="55" t="s">
        <v>68</v>
      </c>
      <c r="N10" s="32" t="s">
        <v>5</v>
      </c>
      <c r="O10" s="55" t="s">
        <v>72</v>
      </c>
      <c r="P10" s="53" t="s">
        <v>71</v>
      </c>
      <c r="Q10" s="34" t="s">
        <v>5</v>
      </c>
      <c r="R10" s="55" t="s">
        <v>72</v>
      </c>
      <c r="S10" s="53" t="s">
        <v>71</v>
      </c>
      <c r="T10" s="35" t="s">
        <v>5</v>
      </c>
      <c r="V10" s="129"/>
      <c r="W10" s="37" t="s">
        <v>66</v>
      </c>
      <c r="X10" s="38" t="s">
        <v>75</v>
      </c>
      <c r="Y10" s="38" t="s">
        <v>95</v>
      </c>
      <c r="Z10" s="38" t="s">
        <v>77</v>
      </c>
      <c r="AA10" s="38" t="s">
        <v>78</v>
      </c>
      <c r="AB10" s="54" t="s">
        <v>5</v>
      </c>
      <c r="AC10" s="54" t="s">
        <v>79</v>
      </c>
      <c r="AD10" s="54" t="s">
        <v>12</v>
      </c>
      <c r="AE10" s="55" t="s">
        <v>80</v>
      </c>
      <c r="AF10" s="55" t="s">
        <v>81</v>
      </c>
      <c r="AG10" s="54" t="s">
        <v>5</v>
      </c>
      <c r="AI10" s="129"/>
      <c r="AJ10" s="54" t="s">
        <v>15</v>
      </c>
      <c r="AK10" s="2" t="s">
        <v>82</v>
      </c>
      <c r="AL10" s="54" t="s">
        <v>83</v>
      </c>
      <c r="AM10" s="55" t="s">
        <v>5</v>
      </c>
      <c r="AN10" s="54" t="s">
        <v>66</v>
      </c>
      <c r="AO10" s="55" t="s">
        <v>84</v>
      </c>
      <c r="AP10" s="54" t="s">
        <v>83</v>
      </c>
      <c r="AQ10" s="55" t="s">
        <v>5</v>
      </c>
      <c r="AR10"/>
      <c r="AS10" s="129"/>
      <c r="AT10" s="55" t="s">
        <v>11</v>
      </c>
      <c r="AU10" s="55" t="s">
        <v>13</v>
      </c>
      <c r="AV10" s="54" t="s">
        <v>86</v>
      </c>
      <c r="AW10" s="55" t="s">
        <v>5</v>
      </c>
      <c r="AX10" s="54" t="s">
        <v>88</v>
      </c>
      <c r="AY10" s="54" t="s">
        <v>89</v>
      </c>
      <c r="AZ10" s="54" t="s">
        <v>90</v>
      </c>
      <c r="BA10" s="55" t="s">
        <v>5</v>
      </c>
      <c r="BC10" s="129"/>
      <c r="BD10" s="54" t="s">
        <v>91</v>
      </c>
      <c r="BE10" s="55" t="s">
        <v>79</v>
      </c>
      <c r="BF10" s="55" t="s">
        <v>6</v>
      </c>
      <c r="BG10" s="55" t="s">
        <v>92</v>
      </c>
      <c r="BH10" s="56" t="s">
        <v>5</v>
      </c>
      <c r="BI10" s="17" t="s">
        <v>20</v>
      </c>
      <c r="BJ10" s="55" t="s">
        <v>21</v>
      </c>
      <c r="BK10" s="54" t="s">
        <v>22</v>
      </c>
      <c r="BL10" s="54" t="s">
        <v>24</v>
      </c>
      <c r="BM10" s="54" t="s">
        <v>25</v>
      </c>
      <c r="BN10" s="54" t="s">
        <v>26</v>
      </c>
      <c r="BO10" s="55" t="s">
        <v>8</v>
      </c>
      <c r="BP10" s="54" t="s">
        <v>28</v>
      </c>
      <c r="BQ10" s="55" t="s">
        <v>7</v>
      </c>
      <c r="BR10" s="54" t="s">
        <v>23</v>
      </c>
      <c r="BS10" s="54" t="s">
        <v>29</v>
      </c>
      <c r="BT10" s="54" t="s">
        <v>5</v>
      </c>
      <c r="BW10" s="129"/>
      <c r="BX10" s="53" t="s">
        <v>91</v>
      </c>
      <c r="BY10" s="54" t="s">
        <v>94</v>
      </c>
      <c r="BZ10" s="54" t="s">
        <v>66</v>
      </c>
      <c r="CA10" s="54" t="s">
        <v>79</v>
      </c>
      <c r="CB10" s="54" t="s">
        <v>32</v>
      </c>
      <c r="CC10" s="55" t="s">
        <v>5</v>
      </c>
      <c r="CE10" s="129"/>
      <c r="CF10" s="54" t="s">
        <v>33</v>
      </c>
      <c r="CG10" s="55" t="s">
        <v>34</v>
      </c>
      <c r="CH10" s="54" t="s">
        <v>3</v>
      </c>
      <c r="CI10" s="54" t="s">
        <v>66</v>
      </c>
      <c r="CJ10" s="54" t="s">
        <v>35</v>
      </c>
      <c r="CK10" s="54" t="s">
        <v>36</v>
      </c>
      <c r="CM10" s="129"/>
      <c r="CN10" s="54" t="s">
        <v>33</v>
      </c>
      <c r="CO10" s="55" t="s">
        <v>34</v>
      </c>
      <c r="CP10" s="54" t="s">
        <v>41</v>
      </c>
      <c r="CQ10" s="54" t="s">
        <v>36</v>
      </c>
      <c r="CR10" s="54" t="s">
        <v>33</v>
      </c>
      <c r="CS10" s="55" t="s">
        <v>34</v>
      </c>
      <c r="CT10" s="54" t="s">
        <v>42</v>
      </c>
      <c r="CU10" s="54" t="s">
        <v>36</v>
      </c>
      <c r="CW10" s="129"/>
      <c r="CX10" s="54" t="s">
        <v>33</v>
      </c>
      <c r="CY10" s="55" t="s">
        <v>34</v>
      </c>
      <c r="CZ10" s="54" t="s">
        <v>46</v>
      </c>
      <c r="DA10" s="54" t="s">
        <v>47</v>
      </c>
      <c r="DB10" s="54" t="s">
        <v>36</v>
      </c>
      <c r="DC10" s="54" t="s">
        <v>33</v>
      </c>
      <c r="DD10" s="55" t="s">
        <v>34</v>
      </c>
      <c r="DE10" s="54" t="s">
        <v>9</v>
      </c>
      <c r="DF10" s="54" t="s">
        <v>36</v>
      </c>
      <c r="DG10" s="54" t="s">
        <v>33</v>
      </c>
      <c r="DH10" s="55" t="s">
        <v>34</v>
      </c>
      <c r="DI10" s="54" t="s">
        <v>9</v>
      </c>
      <c r="DJ10" s="54" t="s">
        <v>36</v>
      </c>
      <c r="DL10" s="129"/>
      <c r="DM10" s="100" t="s">
        <v>4</v>
      </c>
      <c r="DN10" s="100" t="s">
        <v>123</v>
      </c>
      <c r="DO10" s="100" t="s">
        <v>124</v>
      </c>
      <c r="DP10" s="100" t="s">
        <v>125</v>
      </c>
      <c r="DQ10" s="55" t="s">
        <v>3</v>
      </c>
      <c r="DR10" s="55" t="s">
        <v>53</v>
      </c>
      <c r="DS10" s="55" t="s">
        <v>54</v>
      </c>
      <c r="DT10" s="54" t="s">
        <v>24</v>
      </c>
      <c r="DU10" s="54" t="s">
        <v>25</v>
      </c>
      <c r="DV10" s="54" t="s">
        <v>55</v>
      </c>
      <c r="DW10" s="54" t="s">
        <v>56</v>
      </c>
      <c r="DX10" s="54" t="s">
        <v>57</v>
      </c>
    </row>
    <row r="11" spans="2:128" ht="15.95" customHeight="1" x14ac:dyDescent="0.2">
      <c r="B11" s="8">
        <v>43466</v>
      </c>
      <c r="C11" s="10">
        <f>+'[77]BU-2'!$E$10</f>
        <v>16325</v>
      </c>
      <c r="D11" s="10">
        <f>+'[77]BU-3'!$F$11</f>
        <v>6767.5300000000007</v>
      </c>
      <c r="E11" s="10">
        <f>+'[77]BU-2'!$E$28</f>
        <v>1906.2000690832469</v>
      </c>
      <c r="F11" s="10">
        <f>+'[77]BU-2'!$E$29</f>
        <v>8131.6599309167805</v>
      </c>
      <c r="G11" s="31">
        <f t="shared" ref="G11:G22" si="0">SUM(E11:F11)</f>
        <v>10037.860000000028</v>
      </c>
      <c r="H11" s="10">
        <f>+'[77]BU-2'!$E$27</f>
        <v>480.39000000000004</v>
      </c>
      <c r="I11" s="52">
        <f>+C11+H11-D11-G11</f>
        <v>-2.9103830456733704E-11</v>
      </c>
      <c r="J11" s="8">
        <f t="shared" ref="J11:J22" si="1">+B11</f>
        <v>43466</v>
      </c>
      <c r="K11" s="10">
        <f>'[77]BU-2'!$E$11</f>
        <v>91122</v>
      </c>
      <c r="L11" s="10">
        <f>'[77]BU-3'!$F$37</f>
        <v>86280</v>
      </c>
      <c r="M11" s="12">
        <f>'[77]BU-3'!$F$38</f>
        <v>5055</v>
      </c>
      <c r="N11" s="33">
        <f t="shared" ref="N11:N22" si="2">L11+M11</f>
        <v>91335</v>
      </c>
      <c r="O11" s="12">
        <f>'[77]BU-2'!$E$30</f>
        <v>0</v>
      </c>
      <c r="P11" s="10">
        <f>'[77]BU-2'!$E$31</f>
        <v>0</v>
      </c>
      <c r="Q11" s="33">
        <f t="shared" ref="Q11:Q22" si="3">+P11+O11</f>
        <v>0</v>
      </c>
      <c r="R11" s="10">
        <f>'[77]BU-2'!$E$32</f>
        <v>1102</v>
      </c>
      <c r="S11" s="10">
        <f>'[77]BU-2'!$E$33</f>
        <v>0</v>
      </c>
      <c r="T11" s="33">
        <f t="shared" ref="T11:T22" si="4">+S11+R11</f>
        <v>1102</v>
      </c>
      <c r="V11" s="8">
        <f t="shared" ref="V11:V22" si="5">+B11</f>
        <v>43466</v>
      </c>
      <c r="W11" s="10">
        <f>[78]Feuil1!$K$40</f>
        <v>34689</v>
      </c>
      <c r="X11" s="10">
        <f>[78]Feuil1!$L$40</f>
        <v>47258</v>
      </c>
      <c r="Y11" s="10">
        <f>[78]Feuil1!$M$40</f>
        <v>3776</v>
      </c>
      <c r="Z11" s="10">
        <f>[78]Feuil1!$N$40</f>
        <v>5055</v>
      </c>
      <c r="AA11" s="10">
        <f>[78]Feuil1!$O$40</f>
        <v>6701</v>
      </c>
      <c r="AB11" s="12">
        <f>+Y11+Z11+AA11+X11+W11</f>
        <v>97479</v>
      </c>
      <c r="AC11" s="10">
        <f>[78]Feuil1!$Q$40</f>
        <v>78419</v>
      </c>
      <c r="AD11" s="10">
        <f>[78]Feuil1!$R$40</f>
        <v>15600</v>
      </c>
      <c r="AE11" s="10">
        <f>[78]Feuil1!$S$40</f>
        <v>508</v>
      </c>
      <c r="AF11" s="18">
        <f>[78]Feuil1!$T$40</f>
        <v>2952</v>
      </c>
      <c r="AG11" s="12">
        <f>SUM(AC11:AF11)</f>
        <v>97479</v>
      </c>
      <c r="AH11" s="13">
        <f t="shared" ref="AH11:AH22" si="6">+AG11-AB11</f>
        <v>0</v>
      </c>
      <c r="AI11" s="8">
        <f t="shared" ref="AI11:AI22" si="7">+B11</f>
        <v>43466</v>
      </c>
      <c r="AJ11" s="12">
        <f>'[77]BU-2'!$E$20</f>
        <v>140946</v>
      </c>
      <c r="AK11" s="12">
        <f>'[53]BU-3'!$F$39</f>
        <v>9226</v>
      </c>
      <c r="AL11" s="12">
        <f>'[53]BU-2'!$E$34</f>
        <v>0</v>
      </c>
      <c r="AM11" s="12">
        <f>SUM(AJ11:AL11)</f>
        <v>150172</v>
      </c>
      <c r="AN11" s="12">
        <f>'[53]BU-3'!$F$56</f>
        <v>111021</v>
      </c>
      <c r="AO11" s="10">
        <f>'[53]BU-3'!$F$40</f>
        <v>4690</v>
      </c>
      <c r="AP11" s="10">
        <f>'[77]BU-2'!$E$35</f>
        <v>1247</v>
      </c>
      <c r="AQ11" s="12">
        <f>SUM(AN11:AP11)</f>
        <v>116958</v>
      </c>
      <c r="AR11" s="51">
        <f>+AQ11-AJ11</f>
        <v>-23988</v>
      </c>
      <c r="AS11" s="8">
        <f>+AI11</f>
        <v>43466</v>
      </c>
      <c r="AT11" s="10">
        <f>'[5]BU-3'!$F$72</f>
        <v>37186</v>
      </c>
      <c r="AU11" s="10">
        <f>'[5]BU-3'!$F$47</f>
        <v>22879</v>
      </c>
      <c r="AV11" s="10">
        <f>[6]Feuil1!$BB$40</f>
        <v>15135.2</v>
      </c>
      <c r="AW11" s="12">
        <f>SUM(AT11:AV11)</f>
        <v>75200.2</v>
      </c>
      <c r="AX11" s="10">
        <f>[6]Feuil1!$BD$40</f>
        <v>14210</v>
      </c>
      <c r="AY11" s="20">
        <f>[6]Feuil1!$BE$40</f>
        <v>29721</v>
      </c>
      <c r="AZ11" s="12">
        <f>[6]Feuil1!$BF$40</f>
        <v>31269</v>
      </c>
      <c r="BA11" s="12">
        <f>SUM(AX11:AZ11)</f>
        <v>75200</v>
      </c>
      <c r="BB11" s="13">
        <f>+BA11-AW11</f>
        <v>-0.19999999999708962</v>
      </c>
      <c r="BC11" s="8">
        <f t="shared" ref="BC11:BC22" si="8">+B11</f>
        <v>43466</v>
      </c>
      <c r="BD11" s="10">
        <f>'[77]BU-2'!$E$15</f>
        <v>176520</v>
      </c>
      <c r="BE11" s="10">
        <f>'[77]BU-3'!$F$69</f>
        <v>133403</v>
      </c>
      <c r="BF11" s="10">
        <f>'[77]BU-3'!$F$13-BE11</f>
        <v>43167</v>
      </c>
      <c r="BG11" s="10">
        <f>'[77]BU-3'!$F$41</f>
        <v>90</v>
      </c>
      <c r="BH11" s="10">
        <f>+SUM(BE11:BG11)</f>
        <v>176660</v>
      </c>
      <c r="BI11" s="10">
        <f>'[77]BU-2'!$E$17</f>
        <v>43077</v>
      </c>
      <c r="BJ11" s="10">
        <f>'[77]BU-3'!$F$12</f>
        <v>1226</v>
      </c>
      <c r="BK11" s="10">
        <f>'[77]BU-3'!$F$45</f>
        <v>1249</v>
      </c>
      <c r="BL11" s="10">
        <f>[78]Feuil1!$AO$40</f>
        <v>21325</v>
      </c>
      <c r="BM11" s="10">
        <f>[78]Feuil1!$AP$40</f>
        <v>19192</v>
      </c>
      <c r="BN11" s="10">
        <f>SUM(BJ11:BM11)</f>
        <v>42992</v>
      </c>
      <c r="BO11" s="10">
        <f>'[77]BU-2'!$E$18</f>
        <v>40517</v>
      </c>
      <c r="BP11" s="10">
        <f>[78]Feuil1!$AX$40</f>
        <v>17808</v>
      </c>
      <c r="BQ11" s="10">
        <f>'[77]BU-3'!$F$58</f>
        <v>18708</v>
      </c>
      <c r="BR11" s="10">
        <f>'[77]BU-3'!$F$44</f>
        <v>3961</v>
      </c>
      <c r="BS11" s="10"/>
      <c r="BT11" s="10">
        <f t="shared" ref="BT11:BT22" si="9">SUM(BP11:BS11)</f>
        <v>40477</v>
      </c>
      <c r="BU11" s="13">
        <f>+BT11-BO11</f>
        <v>-40</v>
      </c>
      <c r="BV11" s="13">
        <f>+BN11-BI11</f>
        <v>-85</v>
      </c>
      <c r="BW11" s="8">
        <f t="shared" ref="BW11:BW22" si="10">+B11</f>
        <v>43466</v>
      </c>
      <c r="BX11" s="10">
        <f>'[77]BU-2'!$E$19</f>
        <v>8091.4809999999998</v>
      </c>
      <c r="BY11" s="10">
        <f>'[77]BU-3'!$F$46</f>
        <v>0</v>
      </c>
      <c r="BZ11" s="10">
        <f>'[77]BU-3'!$F$59</f>
        <v>4030.194</v>
      </c>
      <c r="CA11" s="10">
        <f>'[77]BU-3'!$F$71</f>
        <v>4061.2869999999998</v>
      </c>
      <c r="CB11" s="10">
        <f>'[77]BU-3'!$F$46</f>
        <v>0</v>
      </c>
      <c r="CC11" s="11">
        <f>+SUM(BY11:CB11)</f>
        <v>8091.4809999999998</v>
      </c>
      <c r="CD11" s="13">
        <f>+CC11-BX11</f>
        <v>0</v>
      </c>
      <c r="CE11" s="8">
        <f t="shared" ref="CE11:CE22" si="11">+B11</f>
        <v>43466</v>
      </c>
      <c r="CF11" s="23">
        <f>'[5]BU-3'!$F$83</f>
        <v>53.420200000000023</v>
      </c>
      <c r="CG11" s="23">
        <f>'[5]BU-3'!$H$83</f>
        <v>0</v>
      </c>
      <c r="CH11" s="23">
        <v>0</v>
      </c>
      <c r="CI11" s="23">
        <f>'[5]BU-3'!$J$83</f>
        <v>0</v>
      </c>
      <c r="CJ11" s="21">
        <f t="shared" ref="CJ11:CJ22" si="12">SUM(CH11:CI11)</f>
        <v>0</v>
      </c>
      <c r="CK11" s="21">
        <f t="shared" ref="CK11:CK23" si="13">+CF11+CG11-CJ11</f>
        <v>53.420200000000023</v>
      </c>
      <c r="CM11" s="8">
        <f t="shared" ref="CM11:CM22" si="14">+B11</f>
        <v>43466</v>
      </c>
      <c r="CN11" s="9">
        <f>'[77]BU-3'!$F$82</f>
        <v>21.661638520000082</v>
      </c>
      <c r="CO11" s="9">
        <f>'[77]BU-3'!$H$82</f>
        <v>9.6999999999999993</v>
      </c>
      <c r="CP11" s="9">
        <f>'[77]BU-3'!$J$82</f>
        <v>15.211080359999999</v>
      </c>
      <c r="CQ11" s="11">
        <f>+CN11+CO11-CP11</f>
        <v>16.150558160000081</v>
      </c>
      <c r="CR11" s="23">
        <f>'[5]BU-3'!$F$84</f>
        <v>13.57</v>
      </c>
      <c r="CS11" s="23">
        <f>'[5]BU-3'!$H$84</f>
        <v>50.000040562499997</v>
      </c>
      <c r="CT11" s="23">
        <f>'[5]BU-3'!$J$84</f>
        <v>56.510139499999994</v>
      </c>
      <c r="CU11" s="21">
        <f>+CR11+CS11-CT11</f>
        <v>7.0599010625000034</v>
      </c>
      <c r="CW11" s="8">
        <f t="shared" ref="CW11:CW22" si="15">+B11</f>
        <v>43466</v>
      </c>
      <c r="CX11" s="10">
        <v>448</v>
      </c>
      <c r="CY11" s="10"/>
      <c r="CZ11" s="10"/>
      <c r="DA11" s="10"/>
      <c r="DB11" s="12">
        <f>+CX11+CY11-CZ11-DA11</f>
        <v>448</v>
      </c>
      <c r="DC11" s="10">
        <v>20</v>
      </c>
      <c r="DD11" s="10"/>
      <c r="DE11" s="10"/>
      <c r="DF11" s="12">
        <f>+DC11+DD11-DE11</f>
        <v>20</v>
      </c>
      <c r="DG11" s="10">
        <v>2290</v>
      </c>
      <c r="DH11" s="10"/>
      <c r="DI11" s="10"/>
      <c r="DJ11" s="12">
        <f>+DG11+DH11-DI11</f>
        <v>2290</v>
      </c>
      <c r="DK11" s="13"/>
      <c r="DL11" s="8">
        <f t="shared" ref="DL11:DL22" si="16">+B11</f>
        <v>43466</v>
      </c>
      <c r="DM11" s="106">
        <f>'[77]BU-4'!E35</f>
        <v>28.125694444444445</v>
      </c>
      <c r="DN11" s="106">
        <f>'[77]BU-4'!F35</f>
        <v>0</v>
      </c>
      <c r="DO11" s="106">
        <f>'[77]BU-4'!G35</f>
        <v>2.2527777777777778</v>
      </c>
      <c r="DP11" s="106">
        <f>'[77]BU-4'!H35</f>
        <v>0.62152777777777779</v>
      </c>
      <c r="DQ11" s="9"/>
      <c r="DR11" s="10"/>
      <c r="DS11" s="10"/>
      <c r="DT11" s="10"/>
      <c r="DU11" s="10"/>
      <c r="DV11" s="10"/>
      <c r="DW11" s="10"/>
      <c r="DX11" s="10"/>
    </row>
    <row r="12" spans="2:128" ht="15.95" customHeight="1" x14ac:dyDescent="0.2">
      <c r="B12" s="8">
        <v>43497</v>
      </c>
      <c r="C12" s="10">
        <f>+'[79]BU-2'!$E$10</f>
        <v>18020</v>
      </c>
      <c r="D12" s="10">
        <f>+'[79]BU-3'!$F$11</f>
        <v>6095.8310000000274</v>
      </c>
      <c r="E12" s="10">
        <f>+'[79]BU-2'!$E$28</f>
        <v>3298.0429978408438</v>
      </c>
      <c r="F12" s="10">
        <f>+'[79]BU-2'!$E$29</f>
        <v>8682.6370021591356</v>
      </c>
      <c r="G12" s="31">
        <f t="shared" si="0"/>
        <v>11980.679999999978</v>
      </c>
      <c r="H12" s="10">
        <f>+'[79]BU-2'!$E$27</f>
        <v>56.51</v>
      </c>
      <c r="I12" s="52">
        <f t="shared" ref="I12:I22" si="17">+C12+H12-D12-G12</f>
        <v>-1.0000000074796844E-3</v>
      </c>
      <c r="J12" s="8">
        <f t="shared" si="1"/>
        <v>43497</v>
      </c>
      <c r="K12" s="10">
        <f>'[79]BU-2'!$E$11</f>
        <v>89010</v>
      </c>
      <c r="L12" s="10">
        <f>'[79]BU-3'!$F$37</f>
        <v>86560</v>
      </c>
      <c r="M12" s="12">
        <f>'[79]BU-3'!$F$38</f>
        <v>2450</v>
      </c>
      <c r="N12" s="33">
        <f t="shared" si="2"/>
        <v>89010</v>
      </c>
      <c r="O12" s="12">
        <f>'[79]BU-2'!$E$30</f>
        <v>304</v>
      </c>
      <c r="P12" s="10">
        <f>'[79]BU-2'!$E$31</f>
        <v>0</v>
      </c>
      <c r="Q12" s="33">
        <f t="shared" si="3"/>
        <v>304</v>
      </c>
      <c r="R12" s="10">
        <f>'[79]BU-2'!$E$32</f>
        <v>0</v>
      </c>
      <c r="S12" s="10">
        <f>'[79]BU-2'!$E$33</f>
        <v>0</v>
      </c>
      <c r="T12" s="33">
        <f t="shared" si="4"/>
        <v>0</v>
      </c>
      <c r="U12" s="13">
        <f t="shared" ref="U12:U23" si="18">+K11+T11-N11-Q11</f>
        <v>889</v>
      </c>
      <c r="V12" s="8">
        <f t="shared" si="5"/>
        <v>43497</v>
      </c>
      <c r="W12" s="10">
        <f>[80]Feuil1!$K$40</f>
        <v>32429</v>
      </c>
      <c r="X12" s="10">
        <f>[80]Feuil1!$L$40</f>
        <v>41152</v>
      </c>
      <c r="Y12" s="10">
        <f>[80]Feuil1!$M$40</f>
        <v>5059</v>
      </c>
      <c r="Z12" s="10">
        <f>[80]Feuil1!$N$40</f>
        <v>2450</v>
      </c>
      <c r="AA12" s="10">
        <f>[80]Feuil1!$O$40</f>
        <v>5345</v>
      </c>
      <c r="AB12" s="12">
        <f>+Y12+Z12+AA12+X12+W12</f>
        <v>86435</v>
      </c>
      <c r="AC12" s="10">
        <f>[80]Feuil1!$Q$40</f>
        <v>68388</v>
      </c>
      <c r="AD12" s="10">
        <f>[80]Feuil1!$R$40</f>
        <v>15745</v>
      </c>
      <c r="AE12" s="10">
        <f>[80]Feuil1!$S$40</f>
        <v>138</v>
      </c>
      <c r="AF12" s="18">
        <f>[80]Feuil1!$T$40</f>
        <v>2164</v>
      </c>
      <c r="AG12" s="12">
        <f>SUM(AC12:AF12)</f>
        <v>86435</v>
      </c>
      <c r="AH12" s="13">
        <f t="shared" si="6"/>
        <v>0</v>
      </c>
      <c r="AI12" s="8">
        <f t="shared" si="7"/>
        <v>43497</v>
      </c>
      <c r="AJ12" s="12">
        <f>'[79]BU-2'!$E$20</f>
        <v>136103</v>
      </c>
      <c r="AK12" s="12"/>
      <c r="AL12" s="12"/>
      <c r="AM12" s="12"/>
      <c r="AN12" s="12"/>
      <c r="AO12" s="10"/>
      <c r="AP12" s="10">
        <f>'[79]BU-2'!$E$35</f>
        <v>2991</v>
      </c>
      <c r="AQ12" s="12"/>
      <c r="AR12" s="51">
        <f t="shared" ref="AR12:AR22" si="19">+AQ12-AJ12</f>
        <v>-136103</v>
      </c>
      <c r="AS12" s="8">
        <f t="shared" ref="AS12:AS22" si="20">+AI12</f>
        <v>43497</v>
      </c>
      <c r="AT12" s="10"/>
      <c r="AU12" s="10"/>
      <c r="AV12" s="10"/>
      <c r="AW12" s="12">
        <f t="shared" ref="AW12:AW22" si="21">SUM(AT12:AV12)</f>
        <v>0</v>
      </c>
      <c r="AX12" s="10"/>
      <c r="AY12" s="20"/>
      <c r="AZ12" s="12"/>
      <c r="BA12" s="12">
        <f t="shared" ref="BA12:BA22" si="22">SUM(AX12:AZ12)</f>
        <v>0</v>
      </c>
      <c r="BB12" s="13">
        <f t="shared" ref="BB12:BB22" si="23">+BA12-AW12</f>
        <v>0</v>
      </c>
      <c r="BC12" s="8">
        <f t="shared" si="8"/>
        <v>43497</v>
      </c>
      <c r="BD12" s="10">
        <f>'[79]BU-2'!$E$15</f>
        <v>167834</v>
      </c>
      <c r="BE12" s="10">
        <f>'[79]BU-3'!$F$69</f>
        <v>122854</v>
      </c>
      <c r="BF12" s="10">
        <f>'[79]BU-3'!$F$13-BE12</f>
        <v>45080</v>
      </c>
      <c r="BG12" s="10">
        <f>'[79]BU-3'!$F$41</f>
        <v>0</v>
      </c>
      <c r="BH12" s="10">
        <f t="shared" ref="BH12:BH22" si="24">+SUM(BE12:BG12)</f>
        <v>167934</v>
      </c>
      <c r="BI12" s="10">
        <f>'[79]BU-2'!$E$17</f>
        <v>45080</v>
      </c>
      <c r="BJ12" s="10">
        <f>'[79]BU-3'!$F$12</f>
        <v>1040</v>
      </c>
      <c r="BK12" s="10">
        <f>'[79]BU-3'!$F$45</f>
        <v>1430</v>
      </c>
      <c r="BL12" s="10">
        <f>[80]Feuil1!$AO$40</f>
        <v>22224</v>
      </c>
      <c r="BM12" s="10">
        <f>[80]Feuil1!$AP$40</f>
        <v>20471</v>
      </c>
      <c r="BN12" s="10">
        <f t="shared" ref="BN12:BN22" si="25">SUM(BJ12:BM12)</f>
        <v>45165</v>
      </c>
      <c r="BO12" s="10">
        <f>'[79]BU-2'!$E$18</f>
        <v>42695</v>
      </c>
      <c r="BP12" s="10">
        <f>[80]Feuil1!$AX$40</f>
        <v>20017</v>
      </c>
      <c r="BQ12" s="10">
        <f>'[79]BU-3'!$F$58</f>
        <v>17944</v>
      </c>
      <c r="BR12" s="10">
        <f>'[79]BU-3'!$F$44</f>
        <v>4784</v>
      </c>
      <c r="BS12" s="10"/>
      <c r="BT12" s="10">
        <f t="shared" si="9"/>
        <v>42745</v>
      </c>
      <c r="BU12" s="13">
        <f t="shared" ref="BU12:BU22" si="26">+BT12-BO12</f>
        <v>50</v>
      </c>
      <c r="BV12" s="13">
        <f t="shared" ref="BV12:BV22" si="27">+BN12-BI12</f>
        <v>85</v>
      </c>
      <c r="BW12" s="8">
        <f t="shared" si="10"/>
        <v>43497</v>
      </c>
      <c r="BX12" s="10">
        <f>'[79]BU-2'!$E$19</f>
        <v>7327.8779999999997</v>
      </c>
      <c r="BY12" s="10">
        <f>'[79]BU-3'!$F$46</f>
        <v>0</v>
      </c>
      <c r="BZ12" s="10">
        <f>'[79]BU-3'!$F$59</f>
        <v>3842.5479999999998</v>
      </c>
      <c r="CA12" s="10">
        <f>'[79]BU-3'!$F$71</f>
        <v>3485.33</v>
      </c>
      <c r="CB12" s="10">
        <f>'[79]BU-3'!$F$46</f>
        <v>0</v>
      </c>
      <c r="CC12" s="11">
        <f t="shared" ref="CC12:CC22" si="28">+SUM(BY12:CB12)</f>
        <v>7327.8779999999997</v>
      </c>
      <c r="CD12" s="13">
        <f t="shared" ref="CD12:CD22" si="29">+CC12-BX12</f>
        <v>0</v>
      </c>
      <c r="CE12" s="8">
        <f t="shared" si="11"/>
        <v>43497</v>
      </c>
      <c r="CF12" s="21">
        <f>+CK11</f>
        <v>53.420200000000023</v>
      </c>
      <c r="CG12" s="23">
        <f>'[7]BU-3'!$H$83</f>
        <v>150</v>
      </c>
      <c r="CH12" s="23">
        <v>0</v>
      </c>
      <c r="CI12" s="23">
        <f>'[7]BU-3'!$J$83</f>
        <v>151.13399999999999</v>
      </c>
      <c r="CJ12" s="21">
        <f t="shared" si="12"/>
        <v>151.13399999999999</v>
      </c>
      <c r="CK12" s="21">
        <f t="shared" si="13"/>
        <v>52.286200000000036</v>
      </c>
      <c r="CM12" s="8">
        <f t="shared" si="14"/>
        <v>43497</v>
      </c>
      <c r="CN12" s="11">
        <f t="shared" ref="CN12:CN22" si="30">+CQ11</f>
        <v>16.150558160000081</v>
      </c>
      <c r="CO12" s="9">
        <f>'[79]BU-3'!$H$82</f>
        <v>9.6999999999999993</v>
      </c>
      <c r="CP12" s="9">
        <f>'[79]BU-3'!$J$82</f>
        <v>18.75525708</v>
      </c>
      <c r="CQ12" s="11">
        <f t="shared" ref="CQ12:CQ22" si="31">+CN12+CO12-CP12</f>
        <v>7.0953010800000804</v>
      </c>
      <c r="CR12" s="11">
        <f>+CU11</f>
        <v>7.0599010625000034</v>
      </c>
      <c r="CS12" s="23">
        <f>'[7]BU-3'!$H$84</f>
        <v>50.000040562499997</v>
      </c>
      <c r="CT12" s="23">
        <f>'[7]BU-3'!$J$84</f>
        <v>45.744999999999997</v>
      </c>
      <c r="CU12" s="21">
        <f t="shared" ref="CU12:CU23" si="32">+CR12+CS12-CT12</f>
        <v>11.314941625000003</v>
      </c>
      <c r="CW12" s="8">
        <f t="shared" si="15"/>
        <v>43497</v>
      </c>
      <c r="CX12" s="12">
        <f>+DB11</f>
        <v>448</v>
      </c>
      <c r="CY12" s="10"/>
      <c r="CZ12" s="10"/>
      <c r="DA12" s="10"/>
      <c r="DB12" s="12">
        <f t="shared" ref="DB12:DB23" si="33">+CX12+CY12-CZ12-DA12</f>
        <v>448</v>
      </c>
      <c r="DC12" s="12">
        <f>+DF11</f>
        <v>20</v>
      </c>
      <c r="DD12" s="10"/>
      <c r="DE12" s="10"/>
      <c r="DF12" s="12">
        <f t="shared" ref="DF12:DF23" si="34">+DC12+DD12-DE12</f>
        <v>20</v>
      </c>
      <c r="DG12" s="12">
        <f>+DJ11</f>
        <v>2290</v>
      </c>
      <c r="DH12" s="10"/>
      <c r="DI12" s="10"/>
      <c r="DJ12" s="12">
        <f t="shared" ref="DJ12:DJ23" si="35">+DG12+DH12-DI12</f>
        <v>2290</v>
      </c>
      <c r="DK12" s="13"/>
      <c r="DL12" s="8">
        <f t="shared" si="16"/>
        <v>43497</v>
      </c>
      <c r="DM12" s="106">
        <f>'[79]BU-4'!E35</f>
        <v>27.743055555555557</v>
      </c>
      <c r="DN12" s="106">
        <f>'[79]BU-4'!F35</f>
        <v>0</v>
      </c>
      <c r="DO12" s="106">
        <f>'[79]BU-4'!G35</f>
        <v>0.25694444444444448</v>
      </c>
      <c r="DP12" s="106">
        <f>'[79]BU-4'!H35</f>
        <v>0</v>
      </c>
      <c r="DQ12" s="10"/>
      <c r="DR12" s="10"/>
      <c r="DS12" s="10"/>
      <c r="DT12" s="10"/>
      <c r="DU12" s="10"/>
      <c r="DV12" s="10"/>
      <c r="DW12" s="10"/>
      <c r="DX12" s="10"/>
    </row>
    <row r="13" spans="2:128" ht="15.95" customHeight="1" x14ac:dyDescent="0.2">
      <c r="B13" s="8">
        <v>43525</v>
      </c>
      <c r="C13" s="10">
        <f>+'[81]BU-2'!$E$10</f>
        <v>17040</v>
      </c>
      <c r="D13" s="10">
        <f>+'[81]BU-3'!$F$11</f>
        <v>6931.1900000000151</v>
      </c>
      <c r="E13" s="10">
        <f>+'[81]BU-2'!$E$28</f>
        <v>1439.6095081079375</v>
      </c>
      <c r="F13" s="10">
        <f>+'[81]BU-2'!$E$29</f>
        <v>8780.9404918920663</v>
      </c>
      <c r="G13" s="31">
        <f t="shared" si="0"/>
        <v>10220.550000000003</v>
      </c>
      <c r="H13" s="10">
        <f>+'[81]BU-2'!$E$27</f>
        <v>111.74</v>
      </c>
      <c r="I13" s="52">
        <f t="shared" si="17"/>
        <v>-1.6370904631912708E-11</v>
      </c>
      <c r="J13" s="8">
        <f t="shared" si="1"/>
        <v>43525</v>
      </c>
      <c r="K13" s="10">
        <f>'[81]BU-2'!$E$11</f>
        <v>95187</v>
      </c>
      <c r="L13" s="10">
        <f>'[81]BU-3'!$F$37</f>
        <v>93037</v>
      </c>
      <c r="M13" s="12">
        <f>'[81]BU-3'!$F$38</f>
        <v>2150</v>
      </c>
      <c r="N13" s="33">
        <f t="shared" si="2"/>
        <v>95187</v>
      </c>
      <c r="O13" s="12">
        <f>'[81]BU-2'!$E$30</f>
        <v>1436</v>
      </c>
      <c r="P13" s="10">
        <f>'[81]BU-2'!$E$31</f>
        <v>200</v>
      </c>
      <c r="Q13" s="33">
        <f t="shared" si="3"/>
        <v>1636</v>
      </c>
      <c r="R13" s="10">
        <f>'[81]BU-2'!$E$32</f>
        <v>301</v>
      </c>
      <c r="S13" s="10">
        <f>'[81]BU-2'!$E$33</f>
        <v>0</v>
      </c>
      <c r="T13" s="33">
        <f t="shared" si="4"/>
        <v>301</v>
      </c>
      <c r="U13" s="13">
        <f t="shared" si="18"/>
        <v>-304</v>
      </c>
      <c r="V13" s="8">
        <f t="shared" si="5"/>
        <v>43525</v>
      </c>
      <c r="W13" s="10">
        <f>[82]Feuil1!$K$40</f>
        <v>35335</v>
      </c>
      <c r="X13" s="10">
        <f>[82]Feuil1!$L$40</f>
        <v>58431</v>
      </c>
      <c r="Y13" s="10">
        <f>[82]Feuil1!$M$40</f>
        <v>3731</v>
      </c>
      <c r="Z13" s="10">
        <f>[82]Feuil1!$N$40</f>
        <v>2150</v>
      </c>
      <c r="AA13" s="10">
        <f>[82]Feuil1!$O$40</f>
        <v>5710</v>
      </c>
      <c r="AB13" s="12">
        <f>+Y13+Z13+AA13+X13+W13</f>
        <v>105357</v>
      </c>
      <c r="AC13" s="10">
        <f>[82]Feuil1!$Q$40</f>
        <v>84588</v>
      </c>
      <c r="AD13" s="10">
        <f>[82]Feuil1!$R$40</f>
        <v>18515</v>
      </c>
      <c r="AE13" s="10">
        <f>[82]Feuil1!$S$40</f>
        <v>0</v>
      </c>
      <c r="AF13" s="18">
        <f>[82]Feuil1!$T$40</f>
        <v>2254</v>
      </c>
      <c r="AG13" s="12">
        <f>SUM(AC13:AF13)</f>
        <v>105357</v>
      </c>
      <c r="AH13" s="13">
        <f t="shared" si="6"/>
        <v>0</v>
      </c>
      <c r="AI13" s="8">
        <f t="shared" si="7"/>
        <v>43525</v>
      </c>
      <c r="AJ13" s="12">
        <f>'[81]BU-2'!$E$20</f>
        <v>144399</v>
      </c>
      <c r="AK13" s="12"/>
      <c r="AL13" s="12"/>
      <c r="AM13" s="12"/>
      <c r="AN13" s="12"/>
      <c r="AO13" s="10"/>
      <c r="AP13" s="10">
        <f>'[81]BU-2'!$E$35</f>
        <v>232</v>
      </c>
      <c r="AQ13" s="12"/>
      <c r="AR13" s="51">
        <f t="shared" si="19"/>
        <v>-144399</v>
      </c>
      <c r="AS13" s="8">
        <f t="shared" si="20"/>
        <v>43525</v>
      </c>
      <c r="AT13" s="10"/>
      <c r="AU13" s="10"/>
      <c r="AV13" s="10"/>
      <c r="AW13" s="12">
        <f t="shared" si="21"/>
        <v>0</v>
      </c>
      <c r="AX13" s="10"/>
      <c r="AY13" s="20"/>
      <c r="AZ13" s="12"/>
      <c r="BA13" s="12">
        <f t="shared" si="22"/>
        <v>0</v>
      </c>
      <c r="BB13" s="13">
        <f t="shared" si="23"/>
        <v>0</v>
      </c>
      <c r="BC13" s="8">
        <f t="shared" si="8"/>
        <v>43525</v>
      </c>
      <c r="BD13" s="10">
        <f>'[81]BU-2'!$E$15</f>
        <v>174358</v>
      </c>
      <c r="BE13" s="10">
        <f>'[81]BU-3'!$F$69</f>
        <v>124812</v>
      </c>
      <c r="BF13" s="10">
        <f>'[81]BU-3'!$F$13-BE13</f>
        <v>49396</v>
      </c>
      <c r="BG13" s="10">
        <f>'[81]BU-3'!$F$41</f>
        <v>0</v>
      </c>
      <c r="BH13" s="10">
        <f t="shared" si="24"/>
        <v>174208</v>
      </c>
      <c r="BI13" s="10">
        <f>'[81]BU-2'!$E$17</f>
        <v>49396</v>
      </c>
      <c r="BJ13" s="10">
        <f>'[81]BU-3'!$F$12</f>
        <v>1050</v>
      </c>
      <c r="BK13" s="10">
        <f>'[81]BU-3'!$F$45</f>
        <v>1471</v>
      </c>
      <c r="BL13" s="10">
        <f>[82]Feuil1!$AO$40</f>
        <v>26480</v>
      </c>
      <c r="BM13" s="10">
        <f>[82]Feuil1!$AP$40</f>
        <v>21673</v>
      </c>
      <c r="BN13" s="10">
        <f t="shared" si="25"/>
        <v>50674</v>
      </c>
      <c r="BO13" s="10">
        <f>'[81]BU-2'!$E$18</f>
        <v>48153</v>
      </c>
      <c r="BP13" s="10">
        <f>[82]Feuil1!$AX$40</f>
        <v>24073</v>
      </c>
      <c r="BQ13" s="10">
        <f>'[81]BU-3'!$F$58</f>
        <v>19173</v>
      </c>
      <c r="BR13" s="10">
        <f>'[81]BU-3'!$F$44</f>
        <v>5077</v>
      </c>
      <c r="BS13" s="10"/>
      <c r="BT13" s="10">
        <f t="shared" si="9"/>
        <v>48323</v>
      </c>
      <c r="BU13" s="13">
        <f t="shared" si="26"/>
        <v>170</v>
      </c>
      <c r="BV13" s="13">
        <f t="shared" si="27"/>
        <v>1278</v>
      </c>
      <c r="BW13" s="8">
        <f t="shared" si="10"/>
        <v>43525</v>
      </c>
      <c r="BX13" s="10">
        <f>'[81]BU-2'!$E$19</f>
        <v>8345.6389999999992</v>
      </c>
      <c r="BY13" s="10">
        <f>'[81]BU-3'!$F$46</f>
        <v>0</v>
      </c>
      <c r="BZ13" s="10">
        <f>'[81]BU-3'!$F$59</f>
        <v>4215.7650000000003</v>
      </c>
      <c r="CA13" s="10">
        <f>'[81]BU-3'!$F$71</f>
        <v>4129.8739999999998</v>
      </c>
      <c r="CB13" s="10">
        <f>'[81]BU-3'!$F$46</f>
        <v>0</v>
      </c>
      <c r="CC13" s="11">
        <f t="shared" si="28"/>
        <v>8345.6389999999992</v>
      </c>
      <c r="CD13" s="13">
        <f t="shared" si="29"/>
        <v>0</v>
      </c>
      <c r="CE13" s="8">
        <f t="shared" si="11"/>
        <v>43525</v>
      </c>
      <c r="CF13" s="21">
        <f t="shared" ref="CF13:CF22" si="36">+CK12</f>
        <v>52.286200000000036</v>
      </c>
      <c r="CG13" s="23">
        <f>'[9]BU-3'!$H$83</f>
        <v>0</v>
      </c>
      <c r="CH13" s="23">
        <v>0</v>
      </c>
      <c r="CI13" s="23">
        <f>'[9]BU-3'!$J$83</f>
        <v>0</v>
      </c>
      <c r="CJ13" s="21">
        <f t="shared" si="12"/>
        <v>0</v>
      </c>
      <c r="CK13" s="21">
        <f t="shared" si="13"/>
        <v>52.286200000000036</v>
      </c>
      <c r="CM13" s="8">
        <f t="shared" si="14"/>
        <v>43525</v>
      </c>
      <c r="CN13" s="11">
        <f t="shared" si="30"/>
        <v>7.0953010800000804</v>
      </c>
      <c r="CO13" s="9">
        <f>'[81]BU-3'!$H$82</f>
        <v>19.420000000000002</v>
      </c>
      <c r="CP13" s="9">
        <f>'[81]BU-3'!$J$82</f>
        <v>19.357152360000001</v>
      </c>
      <c r="CQ13" s="11">
        <f t="shared" si="31"/>
        <v>7.1581487200000815</v>
      </c>
      <c r="CR13" s="11">
        <f t="shared" ref="CR13:CR21" si="37">+CU12</f>
        <v>11.314941625000003</v>
      </c>
      <c r="CS13" s="23">
        <f>'[9]BU-3'!$H$84</f>
        <v>105.8801125</v>
      </c>
      <c r="CT13" s="23">
        <f>'[9]BU-3'!$J$84</f>
        <v>106.692639</v>
      </c>
      <c r="CU13" s="21">
        <f t="shared" si="32"/>
        <v>10.502415124999999</v>
      </c>
      <c r="CW13" s="8">
        <f t="shared" si="15"/>
        <v>43525</v>
      </c>
      <c r="CX13" s="12">
        <f t="shared" ref="CX13:CX22" si="38">+DB12</f>
        <v>448</v>
      </c>
      <c r="CY13" s="10"/>
      <c r="CZ13" s="10"/>
      <c r="DA13" s="10"/>
      <c r="DB13" s="12">
        <f t="shared" si="33"/>
        <v>448</v>
      </c>
      <c r="DC13" s="12">
        <f t="shared" ref="DC13:DC22" si="39">+DF12</f>
        <v>20</v>
      </c>
      <c r="DD13" s="10"/>
      <c r="DE13" s="10"/>
      <c r="DF13" s="12">
        <f t="shared" si="34"/>
        <v>20</v>
      </c>
      <c r="DG13" s="12">
        <f t="shared" ref="DG13:DG22" si="40">+DJ12</f>
        <v>2290</v>
      </c>
      <c r="DH13" s="10"/>
      <c r="DI13" s="10"/>
      <c r="DJ13" s="12">
        <f t="shared" si="35"/>
        <v>2290</v>
      </c>
      <c r="DK13" s="13"/>
      <c r="DL13" s="8">
        <f t="shared" si="16"/>
        <v>43525</v>
      </c>
      <c r="DM13" s="106">
        <f>'[81]BU-4'!E35</f>
        <v>30.363194444444446</v>
      </c>
      <c r="DN13" s="106">
        <f>'[81]BU-4'!F35</f>
        <v>0</v>
      </c>
      <c r="DO13" s="106">
        <f>'[81]BU-4'!G35</f>
        <v>0</v>
      </c>
      <c r="DP13" s="106">
        <f>'[81]BU-4'!H35</f>
        <v>0.63680555555555551</v>
      </c>
      <c r="DQ13" s="10"/>
      <c r="DR13" s="10"/>
      <c r="DS13" s="10"/>
      <c r="DT13" s="10"/>
      <c r="DU13" s="10"/>
      <c r="DV13" s="10"/>
      <c r="DW13" s="10"/>
      <c r="DX13" s="10"/>
    </row>
    <row r="14" spans="2:128" ht="15.95" customHeight="1" x14ac:dyDescent="0.2">
      <c r="B14" s="8">
        <v>43556</v>
      </c>
      <c r="C14" s="10">
        <f>+'[83]BU-2'!$E$10</f>
        <v>15052</v>
      </c>
      <c r="D14" s="10">
        <f>+'[83]BU-3'!$F$11</f>
        <v>6631.92</v>
      </c>
      <c r="E14" s="10">
        <f>+'[83]BU-2'!$E$28</f>
        <v>714.83405865259579</v>
      </c>
      <c r="F14" s="10">
        <f>+'[83]BU-2'!$E$29</f>
        <v>7826.1759413474265</v>
      </c>
      <c r="G14" s="31">
        <f t="shared" si="0"/>
        <v>8541.010000000022</v>
      </c>
      <c r="H14" s="10">
        <f>+'[83]BU-2'!$E$27</f>
        <v>120.93</v>
      </c>
      <c r="I14" s="52">
        <f t="shared" si="17"/>
        <v>-2.1827872842550278E-11</v>
      </c>
      <c r="J14" s="8">
        <f t="shared" si="1"/>
        <v>43556</v>
      </c>
      <c r="K14" s="10">
        <f>'[83]BU-2'!$E$11</f>
        <v>88252</v>
      </c>
      <c r="L14" s="10">
        <f>'[83]BU-3'!$F$37</f>
        <v>85835</v>
      </c>
      <c r="M14" s="12">
        <f>'[83]BU-3'!$F$38</f>
        <v>2380</v>
      </c>
      <c r="N14" s="33">
        <f t="shared" si="2"/>
        <v>88215</v>
      </c>
      <c r="O14" s="12">
        <f>'[83]BU-2'!$E$30</f>
        <v>2168</v>
      </c>
      <c r="P14" s="10">
        <f>'[83]BU-2'!$E$31</f>
        <v>0</v>
      </c>
      <c r="Q14" s="33">
        <f t="shared" si="3"/>
        <v>2168</v>
      </c>
      <c r="R14" s="10">
        <f>'[83]BU-2'!$E$32</f>
        <v>598</v>
      </c>
      <c r="S14" s="10">
        <f>'[83]BU-2'!$E$33</f>
        <v>0</v>
      </c>
      <c r="T14" s="33">
        <f t="shared" si="4"/>
        <v>598</v>
      </c>
      <c r="U14" s="13">
        <f t="shared" si="18"/>
        <v>-1335</v>
      </c>
      <c r="V14" s="8">
        <f t="shared" si="5"/>
        <v>43556</v>
      </c>
      <c r="W14" s="10">
        <f>[84]Feuil1!$K$40</f>
        <v>33990</v>
      </c>
      <c r="X14" s="10">
        <f>[84]Feuil1!$L$40</f>
        <v>55497</v>
      </c>
      <c r="Y14" s="10">
        <f>[84]Feuil1!$M$40</f>
        <v>3324</v>
      </c>
      <c r="Z14" s="10">
        <f>[84]Feuil1!$N$40</f>
        <v>2380</v>
      </c>
      <c r="AA14" s="10">
        <f>[84]Feuil1!$O$40</f>
        <v>5556</v>
      </c>
      <c r="AB14" s="12">
        <f t="shared" ref="AB14:AB22" si="41">+Y14+Z14+AA14+X14+W14</f>
        <v>100747</v>
      </c>
      <c r="AC14" s="10">
        <f>[84]Feuil1!$Q$40</f>
        <v>81146</v>
      </c>
      <c r="AD14" s="10">
        <f>[84]Feuil1!$R$40</f>
        <v>18957</v>
      </c>
      <c r="AE14" s="10">
        <f>[84]Feuil1!$S$40</f>
        <v>40</v>
      </c>
      <c r="AF14" s="18">
        <f>[84]Feuil1!$T$40</f>
        <v>604</v>
      </c>
      <c r="AG14" s="12">
        <f t="shared" ref="AG14:AG22" si="42">SUM(AC14:AF14)</f>
        <v>100747</v>
      </c>
      <c r="AH14" s="13">
        <f t="shared" si="6"/>
        <v>0</v>
      </c>
      <c r="AI14" s="8">
        <f t="shared" si="7"/>
        <v>43556</v>
      </c>
      <c r="AJ14" s="12">
        <f>'[83]BU-2'!$E$20</f>
        <v>142705</v>
      </c>
      <c r="AK14" s="12"/>
      <c r="AL14" s="12"/>
      <c r="AM14" s="12"/>
      <c r="AN14" s="12"/>
      <c r="AO14" s="10"/>
      <c r="AP14" s="10">
        <f>'[83]BU-2'!$E$35</f>
        <v>6695</v>
      </c>
      <c r="AQ14" s="12"/>
      <c r="AR14" s="51">
        <f t="shared" si="19"/>
        <v>-142705</v>
      </c>
      <c r="AS14" s="8">
        <f t="shared" si="20"/>
        <v>43556</v>
      </c>
      <c r="AT14" s="10"/>
      <c r="AU14" s="10"/>
      <c r="AV14" s="10"/>
      <c r="AW14" s="12">
        <f t="shared" si="21"/>
        <v>0</v>
      </c>
      <c r="AX14" s="10"/>
      <c r="AY14" s="20"/>
      <c r="AZ14" s="12"/>
      <c r="BA14" s="12">
        <f t="shared" si="22"/>
        <v>0</v>
      </c>
      <c r="BB14" s="13">
        <f t="shared" si="23"/>
        <v>0</v>
      </c>
      <c r="BC14" s="8">
        <f t="shared" si="8"/>
        <v>43556</v>
      </c>
      <c r="BD14" s="10">
        <f>'[83]BU-2'!$E$15</f>
        <v>186927</v>
      </c>
      <c r="BE14" s="10">
        <f>'[83]BU-3'!$F$69</f>
        <v>139148</v>
      </c>
      <c r="BF14" s="10">
        <f>'[83]BU-3'!$F$13-BE14</f>
        <v>47829</v>
      </c>
      <c r="BG14" s="10">
        <f>'[83]BU-3'!$F$41</f>
        <v>0</v>
      </c>
      <c r="BH14" s="10">
        <f t="shared" si="24"/>
        <v>186977</v>
      </c>
      <c r="BI14" s="10">
        <f>'[83]BU-2'!$E$17</f>
        <v>47829</v>
      </c>
      <c r="BJ14" s="10">
        <f>'[83]BU-3'!$F$12</f>
        <v>974</v>
      </c>
      <c r="BK14" s="10">
        <f>'[83]BU-3'!$F$45</f>
        <v>1354</v>
      </c>
      <c r="BL14" s="10">
        <f>[84]Feuil1!$AO$40</f>
        <v>23717</v>
      </c>
      <c r="BM14" s="10">
        <f>[84]Feuil1!$AP$40</f>
        <v>21764</v>
      </c>
      <c r="BN14" s="10">
        <f t="shared" si="25"/>
        <v>47809</v>
      </c>
      <c r="BO14" s="10">
        <f>'[83]BU-2'!$E$18</f>
        <v>45481</v>
      </c>
      <c r="BP14" s="10">
        <f>[84]Feuil1!$AX$40</f>
        <v>22921</v>
      </c>
      <c r="BQ14" s="10">
        <f>'[83]BU-3'!$F$58</f>
        <v>17837</v>
      </c>
      <c r="BR14" s="10">
        <f>'[83]BU-3'!$F$44</f>
        <v>4653</v>
      </c>
      <c r="BS14" s="10"/>
      <c r="BT14" s="10">
        <f t="shared" si="9"/>
        <v>45411</v>
      </c>
      <c r="BU14" s="13">
        <f t="shared" si="26"/>
        <v>-70</v>
      </c>
      <c r="BV14" s="13">
        <f t="shared" si="27"/>
        <v>-20</v>
      </c>
      <c r="BW14" s="8">
        <f t="shared" si="10"/>
        <v>43556</v>
      </c>
      <c r="BX14" s="10">
        <f>'[83]BU-2'!$E$19</f>
        <v>8051.4049999999997</v>
      </c>
      <c r="BY14" s="10">
        <f>'[83]BU-3'!$F$46</f>
        <v>0</v>
      </c>
      <c r="BZ14" s="10">
        <f>'[83]BU-3'!$F$59</f>
        <v>3951.4160000000002</v>
      </c>
      <c r="CA14" s="10">
        <f>'[83]BU-3'!$F$71</f>
        <v>4099.9889999999996</v>
      </c>
      <c r="CB14" s="10">
        <f>'[83]BU-3'!$F$46</f>
        <v>0</v>
      </c>
      <c r="CC14" s="11">
        <f t="shared" si="28"/>
        <v>8051.4049999999997</v>
      </c>
      <c r="CD14" s="13">
        <f t="shared" si="29"/>
        <v>0</v>
      </c>
      <c r="CE14" s="8">
        <f t="shared" si="11"/>
        <v>43556</v>
      </c>
      <c r="CF14" s="21">
        <f t="shared" si="36"/>
        <v>52.286200000000036</v>
      </c>
      <c r="CG14" s="23">
        <f>'[11]BU-3'!$H$83</f>
        <v>0</v>
      </c>
      <c r="CH14" s="23">
        <v>0</v>
      </c>
      <c r="CI14" s="23">
        <f>'[11]BU-3'!$J$83</f>
        <v>0</v>
      </c>
      <c r="CJ14" s="21">
        <f t="shared" si="12"/>
        <v>0</v>
      </c>
      <c r="CK14" s="21">
        <f t="shared" si="13"/>
        <v>52.286200000000036</v>
      </c>
      <c r="CM14" s="8">
        <f t="shared" si="14"/>
        <v>43556</v>
      </c>
      <c r="CN14" s="11">
        <f t="shared" si="30"/>
        <v>7.1581487200000815</v>
      </c>
      <c r="CO14" s="9">
        <f>'[83]BU-3'!$H$82</f>
        <v>13.34</v>
      </c>
      <c r="CP14" s="9">
        <f>'[83]BU-3'!$J$82</f>
        <v>17.800945680000002</v>
      </c>
      <c r="CQ14" s="11">
        <f t="shared" si="31"/>
        <v>2.6972030400000797</v>
      </c>
      <c r="CR14" s="11">
        <f t="shared" si="37"/>
        <v>10.502415124999999</v>
      </c>
      <c r="CS14" s="23">
        <f>'[11]BU-3'!$H$84</f>
        <v>112.38751500000001</v>
      </c>
      <c r="CT14" s="23">
        <f>'[11]BU-3'!$J$84</f>
        <v>100.7604765</v>
      </c>
      <c r="CU14" s="21">
        <f t="shared" si="32"/>
        <v>22.129453625000011</v>
      </c>
      <c r="CW14" s="8">
        <f t="shared" si="15"/>
        <v>43556</v>
      </c>
      <c r="CX14" s="12">
        <f t="shared" si="38"/>
        <v>448</v>
      </c>
      <c r="CY14" s="10"/>
      <c r="CZ14" s="10"/>
      <c r="DA14" s="10"/>
      <c r="DB14" s="12">
        <f t="shared" si="33"/>
        <v>448</v>
      </c>
      <c r="DC14" s="12">
        <f t="shared" si="39"/>
        <v>20</v>
      </c>
      <c r="DD14" s="10"/>
      <c r="DE14" s="10"/>
      <c r="DF14" s="12">
        <f t="shared" si="34"/>
        <v>20</v>
      </c>
      <c r="DG14" s="12">
        <f t="shared" si="40"/>
        <v>2290</v>
      </c>
      <c r="DH14" s="10"/>
      <c r="DI14" s="10"/>
      <c r="DJ14" s="12">
        <f t="shared" si="35"/>
        <v>2290</v>
      </c>
      <c r="DK14" s="13"/>
      <c r="DL14" s="8">
        <f t="shared" si="16"/>
        <v>43556</v>
      </c>
      <c r="DM14" s="106">
        <f>'[83]BU-4'!E35</f>
        <v>28.9</v>
      </c>
      <c r="DN14" s="106">
        <f>'[83]BU-4'!F35</f>
        <v>0</v>
      </c>
      <c r="DO14" s="106">
        <f>'[83]BU-4'!G35</f>
        <v>0</v>
      </c>
      <c r="DP14" s="106">
        <f>'[83]BU-4'!H35</f>
        <v>1.1000000000000001</v>
      </c>
      <c r="DQ14" s="10"/>
      <c r="DR14" s="10"/>
      <c r="DS14" s="10"/>
      <c r="DT14" s="10"/>
      <c r="DU14" s="10"/>
      <c r="DV14" s="10"/>
      <c r="DW14" s="10"/>
      <c r="DX14" s="10"/>
    </row>
    <row r="15" spans="2:128" ht="15.95" customHeight="1" x14ac:dyDescent="0.2">
      <c r="B15" s="8">
        <v>43586</v>
      </c>
      <c r="C15" s="10">
        <f>+'[85]BU-2'!$E$10</f>
        <v>16215</v>
      </c>
      <c r="D15" s="10">
        <f>+'[85]BU-3'!$F$11</f>
        <v>6995.76</v>
      </c>
      <c r="E15" s="10">
        <f>+'[85]BU-2'!$E$28</f>
        <v>938.92300274591935</v>
      </c>
      <c r="F15" s="10">
        <f>+'[85]BU-2'!$E$29</f>
        <v>8320.7369972540819</v>
      </c>
      <c r="G15" s="31">
        <f t="shared" si="0"/>
        <v>9259.6600000000017</v>
      </c>
      <c r="H15" s="10">
        <f>+'[85]BU-2'!$E$27</f>
        <v>40.42</v>
      </c>
      <c r="I15" s="52">
        <f t="shared" si="17"/>
        <v>0</v>
      </c>
      <c r="J15" s="8">
        <f t="shared" si="1"/>
        <v>43586</v>
      </c>
      <c r="K15" s="10">
        <f>'[85]BU-2'!$E$11</f>
        <v>95202</v>
      </c>
      <c r="L15" s="10">
        <f>'[85]BU-3'!$F$37</f>
        <v>92532</v>
      </c>
      <c r="M15" s="12">
        <f>'[85]BU-3'!$F$38</f>
        <v>2670</v>
      </c>
      <c r="N15" s="33">
        <f t="shared" si="2"/>
        <v>95202</v>
      </c>
      <c r="O15" s="12">
        <f>'[85]BU-2'!$E$30</f>
        <v>1259</v>
      </c>
      <c r="P15" s="10">
        <f>'[85]BU-2'!$E$31</f>
        <v>0</v>
      </c>
      <c r="Q15" s="33">
        <f t="shared" si="3"/>
        <v>1259</v>
      </c>
      <c r="R15" s="10">
        <f>'[85]BU-2'!$E$32</f>
        <v>0</v>
      </c>
      <c r="S15" s="10">
        <f>'[85]BU-2'!$E$33</f>
        <v>0</v>
      </c>
      <c r="T15" s="33">
        <f t="shared" si="4"/>
        <v>0</v>
      </c>
      <c r="U15" s="13">
        <f t="shared" si="18"/>
        <v>-1533</v>
      </c>
      <c r="V15" s="8">
        <f t="shared" si="5"/>
        <v>43586</v>
      </c>
      <c r="W15" s="10">
        <f>[86]Feuil1!$K$40</f>
        <v>35401</v>
      </c>
      <c r="X15" s="10">
        <f>[86]Feuil1!$L$40</f>
        <v>61112</v>
      </c>
      <c r="Y15" s="10">
        <f>[86]Feuil1!$M$40</f>
        <v>2725</v>
      </c>
      <c r="Z15" s="10">
        <f>[86]Feuil1!$N$40</f>
        <v>2670</v>
      </c>
      <c r="AA15" s="10">
        <f>[86]Feuil1!$O$40</f>
        <v>5953</v>
      </c>
      <c r="AB15" s="12">
        <f t="shared" si="41"/>
        <v>107861</v>
      </c>
      <c r="AC15" s="10">
        <f>[86]Feuil1!$Q$40</f>
        <v>87761</v>
      </c>
      <c r="AD15" s="10">
        <f>[86]Feuil1!$R$40</f>
        <v>19534</v>
      </c>
      <c r="AE15" s="10">
        <f>[86]Feuil1!$S$40</f>
        <v>80</v>
      </c>
      <c r="AF15" s="18">
        <f>[86]Feuil1!$T$40</f>
        <v>486</v>
      </c>
      <c r="AG15" s="12">
        <f t="shared" si="42"/>
        <v>107861</v>
      </c>
      <c r="AH15" s="13">
        <f t="shared" si="6"/>
        <v>0</v>
      </c>
      <c r="AI15" s="8">
        <f t="shared" si="7"/>
        <v>43586</v>
      </c>
      <c r="AJ15" s="12">
        <f>'[85]BU-2'!$E$20</f>
        <v>147475</v>
      </c>
      <c r="AK15" s="12"/>
      <c r="AL15" s="12"/>
      <c r="AM15" s="12"/>
      <c r="AN15" s="12"/>
      <c r="AO15" s="10"/>
      <c r="AP15" s="10">
        <f>'[85]BU-2'!$E$35</f>
        <v>2654</v>
      </c>
      <c r="AQ15" s="12"/>
      <c r="AR15" s="51">
        <f t="shared" si="19"/>
        <v>-147475</v>
      </c>
      <c r="AS15" s="8">
        <f t="shared" si="20"/>
        <v>43586</v>
      </c>
      <c r="AT15" s="10"/>
      <c r="AU15" s="10"/>
      <c r="AV15" s="10"/>
      <c r="AW15" s="12">
        <f t="shared" si="21"/>
        <v>0</v>
      </c>
      <c r="AX15" s="10"/>
      <c r="AY15" s="20"/>
      <c r="AZ15" s="12"/>
      <c r="BA15" s="12">
        <f t="shared" si="22"/>
        <v>0</v>
      </c>
      <c r="BB15" s="13">
        <f t="shared" si="23"/>
        <v>0</v>
      </c>
      <c r="BC15" s="8">
        <f t="shared" si="8"/>
        <v>43586</v>
      </c>
      <c r="BD15" s="10">
        <f>'[85]BU-2'!$E$15</f>
        <v>178256</v>
      </c>
      <c r="BE15" s="10">
        <f>'[85]BU-3'!$F$69</f>
        <v>130101</v>
      </c>
      <c r="BF15" s="10">
        <f>'[85]BU-3'!$F$13-BE15</f>
        <v>48105</v>
      </c>
      <c r="BG15" s="10">
        <f>'[85]BU-3'!$F$41</f>
        <v>0</v>
      </c>
      <c r="BH15" s="10">
        <f t="shared" si="24"/>
        <v>178206</v>
      </c>
      <c r="BI15" s="10">
        <f>'[85]BU-2'!$E$17</f>
        <v>48105</v>
      </c>
      <c r="BJ15" s="10">
        <f>'[85]BU-3'!$F$12</f>
        <v>1283</v>
      </c>
      <c r="BK15" s="10">
        <f>'[85]BU-3'!$F$45</f>
        <v>1484</v>
      </c>
      <c r="BL15" s="10">
        <f>[86]Feuil1!$AO$40</f>
        <v>24723</v>
      </c>
      <c r="BM15" s="10">
        <f>[86]Feuil1!$AP$40</f>
        <v>20645</v>
      </c>
      <c r="BN15" s="10">
        <f t="shared" si="25"/>
        <v>48135</v>
      </c>
      <c r="BO15" s="10">
        <f>'[85]BU-2'!$E$18</f>
        <v>45368</v>
      </c>
      <c r="BP15" s="10">
        <f>[86]Feuil1!$AX$40</f>
        <v>22010</v>
      </c>
      <c r="BQ15" s="10">
        <f>'[85]BU-3'!$F$58</f>
        <v>18552</v>
      </c>
      <c r="BR15" s="10">
        <f>'[85]BU-3'!$F$44</f>
        <v>5046</v>
      </c>
      <c r="BS15" s="10"/>
      <c r="BT15" s="10">
        <f t="shared" si="9"/>
        <v>45608</v>
      </c>
      <c r="BU15" s="13">
        <f t="shared" si="26"/>
        <v>240</v>
      </c>
      <c r="BV15" s="13">
        <f t="shared" si="27"/>
        <v>30</v>
      </c>
      <c r="BW15" s="8">
        <f t="shared" si="10"/>
        <v>43586</v>
      </c>
      <c r="BX15" s="10">
        <f>'[85]BU-2'!$E$19</f>
        <v>8612.77</v>
      </c>
      <c r="BY15" s="10">
        <f>'[85]BU-3'!$F$46</f>
        <v>0</v>
      </c>
      <c r="BZ15" s="10">
        <f>'[85]BU-3'!$F$59</f>
        <v>4136.3609999999999</v>
      </c>
      <c r="CA15" s="10">
        <f>'[85]BU-3'!$F$71</f>
        <v>4476.4089999999997</v>
      </c>
      <c r="CB15" s="10">
        <f>'[85]BU-3'!$F$46</f>
        <v>0</v>
      </c>
      <c r="CC15" s="11">
        <f t="shared" si="28"/>
        <v>8612.77</v>
      </c>
      <c r="CD15" s="13">
        <f t="shared" si="29"/>
        <v>0</v>
      </c>
      <c r="CE15" s="8">
        <f t="shared" si="11"/>
        <v>43586</v>
      </c>
      <c r="CF15" s="21">
        <f t="shared" si="36"/>
        <v>52.286200000000036</v>
      </c>
      <c r="CG15" s="23">
        <f>'[13]BU-3'!$H$83</f>
        <v>0</v>
      </c>
      <c r="CH15" s="23">
        <v>0</v>
      </c>
      <c r="CI15" s="23">
        <f>'[13]BU-3'!$J$83</f>
        <v>0</v>
      </c>
      <c r="CJ15" s="21">
        <f t="shared" si="12"/>
        <v>0</v>
      </c>
      <c r="CK15" s="21">
        <f t="shared" si="13"/>
        <v>52.286200000000036</v>
      </c>
      <c r="CM15" s="8">
        <f t="shared" si="14"/>
        <v>43586</v>
      </c>
      <c r="CN15" s="11">
        <f t="shared" si="30"/>
        <v>2.6972030400000797</v>
      </c>
      <c r="CO15" s="9">
        <f>'[85]BU-3'!$H$82</f>
        <v>25.7</v>
      </c>
      <c r="CP15" s="9">
        <f>'[85]BU-3'!$J$82</f>
        <v>19.502264879999998</v>
      </c>
      <c r="CQ15" s="11">
        <f t="shared" si="31"/>
        <v>8.8949381600000805</v>
      </c>
      <c r="CR15" s="11">
        <f t="shared" si="37"/>
        <v>22.129453625000011</v>
      </c>
      <c r="CS15" s="23">
        <f>'[13]BU-3'!$H$84</f>
        <v>117.00022075</v>
      </c>
      <c r="CT15" s="23">
        <f>'[13]BU-3'!$J$84</f>
        <v>111.012331875</v>
      </c>
      <c r="CU15" s="21">
        <f t="shared" si="32"/>
        <v>28.117342500000007</v>
      </c>
      <c r="CW15" s="8">
        <f t="shared" si="15"/>
        <v>43586</v>
      </c>
      <c r="CX15" s="12">
        <f t="shared" si="38"/>
        <v>448</v>
      </c>
      <c r="CY15" s="10"/>
      <c r="CZ15" s="10"/>
      <c r="DA15" s="10"/>
      <c r="DB15" s="12">
        <f t="shared" si="33"/>
        <v>448</v>
      </c>
      <c r="DC15" s="12">
        <f t="shared" si="39"/>
        <v>20</v>
      </c>
      <c r="DD15" s="10"/>
      <c r="DE15" s="10"/>
      <c r="DF15" s="12">
        <f t="shared" si="34"/>
        <v>20</v>
      </c>
      <c r="DG15" s="12">
        <f t="shared" si="40"/>
        <v>2290</v>
      </c>
      <c r="DH15" s="10"/>
      <c r="DI15" s="10"/>
      <c r="DJ15" s="12">
        <f t="shared" si="35"/>
        <v>2290</v>
      </c>
      <c r="DK15" s="13"/>
      <c r="DL15" s="8">
        <f t="shared" si="16"/>
        <v>43586</v>
      </c>
      <c r="DM15" s="106">
        <f>'[85]BU-4'!E35</f>
        <v>30.815972222222221</v>
      </c>
      <c r="DN15" s="106">
        <f>'[85]BU-4'!F35</f>
        <v>0</v>
      </c>
      <c r="DO15" s="106">
        <f>'[85]BU-4'!G35</f>
        <v>0.18402777777777779</v>
      </c>
      <c r="DP15" s="106">
        <f>'[85]BU-4'!H35</f>
        <v>0</v>
      </c>
      <c r="DQ15" s="10"/>
      <c r="DR15" s="10"/>
      <c r="DS15" s="10"/>
      <c r="DT15" s="10"/>
      <c r="DU15" s="10"/>
      <c r="DV15" s="10"/>
      <c r="DW15" s="10"/>
      <c r="DX15" s="10"/>
    </row>
    <row r="16" spans="2:128" ht="15.95" customHeight="1" x14ac:dyDescent="0.2">
      <c r="B16" s="8">
        <v>43617</v>
      </c>
      <c r="C16" s="10">
        <f>+'[87]BU-2'!$E$10</f>
        <v>16647</v>
      </c>
      <c r="D16" s="10">
        <f>+'[87]BU-3'!$F$11</f>
        <v>6353.8700000000008</v>
      </c>
      <c r="E16" s="10">
        <f>+'[87]BU-2'!$E$28</f>
        <v>1999.3512705361613</v>
      </c>
      <c r="F16" s="10">
        <f>+'[87]BU-2'!$E$29</f>
        <v>8293.7787294638292</v>
      </c>
      <c r="G16" s="31">
        <f t="shared" si="0"/>
        <v>10293.12999999999</v>
      </c>
      <c r="H16" s="10">
        <f>+'[87]BU-2'!$E$27</f>
        <v>0</v>
      </c>
      <c r="I16" s="52">
        <f t="shared" si="17"/>
        <v>0</v>
      </c>
      <c r="J16" s="8">
        <f t="shared" si="1"/>
        <v>43617</v>
      </c>
      <c r="K16" s="10">
        <f>'[87]BU-2'!$E$11</f>
        <v>88714</v>
      </c>
      <c r="L16" s="10">
        <f>'[87]BU-3'!$F$37</f>
        <v>83575</v>
      </c>
      <c r="M16" s="12">
        <f>'[87]BU-3'!$F$38</f>
        <v>5139</v>
      </c>
      <c r="N16" s="33">
        <f t="shared" si="2"/>
        <v>88714</v>
      </c>
      <c r="O16" s="12">
        <f>'[87]BU-2'!$E$30</f>
        <v>2266</v>
      </c>
      <c r="P16" s="10">
        <f>'[87]BU-2'!$E$31</f>
        <v>202</v>
      </c>
      <c r="Q16" s="33">
        <f t="shared" si="3"/>
        <v>2468</v>
      </c>
      <c r="R16" s="10">
        <f>'[87]BU-2'!$E$32</f>
        <v>0</v>
      </c>
      <c r="S16" s="10">
        <f>'[87]BU-2'!$E$33</f>
        <v>0</v>
      </c>
      <c r="T16" s="33">
        <f t="shared" si="4"/>
        <v>0</v>
      </c>
      <c r="U16" s="13">
        <f t="shared" si="18"/>
        <v>-1259</v>
      </c>
      <c r="V16" s="8">
        <f t="shared" si="5"/>
        <v>43617</v>
      </c>
      <c r="W16" s="10">
        <f>[88]Feuil1!$K$40</f>
        <v>33692</v>
      </c>
      <c r="X16" s="10">
        <f>[88]Feuil1!$L$40</f>
        <v>43415</v>
      </c>
      <c r="Y16" s="10">
        <f>[88]Feuil1!$M$40</f>
        <v>2029</v>
      </c>
      <c r="Z16" s="10">
        <f>[88]Feuil1!$N$40</f>
        <v>5139</v>
      </c>
      <c r="AA16" s="10">
        <f>[88]Feuil1!$O$40</f>
        <v>5936</v>
      </c>
      <c r="AB16" s="12">
        <f t="shared" si="41"/>
        <v>90211</v>
      </c>
      <c r="AC16" s="10">
        <f>[88]Feuil1!$Q$40</f>
        <v>71786</v>
      </c>
      <c r="AD16" s="10">
        <f>[88]Feuil1!$R$40</f>
        <v>13311</v>
      </c>
      <c r="AE16" s="10">
        <f>[88]Feuil1!$S$40</f>
        <v>0</v>
      </c>
      <c r="AF16" s="18">
        <f>[88]Feuil1!$T$40</f>
        <v>5114</v>
      </c>
      <c r="AG16" s="12">
        <f t="shared" si="42"/>
        <v>90211</v>
      </c>
      <c r="AH16" s="13">
        <f t="shared" si="6"/>
        <v>0</v>
      </c>
      <c r="AI16" s="8">
        <f t="shared" si="7"/>
        <v>43617</v>
      </c>
      <c r="AJ16" s="12">
        <f>'[87]BU-2'!$E$20</f>
        <v>138770</v>
      </c>
      <c r="AK16" s="12"/>
      <c r="AL16" s="12"/>
      <c r="AM16" s="12"/>
      <c r="AN16" s="12"/>
      <c r="AO16" s="10"/>
      <c r="AP16" s="10">
        <f>'[87]BU-2'!$E$35</f>
        <v>660</v>
      </c>
      <c r="AQ16" s="12"/>
      <c r="AR16" s="51">
        <f t="shared" si="19"/>
        <v>-138770</v>
      </c>
      <c r="AS16" s="8">
        <f t="shared" si="20"/>
        <v>43617</v>
      </c>
      <c r="AT16" s="10"/>
      <c r="AU16" s="10"/>
      <c r="AV16" s="10"/>
      <c r="AW16" s="12">
        <f t="shared" si="21"/>
        <v>0</v>
      </c>
      <c r="AX16" s="10"/>
      <c r="AY16" s="20"/>
      <c r="AZ16" s="12"/>
      <c r="BA16" s="12">
        <f t="shared" si="22"/>
        <v>0</v>
      </c>
      <c r="BB16" s="13">
        <f t="shared" si="23"/>
        <v>0</v>
      </c>
      <c r="BC16" s="8">
        <f t="shared" si="8"/>
        <v>43617</v>
      </c>
      <c r="BD16" s="10">
        <f>'[87]BU-2'!$E$15</f>
        <v>186407</v>
      </c>
      <c r="BE16" s="10">
        <f>'[87]BU-3'!$F$69</f>
        <v>109647</v>
      </c>
      <c r="BF16" s="10">
        <f>'[87]BU-3'!$F$13-BE16</f>
        <v>76760</v>
      </c>
      <c r="BG16" s="10">
        <f>'[87]BU-3'!$F$41</f>
        <v>0</v>
      </c>
      <c r="BH16" s="10">
        <f t="shared" si="24"/>
        <v>186407</v>
      </c>
      <c r="BI16" s="10">
        <f>'[87]BU-2'!$E$17</f>
        <v>76760</v>
      </c>
      <c r="BJ16" s="10">
        <f>'[87]BU-3'!$F$12</f>
        <v>1547</v>
      </c>
      <c r="BK16" s="10">
        <f>'[87]BU-3'!$F$45</f>
        <v>2057</v>
      </c>
      <c r="BL16" s="10">
        <f>[88]Feuil1!$AO$40</f>
        <v>38664</v>
      </c>
      <c r="BM16" s="10">
        <f>[88]Feuil1!$AP$40</f>
        <v>34487</v>
      </c>
      <c r="BN16" s="10">
        <f t="shared" si="25"/>
        <v>76755</v>
      </c>
      <c r="BO16" s="10">
        <f>'[87]BU-2'!$E$18</f>
        <v>73151</v>
      </c>
      <c r="BP16" s="10">
        <f>[88]Feuil1!$AX$40</f>
        <v>46533</v>
      </c>
      <c r="BQ16" s="10">
        <f>'[87]BU-3'!$F$58</f>
        <v>17751</v>
      </c>
      <c r="BR16" s="10">
        <f>'[87]BU-3'!$F$44</f>
        <v>8317</v>
      </c>
      <c r="BS16" s="10"/>
      <c r="BT16" s="10">
        <f t="shared" si="9"/>
        <v>72601</v>
      </c>
      <c r="BU16" s="13">
        <f t="shared" si="26"/>
        <v>-550</v>
      </c>
      <c r="BV16" s="13">
        <f t="shared" si="27"/>
        <v>-5</v>
      </c>
      <c r="BW16" s="8">
        <f t="shared" si="10"/>
        <v>43617</v>
      </c>
      <c r="BX16" s="10">
        <f>'[87]BU-2'!$E$19</f>
        <v>7489.41</v>
      </c>
      <c r="BY16" s="10">
        <f>'[87]BU-3'!$F$46</f>
        <v>15.7</v>
      </c>
      <c r="BZ16" s="10">
        <f>'[87]BU-3'!$F$59</f>
        <v>3818.9</v>
      </c>
      <c r="CA16" s="10">
        <f>'[87]BU-3'!$F$71</f>
        <v>3654.81</v>
      </c>
      <c r="CB16" s="10">
        <f>'[87]BU-3'!$F$46</f>
        <v>15.7</v>
      </c>
      <c r="CC16" s="11">
        <f t="shared" si="28"/>
        <v>7505.11</v>
      </c>
      <c r="CD16" s="13">
        <f t="shared" si="29"/>
        <v>15.699999999999818</v>
      </c>
      <c r="CE16" s="8">
        <f t="shared" si="11"/>
        <v>43617</v>
      </c>
      <c r="CF16" s="21">
        <f t="shared" si="36"/>
        <v>52.286200000000036</v>
      </c>
      <c r="CG16" s="23">
        <f>'[15]BU-3'!$H$83</f>
        <v>0</v>
      </c>
      <c r="CH16" s="23">
        <v>0</v>
      </c>
      <c r="CI16" s="23">
        <f>'[15]BU-3'!$J$83</f>
        <v>0</v>
      </c>
      <c r="CJ16" s="21">
        <f t="shared" si="12"/>
        <v>0</v>
      </c>
      <c r="CK16" s="21">
        <f t="shared" si="13"/>
        <v>52.286200000000036</v>
      </c>
      <c r="CM16" s="8">
        <f t="shared" si="14"/>
        <v>43617</v>
      </c>
      <c r="CN16" s="11">
        <f t="shared" si="30"/>
        <v>8.8949381600000805</v>
      </c>
      <c r="CO16" s="9">
        <f>'[87]BU-3'!$H$82</f>
        <v>29.1</v>
      </c>
      <c r="CP16" s="9">
        <f>'[87]BU-3'!$J$82</f>
        <v>32.768265599999999</v>
      </c>
      <c r="CQ16" s="11">
        <f t="shared" si="31"/>
        <v>5.2266725600000825</v>
      </c>
      <c r="CR16" s="11">
        <f t="shared" si="37"/>
        <v>28.117342500000007</v>
      </c>
      <c r="CS16" s="23">
        <f>'[15]BU-3'!$H$84</f>
        <v>104.54987</v>
      </c>
      <c r="CT16" s="23">
        <f>'[15]BU-3'!$J$84</f>
        <v>98.434349749999996</v>
      </c>
      <c r="CU16" s="21">
        <f t="shared" si="32"/>
        <v>34.23286275000001</v>
      </c>
      <c r="CW16" s="8">
        <f t="shared" si="15"/>
        <v>43617</v>
      </c>
      <c r="CX16" s="12">
        <f t="shared" si="38"/>
        <v>448</v>
      </c>
      <c r="CY16" s="10"/>
      <c r="CZ16" s="10"/>
      <c r="DA16" s="10"/>
      <c r="DB16" s="12">
        <f t="shared" si="33"/>
        <v>448</v>
      </c>
      <c r="DC16" s="12">
        <f t="shared" si="39"/>
        <v>20</v>
      </c>
      <c r="DD16" s="10"/>
      <c r="DE16" s="10"/>
      <c r="DF16" s="12">
        <f t="shared" si="34"/>
        <v>20</v>
      </c>
      <c r="DG16" s="12">
        <f t="shared" si="40"/>
        <v>2290</v>
      </c>
      <c r="DH16" s="10"/>
      <c r="DI16" s="10"/>
      <c r="DJ16" s="12">
        <f t="shared" si="35"/>
        <v>2290</v>
      </c>
      <c r="DK16" s="13"/>
      <c r="DL16" s="8">
        <f t="shared" si="16"/>
        <v>43617</v>
      </c>
      <c r="DM16" s="106">
        <f>'[87]BU-4'!E35</f>
        <v>30</v>
      </c>
      <c r="DN16" s="106">
        <f>'[87]BU-4'!F35</f>
        <v>0</v>
      </c>
      <c r="DO16" s="106">
        <f>'[87]BU-4'!G35</f>
        <v>0</v>
      </c>
      <c r="DP16" s="106">
        <f>'[87]BU-4'!H35</f>
        <v>0</v>
      </c>
      <c r="DQ16" s="10"/>
      <c r="DR16" s="10"/>
      <c r="DS16" s="10"/>
      <c r="DT16" s="10"/>
      <c r="DU16" s="10"/>
      <c r="DV16" s="10"/>
      <c r="DW16" s="10"/>
      <c r="DX16" s="10"/>
    </row>
    <row r="17" spans="2:128" ht="15.95" customHeight="1" x14ac:dyDescent="0.2">
      <c r="B17" s="8">
        <v>43647</v>
      </c>
      <c r="C17" s="10">
        <f>+'[89]BU-2'!$E$10</f>
        <v>14572</v>
      </c>
      <c r="D17" s="10">
        <f>+'[89]BU-3'!$F$11</f>
        <v>6674.77</v>
      </c>
      <c r="E17" s="10">
        <f>+'[89]BU-2'!$E$28</f>
        <v>1168.511</v>
      </c>
      <c r="F17" s="10">
        <f>+'[89]BU-2'!$E$29</f>
        <v>7043.3890000000001</v>
      </c>
      <c r="G17" s="31">
        <f t="shared" si="0"/>
        <v>8211.9</v>
      </c>
      <c r="H17" s="10">
        <f>+'[89]BU-2'!$E$27</f>
        <v>314.67</v>
      </c>
      <c r="I17" s="52">
        <f t="shared" si="17"/>
        <v>0</v>
      </c>
      <c r="J17" s="8">
        <f t="shared" si="1"/>
        <v>43647</v>
      </c>
      <c r="K17" s="10">
        <f>'[89]BU-2'!$E$11</f>
        <v>86797</v>
      </c>
      <c r="L17" s="10">
        <f>'[89]BU-3'!$F$37</f>
        <v>82687</v>
      </c>
      <c r="M17" s="12">
        <f>'[89]BU-3'!$F$38</f>
        <v>4110</v>
      </c>
      <c r="N17" s="33">
        <f t="shared" si="2"/>
        <v>86797</v>
      </c>
      <c r="O17" s="12">
        <f>'[89]BU-2'!$E$30</f>
        <v>3283</v>
      </c>
      <c r="P17" s="10">
        <f>'[89]BU-2'!$E$31</f>
        <v>0</v>
      </c>
      <c r="Q17" s="33">
        <f t="shared" si="3"/>
        <v>3283</v>
      </c>
      <c r="R17" s="10">
        <f>'[89]BU-2'!$E$32</f>
        <v>667</v>
      </c>
      <c r="S17" s="10">
        <f>'[89]BU-2'!$E$33</f>
        <v>0</v>
      </c>
      <c r="T17" s="33">
        <f t="shared" si="4"/>
        <v>667</v>
      </c>
      <c r="U17" s="13">
        <f t="shared" si="18"/>
        <v>-2468</v>
      </c>
      <c r="V17" s="8">
        <f t="shared" si="5"/>
        <v>43647</v>
      </c>
      <c r="W17" s="10">
        <f>[90]Feuil1!$K$40</f>
        <v>33440</v>
      </c>
      <c r="X17" s="10">
        <f>[90]Feuil1!$L$40</f>
        <v>53348</v>
      </c>
      <c r="Y17" s="10">
        <f>[90]Feuil1!$M$40</f>
        <v>1923</v>
      </c>
      <c r="Z17" s="10">
        <f>[90]Feuil1!$N$40</f>
        <v>4110</v>
      </c>
      <c r="AA17" s="10">
        <f>[90]Feuil1!$O$40</f>
        <v>6240</v>
      </c>
      <c r="AB17" s="12">
        <f t="shared" si="41"/>
        <v>99061</v>
      </c>
      <c r="AC17" s="10">
        <f>[90]Feuil1!$Q$40</f>
        <v>79720</v>
      </c>
      <c r="AD17" s="10">
        <f>[90]Feuil1!$R$40</f>
        <v>14408</v>
      </c>
      <c r="AE17" s="10">
        <f>[90]Feuil1!$S$40</f>
        <v>0</v>
      </c>
      <c r="AF17" s="18">
        <f>[90]Feuil1!$T$40</f>
        <v>4933</v>
      </c>
      <c r="AG17" s="12">
        <f t="shared" si="42"/>
        <v>99061</v>
      </c>
      <c r="AH17" s="13">
        <f t="shared" si="6"/>
        <v>0</v>
      </c>
      <c r="AI17" s="8">
        <f t="shared" si="7"/>
        <v>43647</v>
      </c>
      <c r="AJ17" s="12">
        <f>'[89]BU-2'!$E$20</f>
        <v>144790</v>
      </c>
      <c r="AK17" s="12"/>
      <c r="AL17" s="12"/>
      <c r="AM17" s="12">
        <f t="shared" ref="AM17:AM22" si="43">SUM(AJ17:AL17)</f>
        <v>144790</v>
      </c>
      <c r="AN17" s="12"/>
      <c r="AO17" s="10"/>
      <c r="AP17" s="10">
        <f>'[89]BU-2'!$E$35</f>
        <v>7617</v>
      </c>
      <c r="AQ17" s="12">
        <f t="shared" ref="AQ17:AQ22" si="44">SUM(AN17:AP17)</f>
        <v>7617</v>
      </c>
      <c r="AR17" s="51">
        <f t="shared" si="19"/>
        <v>-137173</v>
      </c>
      <c r="AS17" s="8">
        <f t="shared" si="20"/>
        <v>43647</v>
      </c>
      <c r="AT17" s="10"/>
      <c r="AU17" s="10"/>
      <c r="AV17" s="10"/>
      <c r="AW17" s="12">
        <f t="shared" si="21"/>
        <v>0</v>
      </c>
      <c r="AX17" s="10"/>
      <c r="AY17" s="20"/>
      <c r="AZ17" s="12"/>
      <c r="BA17" s="12">
        <f t="shared" si="22"/>
        <v>0</v>
      </c>
      <c r="BB17" s="13">
        <f t="shared" si="23"/>
        <v>0</v>
      </c>
      <c r="BC17" s="8">
        <f t="shared" si="8"/>
        <v>43647</v>
      </c>
      <c r="BD17" s="10">
        <f>'[89]BU-2'!$E$15</f>
        <v>162153</v>
      </c>
      <c r="BE17" s="10">
        <f>'[89]BU-3'!$F$69</f>
        <v>98690</v>
      </c>
      <c r="BF17" s="10">
        <f>'[89]BU-3'!$F$13-BE17</f>
        <v>63464</v>
      </c>
      <c r="BG17" s="10">
        <f>'[89]BU-3'!$F$41</f>
        <v>0</v>
      </c>
      <c r="BH17" s="10">
        <f t="shared" si="24"/>
        <v>162154</v>
      </c>
      <c r="BI17" s="10">
        <f>'[89]BU-2'!$E$17</f>
        <v>63464</v>
      </c>
      <c r="BJ17" s="10">
        <f>'[89]BU-3'!$F$12</f>
        <v>1508</v>
      </c>
      <c r="BK17" s="10">
        <f>'[89]BU-3'!$F$45</f>
        <v>1804</v>
      </c>
      <c r="BL17" s="10">
        <f>[90]Feuil1!$AO$40</f>
        <v>31786</v>
      </c>
      <c r="BM17" s="10">
        <f>[90]Feuil1!$AP$40</f>
        <v>28416</v>
      </c>
      <c r="BN17" s="10">
        <f t="shared" si="25"/>
        <v>63514</v>
      </c>
      <c r="BO17" s="10">
        <f>'[87]BU-2'!$E$18</f>
        <v>73151</v>
      </c>
      <c r="BP17" s="10">
        <f>[90]Feuil1!$AX$40</f>
        <v>36157</v>
      </c>
      <c r="BQ17" s="10">
        <f>'[89]BU-3'!$F$58</f>
        <v>16981</v>
      </c>
      <c r="BR17" s="10">
        <f>'[89]BU-3'!$F$44</f>
        <v>24125</v>
      </c>
      <c r="BS17" s="10"/>
      <c r="BT17" s="10">
        <f t="shared" si="9"/>
        <v>77263</v>
      </c>
      <c r="BU17" s="13">
        <f t="shared" si="26"/>
        <v>4112</v>
      </c>
      <c r="BV17" s="13">
        <f t="shared" si="27"/>
        <v>50</v>
      </c>
      <c r="BW17" s="8">
        <f t="shared" si="10"/>
        <v>43647</v>
      </c>
      <c r="BX17" s="10">
        <f>'[89]BU-2'!$E$19</f>
        <v>7922.6580000000004</v>
      </c>
      <c r="BY17" s="10">
        <f>'[89]BU-3'!$F$46</f>
        <v>0</v>
      </c>
      <c r="BZ17" s="10">
        <f>'[89]BU-3'!$F$59</f>
        <v>3761.9789999999998</v>
      </c>
      <c r="CA17" s="10">
        <f>'[89]BU-3'!$F$71</f>
        <v>4160.6790000000001</v>
      </c>
      <c r="CB17" s="10">
        <f>'[89]BU-3'!$F$46</f>
        <v>0</v>
      </c>
      <c r="CC17" s="11">
        <f t="shared" si="28"/>
        <v>7922.6579999999994</v>
      </c>
      <c r="CD17" s="13">
        <f t="shared" si="29"/>
        <v>0</v>
      </c>
      <c r="CE17" s="8">
        <f t="shared" si="11"/>
        <v>43647</v>
      </c>
      <c r="CF17" s="21">
        <f t="shared" si="36"/>
        <v>52.286200000000036</v>
      </c>
      <c r="CG17" s="23"/>
      <c r="CH17" s="23"/>
      <c r="CI17" s="23"/>
      <c r="CJ17" s="21">
        <f t="shared" si="12"/>
        <v>0</v>
      </c>
      <c r="CK17" s="21">
        <f t="shared" si="13"/>
        <v>52.286200000000036</v>
      </c>
      <c r="CM17" s="8">
        <f t="shared" si="14"/>
        <v>43647</v>
      </c>
      <c r="CN17" s="11">
        <f t="shared" si="30"/>
        <v>5.2266725600000825</v>
      </c>
      <c r="CO17" s="9">
        <f>'[89]BU-3'!$H$82</f>
        <v>29.099999999999998</v>
      </c>
      <c r="CP17" s="9">
        <f>'[89]BU-3'!$J$82</f>
        <v>28.619334240000001</v>
      </c>
      <c r="CQ17" s="11">
        <f t="shared" si="31"/>
        <v>5.7073383200000762</v>
      </c>
      <c r="CR17" s="11">
        <f t="shared" si="37"/>
        <v>34.23286275000001</v>
      </c>
      <c r="CS17" s="23"/>
      <c r="CT17" s="23"/>
      <c r="CU17" s="21">
        <f t="shared" si="32"/>
        <v>34.23286275000001</v>
      </c>
      <c r="CW17" s="8">
        <f t="shared" si="15"/>
        <v>43647</v>
      </c>
      <c r="CX17" s="12">
        <f t="shared" si="38"/>
        <v>448</v>
      </c>
      <c r="CY17" s="10"/>
      <c r="CZ17" s="10"/>
      <c r="DA17" s="10"/>
      <c r="DB17" s="12">
        <f t="shared" si="33"/>
        <v>448</v>
      </c>
      <c r="DC17" s="12">
        <f t="shared" si="39"/>
        <v>20</v>
      </c>
      <c r="DD17" s="10"/>
      <c r="DE17" s="10"/>
      <c r="DF17" s="12">
        <f t="shared" si="34"/>
        <v>20</v>
      </c>
      <c r="DG17" s="12">
        <f t="shared" si="40"/>
        <v>2290</v>
      </c>
      <c r="DH17" s="10"/>
      <c r="DI17" s="10"/>
      <c r="DJ17" s="12">
        <f t="shared" si="35"/>
        <v>2290</v>
      </c>
      <c r="DK17" s="13"/>
      <c r="DL17" s="8">
        <f t="shared" si="16"/>
        <v>43647</v>
      </c>
      <c r="DM17" s="106">
        <f>'[89]BU-4'!E35</f>
        <v>28.590277777777782</v>
      </c>
      <c r="DN17" s="106">
        <f>'[89]BU-4'!F35</f>
        <v>0</v>
      </c>
      <c r="DO17" s="106">
        <f>'[89]BU-4'!G35</f>
        <v>2.4097222222222228</v>
      </c>
      <c r="DP17" s="106">
        <f>'[89]BU-4'!H35</f>
        <v>0</v>
      </c>
      <c r="DQ17" s="10"/>
      <c r="DR17" s="10"/>
      <c r="DS17" s="10"/>
      <c r="DT17" s="10"/>
      <c r="DU17" s="10"/>
      <c r="DV17" s="10"/>
      <c r="DW17" s="10"/>
      <c r="DX17" s="10"/>
    </row>
    <row r="18" spans="2:128" ht="15.95" customHeight="1" x14ac:dyDescent="0.2">
      <c r="B18" s="8">
        <v>43678</v>
      </c>
      <c r="C18" s="10">
        <f>+'[91]BU-2'!$E$10</f>
        <v>16456</v>
      </c>
      <c r="D18" s="10">
        <f>+'[91]BU-3'!$F$11</f>
        <v>6774.6799999999985</v>
      </c>
      <c r="E18" s="10">
        <f>+'[91]BU-2'!$E$28</f>
        <v>2111.4957801771006</v>
      </c>
      <c r="F18" s="10">
        <f>+'[91]BU-2'!$E$29</f>
        <v>7569.82421982292</v>
      </c>
      <c r="G18" s="31">
        <f t="shared" si="0"/>
        <v>9681.3200000000215</v>
      </c>
      <c r="H18" s="10">
        <f>+'[91]BU-2'!$E$27</f>
        <v>0</v>
      </c>
      <c r="I18" s="52">
        <f t="shared" si="17"/>
        <v>-2.0008883439004421E-11</v>
      </c>
      <c r="J18" s="8">
        <f t="shared" si="1"/>
        <v>43678</v>
      </c>
      <c r="K18" s="10">
        <f>'[91]BU-2'!$E$11</f>
        <v>93445</v>
      </c>
      <c r="L18" s="10">
        <f>'[91]BU-3'!$F$37</f>
        <v>91585</v>
      </c>
      <c r="M18" s="12">
        <f>'[91]BU-3'!$F$38</f>
        <v>1860</v>
      </c>
      <c r="N18" s="33">
        <f t="shared" si="2"/>
        <v>93445</v>
      </c>
      <c r="O18" s="12">
        <f>'[91]BU-2'!$E$30</f>
        <v>1369</v>
      </c>
      <c r="P18" s="10">
        <f>'[91]BU-2'!$E$31</f>
        <v>758</v>
      </c>
      <c r="Q18" s="33">
        <f t="shared" si="3"/>
        <v>2127</v>
      </c>
      <c r="R18" s="10">
        <f>'[91]BU-2'!$E$32</f>
        <v>0</v>
      </c>
      <c r="S18" s="10">
        <f>'[91]BU-2'!$E$33</f>
        <v>0</v>
      </c>
      <c r="T18" s="33">
        <f t="shared" si="4"/>
        <v>0</v>
      </c>
      <c r="U18" s="13">
        <f t="shared" si="18"/>
        <v>-2616</v>
      </c>
      <c r="V18" s="8">
        <f t="shared" si="5"/>
        <v>43678</v>
      </c>
      <c r="W18" s="10">
        <f>[92]Feuil1!$K$40</f>
        <v>36013</v>
      </c>
      <c r="X18" s="10">
        <f>[92]Feuil1!$L$40</f>
        <v>54991</v>
      </c>
      <c r="Y18" s="10">
        <f>[92]Feuil1!$M$40</f>
        <v>115</v>
      </c>
      <c r="Z18" s="10">
        <f>[92]Feuil1!$N$40</f>
        <v>1860</v>
      </c>
      <c r="AA18" s="10">
        <f>[92]Feuil1!$O$40</f>
        <v>5544</v>
      </c>
      <c r="AB18" s="12">
        <f t="shared" si="41"/>
        <v>98523</v>
      </c>
      <c r="AC18" s="10">
        <f>[92]Feuil1!$Q$40</f>
        <v>84388</v>
      </c>
      <c r="AD18" s="10">
        <f>[92]Feuil1!$R$40</f>
        <v>12070</v>
      </c>
      <c r="AE18" s="10">
        <f>[92]Feuil1!$S$40</f>
        <v>0</v>
      </c>
      <c r="AF18" s="18">
        <f>[92]Feuil1!$T$40</f>
        <v>2065</v>
      </c>
      <c r="AG18" s="12">
        <f t="shared" si="42"/>
        <v>98523</v>
      </c>
      <c r="AH18" s="13">
        <f t="shared" si="6"/>
        <v>0</v>
      </c>
      <c r="AI18" s="8">
        <f t="shared" si="7"/>
        <v>43678</v>
      </c>
      <c r="AJ18" s="12">
        <f>'[91]BU-2'!$E$20</f>
        <v>143140</v>
      </c>
      <c r="AK18" s="12"/>
      <c r="AL18" s="12"/>
      <c r="AM18" s="12">
        <f t="shared" si="43"/>
        <v>143140</v>
      </c>
      <c r="AN18" s="12"/>
      <c r="AO18" s="10"/>
      <c r="AP18" s="10">
        <f>'[91]BU-2'!$E$35</f>
        <v>0</v>
      </c>
      <c r="AQ18" s="12">
        <f t="shared" si="44"/>
        <v>0</v>
      </c>
      <c r="AR18" s="51">
        <f t="shared" si="19"/>
        <v>-143140</v>
      </c>
      <c r="AS18" s="8">
        <f t="shared" si="20"/>
        <v>43678</v>
      </c>
      <c r="AT18" s="10"/>
      <c r="AU18" s="10"/>
      <c r="AV18" s="10"/>
      <c r="AW18" s="12">
        <f t="shared" si="21"/>
        <v>0</v>
      </c>
      <c r="AX18" s="10"/>
      <c r="AY18" s="20"/>
      <c r="AZ18" s="12"/>
      <c r="BA18" s="12">
        <f t="shared" si="22"/>
        <v>0</v>
      </c>
      <c r="BB18" s="13">
        <f t="shared" si="23"/>
        <v>0</v>
      </c>
      <c r="BC18" s="8">
        <f t="shared" si="8"/>
        <v>43678</v>
      </c>
      <c r="BD18" s="10">
        <f>'[91]BU-2'!$E$15</f>
        <v>184029</v>
      </c>
      <c r="BE18" s="10">
        <f>'[91]BU-3'!$F$69</f>
        <v>108369</v>
      </c>
      <c r="BF18" s="10">
        <f>'[91]BU-3'!$F$13-BE18</f>
        <v>76010</v>
      </c>
      <c r="BG18" s="10">
        <f>'[91]BU-3'!$F$41</f>
        <v>0</v>
      </c>
      <c r="BH18" s="10">
        <f t="shared" si="24"/>
        <v>184379</v>
      </c>
      <c r="BI18" s="10">
        <f>'[91]BU-2'!$E$17</f>
        <v>76010</v>
      </c>
      <c r="BJ18" s="10">
        <f>'[91]BU-3'!$F$12</f>
        <v>1160</v>
      </c>
      <c r="BK18" s="10">
        <f>'[91]BU-3'!$F$45</f>
        <v>1951</v>
      </c>
      <c r="BL18" s="10">
        <f>[92]Feuil1!$AO$40</f>
        <v>39663</v>
      </c>
      <c r="BM18" s="10">
        <f>[92]Feuil1!$AP$40</f>
        <v>33291</v>
      </c>
      <c r="BN18" s="10">
        <f t="shared" si="25"/>
        <v>76065</v>
      </c>
      <c r="BO18" s="10">
        <f>'[91]BU-2'!$E$18</f>
        <v>72954</v>
      </c>
      <c r="BP18" s="10">
        <f>[92]Feuil1!$AX$40</f>
        <v>46869</v>
      </c>
      <c r="BQ18" s="10">
        <f>'[91]BU-3'!$F$58</f>
        <v>17550</v>
      </c>
      <c r="BR18" s="10">
        <f>'[91]BU-3'!$F$44</f>
        <v>25680</v>
      </c>
      <c r="BS18" s="10"/>
      <c r="BT18" s="10">
        <f t="shared" si="9"/>
        <v>90099</v>
      </c>
      <c r="BU18" s="13">
        <f t="shared" si="26"/>
        <v>17145</v>
      </c>
      <c r="BV18" s="13">
        <f t="shared" si="27"/>
        <v>55</v>
      </c>
      <c r="BW18" s="8">
        <f t="shared" si="10"/>
        <v>43678</v>
      </c>
      <c r="BX18" s="10">
        <f>'[91]BU-2'!$E$19</f>
        <v>8179.3860000000004</v>
      </c>
      <c r="BY18" s="10">
        <f>'[91]BU-3'!$F$46</f>
        <v>0</v>
      </c>
      <c r="BZ18" s="10">
        <f>'[91]BU-3'!$F$59</f>
        <v>3929.9569999999999</v>
      </c>
      <c r="CA18" s="10">
        <f>'[91]BU-3'!$F$71</f>
        <v>4249.4290000000001</v>
      </c>
      <c r="CB18" s="10">
        <f>'[91]BU-3'!$F$46</f>
        <v>0</v>
      </c>
      <c r="CC18" s="11">
        <f t="shared" si="28"/>
        <v>8179.3860000000004</v>
      </c>
      <c r="CD18" s="13">
        <f t="shared" si="29"/>
        <v>0</v>
      </c>
      <c r="CE18" s="8">
        <f t="shared" si="11"/>
        <v>43678</v>
      </c>
      <c r="CF18" s="21">
        <f t="shared" si="36"/>
        <v>52.286200000000036</v>
      </c>
      <c r="CG18" s="23"/>
      <c r="CH18" s="23"/>
      <c r="CI18" s="23"/>
      <c r="CJ18" s="21">
        <f t="shared" si="12"/>
        <v>0</v>
      </c>
      <c r="CK18" s="21">
        <f t="shared" si="13"/>
        <v>52.286200000000036</v>
      </c>
      <c r="CM18" s="8">
        <f t="shared" si="14"/>
        <v>43678</v>
      </c>
      <c r="CN18" s="11">
        <f t="shared" si="30"/>
        <v>5.7073383200000762</v>
      </c>
      <c r="CO18" s="9">
        <f>'[91]BU-3'!$H$82</f>
        <v>30.55</v>
      </c>
      <c r="CP18" s="9">
        <f>'[91]BU-3'!$J$82</f>
        <v>31.992664199999997</v>
      </c>
      <c r="CQ18" s="11">
        <f t="shared" si="31"/>
        <v>4.2646741200000768</v>
      </c>
      <c r="CR18" s="11">
        <f t="shared" si="37"/>
        <v>34.23286275000001</v>
      </c>
      <c r="CS18" s="23"/>
      <c r="CT18" s="23"/>
      <c r="CU18" s="21">
        <f t="shared" si="32"/>
        <v>34.23286275000001</v>
      </c>
      <c r="CW18" s="8">
        <f t="shared" si="15"/>
        <v>43678</v>
      </c>
      <c r="CX18" s="12">
        <f t="shared" si="38"/>
        <v>448</v>
      </c>
      <c r="CY18" s="10"/>
      <c r="CZ18" s="10"/>
      <c r="DA18" s="10"/>
      <c r="DB18" s="12">
        <f t="shared" si="33"/>
        <v>448</v>
      </c>
      <c r="DC18" s="12">
        <f t="shared" si="39"/>
        <v>20</v>
      </c>
      <c r="DD18" s="10"/>
      <c r="DE18" s="10"/>
      <c r="DF18" s="12">
        <f t="shared" si="34"/>
        <v>20</v>
      </c>
      <c r="DG18" s="12">
        <f t="shared" si="40"/>
        <v>2290</v>
      </c>
      <c r="DH18" s="10"/>
      <c r="DI18" s="10"/>
      <c r="DJ18" s="12">
        <f t="shared" si="35"/>
        <v>2290</v>
      </c>
      <c r="DK18" s="13"/>
      <c r="DL18" s="8">
        <f t="shared" si="16"/>
        <v>43678</v>
      </c>
      <c r="DM18" s="106">
        <f>'[91]BU-4'!E35</f>
        <v>31</v>
      </c>
      <c r="DN18" s="106">
        <f>'[91]BU-4'!F35</f>
        <v>0</v>
      </c>
      <c r="DO18" s="106">
        <f>'[91]BU-4'!G35</f>
        <v>0</v>
      </c>
      <c r="DP18" s="106">
        <f>'[91]BU-4'!H35</f>
        <v>0</v>
      </c>
      <c r="DQ18" s="10"/>
      <c r="DR18" s="10"/>
      <c r="DS18" s="10"/>
      <c r="DT18" s="10"/>
      <c r="DU18" s="10"/>
      <c r="DV18" s="10"/>
      <c r="DW18" s="10"/>
      <c r="DX18" s="10"/>
    </row>
    <row r="19" spans="2:128" ht="15.95" customHeight="1" x14ac:dyDescent="0.2">
      <c r="B19" s="8">
        <v>43709</v>
      </c>
      <c r="C19" s="10">
        <f>+'[93]BU-2'!$E$10</f>
        <v>15706</v>
      </c>
      <c r="D19" s="10">
        <f>+'[93]BU-3'!$F$11</f>
        <v>6627.3600000000006</v>
      </c>
      <c r="E19" s="10">
        <f>+'[93]BU-2'!$E$28</f>
        <v>1343.2559113927528</v>
      </c>
      <c r="F19" s="10">
        <f>+'[93]BU-2'!$E$29</f>
        <v>7932.8140886072106</v>
      </c>
      <c r="G19" s="31">
        <f t="shared" si="0"/>
        <v>9276.0699999999633</v>
      </c>
      <c r="H19" s="10">
        <f>+'[93]BU-2'!$E$27</f>
        <v>197.43</v>
      </c>
      <c r="I19" s="52">
        <f t="shared" si="17"/>
        <v>3.637978807091713E-11</v>
      </c>
      <c r="J19" s="8">
        <f t="shared" si="1"/>
        <v>43709</v>
      </c>
      <c r="K19" s="10">
        <f>'[93]BU-2'!$E$11</f>
        <v>88354</v>
      </c>
      <c r="L19" s="10">
        <f>'[93]BU-3'!$F$37</f>
        <v>85514</v>
      </c>
      <c r="M19" s="12">
        <f>'[93]BU-3'!$F$38</f>
        <v>2840</v>
      </c>
      <c r="N19" s="33">
        <f t="shared" si="2"/>
        <v>88354</v>
      </c>
      <c r="O19" s="12">
        <f>'[93]BU-2'!$E$30</f>
        <v>1616</v>
      </c>
      <c r="P19" s="10">
        <f>'[93]BU-2'!$E$31</f>
        <v>0</v>
      </c>
      <c r="Q19" s="33">
        <f t="shared" si="3"/>
        <v>1616</v>
      </c>
      <c r="R19" s="10">
        <f>'[93]BU-2'!$E$32</f>
        <v>0</v>
      </c>
      <c r="S19" s="10">
        <f>'[93]BU-2'!$E$33</f>
        <v>0</v>
      </c>
      <c r="T19" s="33">
        <f t="shared" si="4"/>
        <v>0</v>
      </c>
      <c r="U19" s="13">
        <f t="shared" si="18"/>
        <v>-2127</v>
      </c>
      <c r="V19" s="8">
        <f t="shared" si="5"/>
        <v>43709</v>
      </c>
      <c r="W19" s="10">
        <f>[94]Feuil1!$K$40</f>
        <v>34236</v>
      </c>
      <c r="X19" s="10">
        <f>[94]Feuil1!$L$40</f>
        <v>49888</v>
      </c>
      <c r="Y19" s="10">
        <f>[94]Feuil1!$M$40</f>
        <v>597</v>
      </c>
      <c r="Z19" s="10">
        <f>[94]Feuil1!$N$40</f>
        <v>2840</v>
      </c>
      <c r="AA19" s="10">
        <f>[94]Feuil1!$O$40</f>
        <v>5566</v>
      </c>
      <c r="AB19" s="12">
        <f t="shared" si="41"/>
        <v>93127</v>
      </c>
      <c r="AC19" s="10">
        <f>[94]Feuil1!$Q$40</f>
        <v>78235</v>
      </c>
      <c r="AD19" s="10">
        <f>[94]Feuil1!$R$40</f>
        <v>12119</v>
      </c>
      <c r="AE19" s="10">
        <f>[94]Feuil1!$S$40</f>
        <v>0</v>
      </c>
      <c r="AF19" s="18">
        <f>[94]Feuil1!$T$40</f>
        <v>2773</v>
      </c>
      <c r="AG19" s="12">
        <f t="shared" si="42"/>
        <v>93127</v>
      </c>
      <c r="AH19" s="13">
        <f t="shared" si="6"/>
        <v>0</v>
      </c>
      <c r="AI19" s="8">
        <f t="shared" si="7"/>
        <v>43709</v>
      </c>
      <c r="AJ19" s="12">
        <f>'[93]BU-2'!$E$20</f>
        <v>137379</v>
      </c>
      <c r="AK19" s="12"/>
      <c r="AL19" s="12"/>
      <c r="AM19" s="12">
        <f t="shared" si="43"/>
        <v>137379</v>
      </c>
      <c r="AN19" s="12"/>
      <c r="AO19" s="10"/>
      <c r="AP19" s="10">
        <f>'[93]BU-2'!$E$35</f>
        <v>198</v>
      </c>
      <c r="AQ19" s="12">
        <f t="shared" si="44"/>
        <v>198</v>
      </c>
      <c r="AR19" s="51">
        <f t="shared" si="19"/>
        <v>-137181</v>
      </c>
      <c r="AS19" s="8">
        <f t="shared" si="20"/>
        <v>43709</v>
      </c>
      <c r="AT19" s="10"/>
      <c r="AU19" s="10"/>
      <c r="AV19" s="10"/>
      <c r="AW19" s="12">
        <f t="shared" si="21"/>
        <v>0</v>
      </c>
      <c r="AX19" s="10"/>
      <c r="AY19" s="20"/>
      <c r="AZ19" s="12"/>
      <c r="BA19" s="12">
        <f t="shared" si="22"/>
        <v>0</v>
      </c>
      <c r="BB19" s="13">
        <f t="shared" si="23"/>
        <v>0</v>
      </c>
      <c r="BC19" s="8">
        <f t="shared" si="8"/>
        <v>43709</v>
      </c>
      <c r="BD19" s="10">
        <f>'[93]BU-2'!$E$15</f>
        <v>195338</v>
      </c>
      <c r="BE19" s="10">
        <f>'[93]BU-3'!$F$69</f>
        <v>130164</v>
      </c>
      <c r="BF19" s="10">
        <f>'[93]BU-3'!$F$13-BE19</f>
        <v>65174</v>
      </c>
      <c r="BG19" s="10">
        <f>'[93]BU-3'!$F$41</f>
        <v>0</v>
      </c>
      <c r="BH19" s="10">
        <f t="shared" si="24"/>
        <v>195338</v>
      </c>
      <c r="BI19" s="10">
        <f>'[93]BU-2'!$E$17</f>
        <v>65174</v>
      </c>
      <c r="BJ19" s="10">
        <f>'[93]BU-3'!$F$12</f>
        <v>1479</v>
      </c>
      <c r="BK19" s="10">
        <f>'[93]BU-3'!$F$45</f>
        <v>1784</v>
      </c>
      <c r="BL19" s="10">
        <f>[94]Feuil1!$AO$40</f>
        <v>31995</v>
      </c>
      <c r="BM19" s="10">
        <f>[94]Feuil1!$AP$40</f>
        <v>29891</v>
      </c>
      <c r="BN19" s="10">
        <f t="shared" si="25"/>
        <v>65149</v>
      </c>
      <c r="BO19" s="10">
        <f>'[93]BU-2'!$E$18</f>
        <v>61886</v>
      </c>
      <c r="BP19" s="10">
        <f>[94]Feuil1!$AX$40</f>
        <v>37571</v>
      </c>
      <c r="BQ19" s="10">
        <f>'[93]BU-3'!$F$58</f>
        <v>16728</v>
      </c>
      <c r="BR19" s="10">
        <f>'[93]BU-3'!$F$44</f>
        <v>24355</v>
      </c>
      <c r="BS19" s="10"/>
      <c r="BT19" s="10">
        <f t="shared" si="9"/>
        <v>78654</v>
      </c>
      <c r="BU19" s="13">
        <f t="shared" si="26"/>
        <v>16768</v>
      </c>
      <c r="BV19" s="13">
        <f t="shared" si="27"/>
        <v>-25</v>
      </c>
      <c r="BW19" s="8">
        <f t="shared" si="10"/>
        <v>43709</v>
      </c>
      <c r="BX19" s="10">
        <f>'[93]BU-2'!$E$19</f>
        <v>7895.52</v>
      </c>
      <c r="BY19" s="10">
        <f>'[93]BU-3'!$F$46</f>
        <v>0</v>
      </c>
      <c r="BZ19" s="10">
        <f>'[93]BU-3'!$F$59</f>
        <v>3831.0639999999999</v>
      </c>
      <c r="CA19" s="10">
        <f>'[93]BU-3'!$F$71</f>
        <v>4064.4560000000001</v>
      </c>
      <c r="CB19" s="10">
        <f>'[93]BU-3'!$F$46</f>
        <v>0</v>
      </c>
      <c r="CC19" s="11">
        <f t="shared" si="28"/>
        <v>7895.52</v>
      </c>
      <c r="CD19" s="13">
        <f t="shared" si="29"/>
        <v>0</v>
      </c>
      <c r="CE19" s="8">
        <f t="shared" si="11"/>
        <v>43709</v>
      </c>
      <c r="CF19" s="21">
        <f t="shared" si="36"/>
        <v>52.286200000000036</v>
      </c>
      <c r="CG19" s="23"/>
      <c r="CH19" s="23"/>
      <c r="CI19" s="23"/>
      <c r="CJ19" s="21">
        <f t="shared" si="12"/>
        <v>0</v>
      </c>
      <c r="CK19" s="21">
        <f t="shared" si="13"/>
        <v>52.286200000000036</v>
      </c>
      <c r="CM19" s="8">
        <f t="shared" si="14"/>
        <v>43709</v>
      </c>
      <c r="CN19" s="11">
        <f t="shared" si="30"/>
        <v>4.2646741200000768</v>
      </c>
      <c r="CO19" s="9">
        <f>'[93]BU-3'!$H$82</f>
        <v>38.96</v>
      </c>
      <c r="CP19" s="9">
        <f>'[93]BU-3'!$J$82</f>
        <v>31.024770839999999</v>
      </c>
      <c r="CQ19" s="11">
        <f t="shared" si="31"/>
        <v>12.199903280000076</v>
      </c>
      <c r="CR19" s="11">
        <f t="shared" si="37"/>
        <v>34.23286275000001</v>
      </c>
      <c r="CS19" s="23"/>
      <c r="CT19" s="23"/>
      <c r="CU19" s="21">
        <f t="shared" si="32"/>
        <v>34.23286275000001</v>
      </c>
      <c r="CW19" s="8">
        <f t="shared" si="15"/>
        <v>43709</v>
      </c>
      <c r="CX19" s="12">
        <f t="shared" si="38"/>
        <v>448</v>
      </c>
      <c r="CY19" s="10"/>
      <c r="CZ19" s="10"/>
      <c r="DA19" s="10"/>
      <c r="DB19" s="12">
        <f t="shared" si="33"/>
        <v>448</v>
      </c>
      <c r="DC19" s="12">
        <f t="shared" si="39"/>
        <v>20</v>
      </c>
      <c r="DD19" s="10"/>
      <c r="DE19" s="10"/>
      <c r="DF19" s="12">
        <f t="shared" si="34"/>
        <v>20</v>
      </c>
      <c r="DG19" s="12">
        <f t="shared" si="40"/>
        <v>2290</v>
      </c>
      <c r="DH19" s="10"/>
      <c r="DI19" s="10"/>
      <c r="DJ19" s="12">
        <f t="shared" si="35"/>
        <v>2290</v>
      </c>
      <c r="DK19" s="13"/>
      <c r="DL19" s="8">
        <f t="shared" si="16"/>
        <v>43709</v>
      </c>
      <c r="DM19" s="106">
        <f>'[93]BU-4'!E35</f>
        <v>28.981250000000003</v>
      </c>
      <c r="DN19" s="106">
        <f>'[93]BU-4'!F35</f>
        <v>0</v>
      </c>
      <c r="DO19" s="106">
        <f>'[93]BU-4'!G35</f>
        <v>0.11388888888888889</v>
      </c>
      <c r="DP19" s="106">
        <f>'[93]BU-4'!H35</f>
        <v>0.90486111111111112</v>
      </c>
      <c r="DQ19" s="10"/>
      <c r="DR19" s="10"/>
      <c r="DS19" s="10"/>
      <c r="DT19" s="10"/>
      <c r="DU19" s="10"/>
      <c r="DV19" s="10"/>
      <c r="DW19" s="10"/>
      <c r="DX19" s="10"/>
    </row>
    <row r="20" spans="2:128" ht="15.95" customHeight="1" x14ac:dyDescent="0.2">
      <c r="B20" s="8">
        <v>43739</v>
      </c>
      <c r="C20" s="10">
        <f>+'[95]BU-2'!$E$10</f>
        <v>16188</v>
      </c>
      <c r="D20" s="10">
        <f>+'[95]BU-3'!$F$11</f>
        <v>6827.0099999999966</v>
      </c>
      <c r="E20" s="10">
        <f>+'[95]BU-2'!$E$28</f>
        <v>1919.135</v>
      </c>
      <c r="F20" s="10">
        <f>+'[95]BU-2'!$E$29</f>
        <v>7530.5049999999992</v>
      </c>
      <c r="G20" s="31">
        <f t="shared" si="0"/>
        <v>9449.64</v>
      </c>
      <c r="H20" s="10">
        <f>+'[95]BU-2'!$E$27</f>
        <v>88.65</v>
      </c>
      <c r="I20" s="52">
        <f t="shared" si="17"/>
        <v>0</v>
      </c>
      <c r="J20" s="8">
        <f t="shared" si="1"/>
        <v>43739</v>
      </c>
      <c r="K20" s="10">
        <f>'[95]BU-2'!$E$11</f>
        <v>94518</v>
      </c>
      <c r="L20" s="10">
        <f>'[95]BU-3'!$F$37</f>
        <v>91918</v>
      </c>
      <c r="M20" s="12">
        <f>'[95]BU-3'!$F$38</f>
        <v>2600</v>
      </c>
      <c r="N20" s="33">
        <f t="shared" si="2"/>
        <v>94518</v>
      </c>
      <c r="O20" s="12">
        <f>'[95]BU-2'!$E$30</f>
        <v>395</v>
      </c>
      <c r="P20" s="10">
        <f>'[95]BU-2'!$E$31</f>
        <v>0</v>
      </c>
      <c r="Q20" s="33">
        <f t="shared" si="3"/>
        <v>395</v>
      </c>
      <c r="R20" s="10">
        <f>'[95]BU-2'!$E$32</f>
        <v>0</v>
      </c>
      <c r="S20" s="10">
        <f>'[95]BU-2'!$E$33</f>
        <v>0</v>
      </c>
      <c r="T20" s="33">
        <f t="shared" si="4"/>
        <v>0</v>
      </c>
      <c r="U20" s="13">
        <f t="shared" si="18"/>
        <v>-1616</v>
      </c>
      <c r="V20" s="8">
        <f t="shared" si="5"/>
        <v>43739</v>
      </c>
      <c r="W20" s="10">
        <f>[96]Feuil1!$K$40</f>
        <v>35165</v>
      </c>
      <c r="X20" s="10">
        <f>[96]Feuil1!$L$40</f>
        <v>55399</v>
      </c>
      <c r="Y20" s="10">
        <f>[96]Feuil1!$M$40</f>
        <v>0</v>
      </c>
      <c r="Z20" s="10">
        <f>[96]Feuil1!$N$40</f>
        <v>2600</v>
      </c>
      <c r="AA20" s="10">
        <f>[96]Feuil1!$O$40</f>
        <v>5860</v>
      </c>
      <c r="AB20" s="12">
        <f t="shared" si="41"/>
        <v>99024</v>
      </c>
      <c r="AC20" s="10">
        <f>[96]Feuil1!$Q$40</f>
        <v>85877</v>
      </c>
      <c r="AD20" s="10">
        <f>[96]Feuil1!$R$40</f>
        <v>12987</v>
      </c>
      <c r="AE20" s="10">
        <f>[96]Feuil1!$S$40</f>
        <v>0</v>
      </c>
      <c r="AF20" s="18">
        <f>[96]Feuil1!$T$40</f>
        <v>160</v>
      </c>
      <c r="AG20" s="12">
        <f t="shared" si="42"/>
        <v>99024</v>
      </c>
      <c r="AH20" s="13">
        <f t="shared" si="6"/>
        <v>0</v>
      </c>
      <c r="AI20" s="8">
        <f t="shared" si="7"/>
        <v>43739</v>
      </c>
      <c r="AJ20" s="12">
        <f>'[95]BU-2'!$E$20</f>
        <v>143521</v>
      </c>
      <c r="AK20" s="12"/>
      <c r="AL20" s="12"/>
      <c r="AM20" s="12">
        <f t="shared" si="43"/>
        <v>143521</v>
      </c>
      <c r="AN20" s="12"/>
      <c r="AO20" s="10"/>
      <c r="AP20" s="10">
        <f>'[95]BU-2'!$E$35</f>
        <v>682</v>
      </c>
      <c r="AQ20" s="12">
        <f t="shared" si="44"/>
        <v>682</v>
      </c>
      <c r="AR20" s="51">
        <f t="shared" si="19"/>
        <v>-142839</v>
      </c>
      <c r="AS20" s="8">
        <f t="shared" si="20"/>
        <v>43739</v>
      </c>
      <c r="AT20" s="10"/>
      <c r="AU20" s="10"/>
      <c r="AV20" s="10"/>
      <c r="AW20" s="12">
        <f t="shared" si="21"/>
        <v>0</v>
      </c>
      <c r="AX20" s="10"/>
      <c r="AY20" s="20"/>
      <c r="AZ20" s="12"/>
      <c r="BA20" s="12">
        <f t="shared" si="22"/>
        <v>0</v>
      </c>
      <c r="BB20" s="13">
        <f t="shared" si="23"/>
        <v>0</v>
      </c>
      <c r="BC20" s="8">
        <f t="shared" si="8"/>
        <v>43739</v>
      </c>
      <c r="BD20" s="10">
        <f>'[95]BU-2'!$E$15</f>
        <v>196570</v>
      </c>
      <c r="BE20" s="10">
        <f>'[95]BU-3'!$F$69</f>
        <v>151194</v>
      </c>
      <c r="BF20" s="10">
        <f>'[95]BU-3'!$F$13-BE20</f>
        <v>45376</v>
      </c>
      <c r="BG20" s="10">
        <f>'[95]BU-3'!$F$41</f>
        <v>0</v>
      </c>
      <c r="BH20" s="10">
        <f t="shared" si="24"/>
        <v>196570</v>
      </c>
      <c r="BI20" s="10">
        <f>'[95]BU-2'!$E$17</f>
        <v>45376</v>
      </c>
      <c r="BJ20" s="10">
        <f>'[95]BU-3'!$F$12</f>
        <v>1293</v>
      </c>
      <c r="BK20" s="10">
        <f>'[95]BU-3'!$F$45</f>
        <v>1324</v>
      </c>
      <c r="BL20" s="10">
        <f>[96]Feuil1!$AO$40</f>
        <v>22661</v>
      </c>
      <c r="BM20" s="10">
        <f>[96]Feuil1!$AP$40</f>
        <v>20028</v>
      </c>
      <c r="BN20" s="10">
        <f t="shared" si="25"/>
        <v>45306</v>
      </c>
      <c r="BO20" s="10">
        <f>'[95]BU-2'!$E$18</f>
        <v>42689</v>
      </c>
      <c r="BP20" s="10">
        <f>[96]Feuil1!$AX$40</f>
        <v>19402</v>
      </c>
      <c r="BQ20" s="10">
        <f>'[95]BU-3'!$F$58</f>
        <v>18039</v>
      </c>
      <c r="BR20" s="10">
        <f>'[95]BU-3'!$F$44</f>
        <v>23146</v>
      </c>
      <c r="BS20" s="10"/>
      <c r="BT20" s="10">
        <f t="shared" si="9"/>
        <v>60587</v>
      </c>
      <c r="BU20" s="13">
        <f t="shared" si="26"/>
        <v>17898</v>
      </c>
      <c r="BV20" s="13">
        <f t="shared" si="27"/>
        <v>-70</v>
      </c>
      <c r="BW20" s="8">
        <f t="shared" si="10"/>
        <v>43739</v>
      </c>
      <c r="BX20" s="10">
        <f>'[95]BU-2'!$E$19</f>
        <v>8155.4560000000001</v>
      </c>
      <c r="BY20" s="10">
        <f>'[95]BU-3'!$F$46</f>
        <v>0</v>
      </c>
      <c r="BZ20" s="10">
        <f>'[95]BU-3'!$F$59</f>
        <v>3913.9409999999998</v>
      </c>
      <c r="CA20" s="10">
        <f>'[95]BU-3'!$F$71</f>
        <v>4241.5150000000003</v>
      </c>
      <c r="CB20" s="10">
        <f>'[95]BU-3'!$F$46</f>
        <v>0</v>
      </c>
      <c r="CC20" s="11">
        <f t="shared" si="28"/>
        <v>8155.4560000000001</v>
      </c>
      <c r="CD20" s="13">
        <f t="shared" si="29"/>
        <v>0</v>
      </c>
      <c r="CE20" s="8">
        <f t="shared" si="11"/>
        <v>43739</v>
      </c>
      <c r="CF20" s="21">
        <f t="shared" si="36"/>
        <v>52.286200000000036</v>
      </c>
      <c r="CG20" s="23"/>
      <c r="CH20" s="23"/>
      <c r="CI20" s="23"/>
      <c r="CJ20" s="21">
        <f t="shared" si="12"/>
        <v>0</v>
      </c>
      <c r="CK20" s="21">
        <f t="shared" si="13"/>
        <v>52.286200000000036</v>
      </c>
      <c r="CM20" s="8">
        <f t="shared" si="14"/>
        <v>43739</v>
      </c>
      <c r="CN20" s="11">
        <f t="shared" si="30"/>
        <v>12.199903280000076</v>
      </c>
      <c r="CO20" s="9">
        <f>'[95]BU-3'!$H$82</f>
        <v>19.399999999999999</v>
      </c>
      <c r="CP20" s="9">
        <f>'[95]BU-3'!$J$82</f>
        <v>21.513109799999999</v>
      </c>
      <c r="CQ20" s="11">
        <f t="shared" si="31"/>
        <v>10.086793480000075</v>
      </c>
      <c r="CR20" s="11">
        <f t="shared" si="37"/>
        <v>34.23286275000001</v>
      </c>
      <c r="CS20" s="23"/>
      <c r="CT20" s="23"/>
      <c r="CU20" s="21">
        <f t="shared" si="32"/>
        <v>34.23286275000001</v>
      </c>
      <c r="CW20" s="8">
        <f t="shared" si="15"/>
        <v>43739</v>
      </c>
      <c r="CX20" s="12">
        <f t="shared" si="38"/>
        <v>448</v>
      </c>
      <c r="CY20" s="10"/>
      <c r="CZ20" s="10"/>
      <c r="DA20" s="10"/>
      <c r="DB20" s="12">
        <f t="shared" si="33"/>
        <v>448</v>
      </c>
      <c r="DC20" s="12">
        <f t="shared" si="39"/>
        <v>20</v>
      </c>
      <c r="DD20" s="10"/>
      <c r="DE20" s="10"/>
      <c r="DF20" s="12">
        <f t="shared" si="34"/>
        <v>20</v>
      </c>
      <c r="DG20" s="12">
        <f t="shared" si="40"/>
        <v>2290</v>
      </c>
      <c r="DH20" s="10"/>
      <c r="DI20" s="10"/>
      <c r="DJ20" s="12">
        <f t="shared" si="35"/>
        <v>2290</v>
      </c>
      <c r="DK20" s="13"/>
      <c r="DL20" s="8">
        <f t="shared" si="16"/>
        <v>43739</v>
      </c>
      <c r="DM20" s="106">
        <f>'[95]BU-4'!E35</f>
        <v>30.577777777777779</v>
      </c>
      <c r="DN20" s="106">
        <f>'[95]BU-4'!F35</f>
        <v>0</v>
      </c>
      <c r="DO20" s="106">
        <f>'[95]BU-4'!G35</f>
        <v>0.15833333333333333</v>
      </c>
      <c r="DP20" s="106">
        <f>'[95]BU-4'!H35</f>
        <v>0.2638888888888889</v>
      </c>
      <c r="DQ20" s="10"/>
      <c r="DR20" s="10"/>
      <c r="DS20" s="10"/>
      <c r="DT20" s="10"/>
      <c r="DU20" s="10"/>
      <c r="DV20" s="10"/>
      <c r="DW20" s="10"/>
      <c r="DX20" s="10"/>
    </row>
    <row r="21" spans="2:128" ht="15.95" customHeight="1" x14ac:dyDescent="0.2">
      <c r="B21" s="8">
        <v>43770</v>
      </c>
      <c r="C21" s="10">
        <f>+'[97]BU-2'!$E$10</f>
        <v>15614</v>
      </c>
      <c r="D21" s="10">
        <f>+'[97]BU-3'!$F$11</f>
        <v>6649.4800000000014</v>
      </c>
      <c r="E21" s="10">
        <f>+'[97]BU-2'!$E$28</f>
        <v>2791.3231981560257</v>
      </c>
      <c r="F21" s="10">
        <f>+'[97]BU-2'!$E$29</f>
        <v>6173.1968018439657</v>
      </c>
      <c r="G21" s="31">
        <f t="shared" si="0"/>
        <v>8964.5199999999913</v>
      </c>
      <c r="H21" s="10">
        <f>+'[97]BU-2'!$E$27</f>
        <v>0</v>
      </c>
      <c r="I21" s="52">
        <f t="shared" si="17"/>
        <v>0</v>
      </c>
      <c r="J21" s="8">
        <f t="shared" si="1"/>
        <v>43770</v>
      </c>
      <c r="K21" s="10">
        <f>'[97]BU-2'!$E$11</f>
        <v>91197</v>
      </c>
      <c r="L21" s="10">
        <f>'[97]BU-3'!$F$37</f>
        <v>89137</v>
      </c>
      <c r="M21" s="12">
        <f>'[97]BU-3'!$F$38</f>
        <v>2060</v>
      </c>
      <c r="N21" s="33">
        <f t="shared" si="2"/>
        <v>91197</v>
      </c>
      <c r="O21" s="12">
        <f>'[97]BU-2'!$E$30</f>
        <v>0</v>
      </c>
      <c r="P21" s="10">
        <f>'[97]BU-2'!$E$31</f>
        <v>20</v>
      </c>
      <c r="Q21" s="33">
        <f t="shared" si="3"/>
        <v>20</v>
      </c>
      <c r="R21" s="10">
        <f>'[97]BU-2'!$E$32</f>
        <v>0</v>
      </c>
      <c r="S21" s="10">
        <f>'[97]BU-2'!$E$33</f>
        <v>0</v>
      </c>
      <c r="T21" s="33">
        <f t="shared" si="4"/>
        <v>0</v>
      </c>
      <c r="U21" s="13">
        <f t="shared" si="18"/>
        <v>-395</v>
      </c>
      <c r="V21" s="8">
        <f t="shared" si="5"/>
        <v>43770</v>
      </c>
      <c r="W21" s="10">
        <f>[98]Feuil1!$K$40</f>
        <v>34178</v>
      </c>
      <c r="X21" s="10">
        <f>[98]Feuil1!$L$40</f>
        <v>54610</v>
      </c>
      <c r="Y21" s="10">
        <f>[98]Feuil1!$M$40</f>
        <v>0</v>
      </c>
      <c r="Z21" s="10">
        <f>[98]Feuil1!$N$40</f>
        <v>2060</v>
      </c>
      <c r="AA21" s="10">
        <f>[98]Feuil1!$O$40</f>
        <v>5341</v>
      </c>
      <c r="AB21" s="12">
        <f t="shared" si="41"/>
        <v>96189</v>
      </c>
      <c r="AC21" s="10">
        <f>[98]Feuil1!$Q$40</f>
        <v>82889</v>
      </c>
      <c r="AD21" s="10">
        <f>[98]Feuil1!$R$40</f>
        <v>12930</v>
      </c>
      <c r="AE21" s="10">
        <f>[98]Feuil1!$S$40</f>
        <v>0</v>
      </c>
      <c r="AF21" s="18">
        <f>[98]Feuil1!$T$40</f>
        <v>370</v>
      </c>
      <c r="AG21" s="12">
        <f t="shared" si="42"/>
        <v>96189</v>
      </c>
      <c r="AH21" s="13">
        <f t="shared" si="6"/>
        <v>0</v>
      </c>
      <c r="AI21" s="8">
        <f t="shared" si="7"/>
        <v>43770</v>
      </c>
      <c r="AJ21" s="12">
        <f>'[97]BU-2'!$E$20</f>
        <v>140998</v>
      </c>
      <c r="AK21" s="12"/>
      <c r="AL21" s="12"/>
      <c r="AM21" s="12">
        <f t="shared" si="43"/>
        <v>140998</v>
      </c>
      <c r="AN21" s="12"/>
      <c r="AO21" s="10"/>
      <c r="AP21" s="10">
        <f>'[97]BU-2'!$E$35</f>
        <v>3207</v>
      </c>
      <c r="AQ21" s="12">
        <f t="shared" si="44"/>
        <v>3207</v>
      </c>
      <c r="AR21" s="51">
        <f t="shared" si="19"/>
        <v>-137791</v>
      </c>
      <c r="AS21" s="8">
        <f t="shared" si="20"/>
        <v>43770</v>
      </c>
      <c r="AT21" s="10"/>
      <c r="AU21" s="10"/>
      <c r="AV21" s="10"/>
      <c r="AW21" s="12">
        <f t="shared" si="21"/>
        <v>0</v>
      </c>
      <c r="AX21" s="10"/>
      <c r="AY21" s="20"/>
      <c r="AZ21" s="12"/>
      <c r="BA21" s="12">
        <f t="shared" si="22"/>
        <v>0</v>
      </c>
      <c r="BB21" s="13">
        <f t="shared" si="23"/>
        <v>0</v>
      </c>
      <c r="BC21" s="8">
        <f t="shared" si="8"/>
        <v>43770</v>
      </c>
      <c r="BD21" s="10">
        <f>'[97]BU-2'!$E$15</f>
        <v>183340</v>
      </c>
      <c r="BE21" s="10">
        <f>'[97]BU-3'!$F$69</f>
        <v>134975</v>
      </c>
      <c r="BF21" s="10">
        <f>'[97]BU-3'!$F$13-BE21</f>
        <v>48365</v>
      </c>
      <c r="BG21" s="10">
        <f>'[97]BU-3'!$F$41</f>
        <v>0</v>
      </c>
      <c r="BH21" s="10">
        <f t="shared" si="24"/>
        <v>183340</v>
      </c>
      <c r="BI21" s="10">
        <f>'[97]BU-2'!$E$17</f>
        <v>48365</v>
      </c>
      <c r="BJ21" s="10">
        <f>'[97]BU-3'!$F$12</f>
        <v>1181</v>
      </c>
      <c r="BK21" s="10">
        <f>'[97]BU-3'!$F$45</f>
        <v>1420</v>
      </c>
      <c r="BL21" s="10">
        <f>[98]Feuil1!$AO$40</f>
        <v>24803</v>
      </c>
      <c r="BM21" s="10">
        <f>[98]Feuil1!$AP$40</f>
        <v>20941</v>
      </c>
      <c r="BN21" s="10">
        <f t="shared" si="25"/>
        <v>48345</v>
      </c>
      <c r="BO21" s="10">
        <f>'[97]BU-2'!$E$18</f>
        <v>45744</v>
      </c>
      <c r="BP21" s="10">
        <f>[98]Feuil1!$AX$40</f>
        <v>22377</v>
      </c>
      <c r="BQ21" s="10">
        <f>'[97]BU-3'!$F$58</f>
        <v>17838</v>
      </c>
      <c r="BR21" s="10">
        <f>'[97]BU-3'!$F$44</f>
        <v>23247</v>
      </c>
      <c r="BS21" s="10"/>
      <c r="BT21" s="10">
        <f t="shared" si="9"/>
        <v>63462</v>
      </c>
      <c r="BU21" s="13">
        <f t="shared" si="26"/>
        <v>17718</v>
      </c>
      <c r="BV21" s="13">
        <f t="shared" si="27"/>
        <v>-20</v>
      </c>
      <c r="BW21" s="8">
        <f t="shared" si="10"/>
        <v>43770</v>
      </c>
      <c r="BX21" s="10">
        <f>'[97]BU-2'!$E$19</f>
        <v>7543.7340000000004</v>
      </c>
      <c r="BY21" s="10">
        <f>'[97]BU-3'!$F$46</f>
        <v>0</v>
      </c>
      <c r="BZ21" s="10">
        <f>'[97]BU-3'!$F$59</f>
        <v>3840.0050000000001</v>
      </c>
      <c r="CA21" s="10">
        <f>'[97]BU-3'!$F$71</f>
        <v>3703.7289999999998</v>
      </c>
      <c r="CB21" s="10">
        <f>'[97]BU-3'!$F$46</f>
        <v>0</v>
      </c>
      <c r="CC21" s="11">
        <f t="shared" si="28"/>
        <v>7543.7340000000004</v>
      </c>
      <c r="CD21" s="13">
        <f t="shared" si="29"/>
        <v>0</v>
      </c>
      <c r="CE21" s="8">
        <f t="shared" si="11"/>
        <v>43770</v>
      </c>
      <c r="CF21" s="21">
        <f t="shared" si="36"/>
        <v>52.286200000000036</v>
      </c>
      <c r="CG21" s="23"/>
      <c r="CH21" s="23"/>
      <c r="CI21" s="23"/>
      <c r="CJ21" s="21">
        <f t="shared" si="12"/>
        <v>0</v>
      </c>
      <c r="CK21" s="21">
        <f t="shared" si="13"/>
        <v>52.286200000000036</v>
      </c>
      <c r="CM21" s="8">
        <f t="shared" si="14"/>
        <v>43770</v>
      </c>
      <c r="CN21" s="11">
        <f t="shared" si="30"/>
        <v>10.086793480000075</v>
      </c>
      <c r="CO21" s="9">
        <f>'[97]BU-3'!$H$82</f>
        <v>19.440000000000001</v>
      </c>
      <c r="CP21" s="9">
        <f>'[97]BU-3'!$J$82</f>
        <v>22.789099199999999</v>
      </c>
      <c r="CQ21" s="11">
        <f t="shared" si="31"/>
        <v>6.7376942800000776</v>
      </c>
      <c r="CR21" s="11">
        <f t="shared" si="37"/>
        <v>34.23286275000001</v>
      </c>
      <c r="CS21" s="23"/>
      <c r="CT21" s="23"/>
      <c r="CU21" s="21">
        <f t="shared" si="32"/>
        <v>34.23286275000001</v>
      </c>
      <c r="CW21" s="8">
        <f t="shared" si="15"/>
        <v>43770</v>
      </c>
      <c r="CX21" s="12">
        <f t="shared" si="38"/>
        <v>448</v>
      </c>
      <c r="CY21" s="10"/>
      <c r="CZ21" s="10"/>
      <c r="DA21" s="10"/>
      <c r="DB21" s="12">
        <f t="shared" si="33"/>
        <v>448</v>
      </c>
      <c r="DC21" s="12">
        <f t="shared" si="39"/>
        <v>20</v>
      </c>
      <c r="DD21" s="10"/>
      <c r="DE21" s="10"/>
      <c r="DF21" s="12">
        <f t="shared" si="34"/>
        <v>20</v>
      </c>
      <c r="DG21" s="12">
        <f t="shared" si="40"/>
        <v>2290</v>
      </c>
      <c r="DH21" s="10"/>
      <c r="DI21" s="10"/>
      <c r="DJ21" s="12">
        <f t="shared" si="35"/>
        <v>2290</v>
      </c>
      <c r="DK21" s="13"/>
      <c r="DL21" s="8">
        <f t="shared" si="16"/>
        <v>43770</v>
      </c>
      <c r="DM21" s="106">
        <f>'[97]BU-4'!E35</f>
        <v>30</v>
      </c>
      <c r="DN21" s="106">
        <f>'[97]BU-4'!F35</f>
        <v>0</v>
      </c>
      <c r="DO21" s="106">
        <f>'[97]BU-4'!G35</f>
        <v>0</v>
      </c>
      <c r="DP21" s="106">
        <f>'[97]BU-4'!H35</f>
        <v>0</v>
      </c>
      <c r="DQ21" s="10"/>
      <c r="DR21" s="10"/>
      <c r="DS21" s="10"/>
      <c r="DT21" s="10"/>
      <c r="DU21" s="10"/>
      <c r="DV21" s="10"/>
      <c r="DW21" s="10"/>
      <c r="DX21" s="10"/>
    </row>
    <row r="22" spans="2:128" ht="15.95" customHeight="1" x14ac:dyDescent="0.2">
      <c r="B22" s="8">
        <v>43800</v>
      </c>
      <c r="C22" s="10">
        <f>+'[99]BU-2'!$E$10</f>
        <v>15674</v>
      </c>
      <c r="D22" s="10">
        <f>+'[99]BU-3'!$F$11</f>
        <v>6520.6700000000019</v>
      </c>
      <c r="E22" s="10">
        <f>+'[99]BU-2'!$E$28</f>
        <v>4304.1381908188578</v>
      </c>
      <c r="F22" s="10">
        <f>+'[99]BU-2'!$E$29</f>
        <v>5022.1918091811585</v>
      </c>
      <c r="G22" s="31">
        <f t="shared" si="0"/>
        <v>9326.3300000000163</v>
      </c>
      <c r="H22" s="10">
        <f>+'[99]BU-2'!$E$27</f>
        <v>173</v>
      </c>
      <c r="I22" s="52">
        <f t="shared" si="17"/>
        <v>-1.8189894035458565E-11</v>
      </c>
      <c r="J22" s="8">
        <f t="shared" si="1"/>
        <v>43800</v>
      </c>
      <c r="K22" s="10">
        <f>'[99]BU-2'!$E$11</f>
        <v>87163</v>
      </c>
      <c r="L22" s="10">
        <f>'[99]BU-3'!$F$37</f>
        <v>85603</v>
      </c>
      <c r="M22" s="12">
        <f>'[99]BU-3'!$F$38</f>
        <v>1560</v>
      </c>
      <c r="N22" s="33">
        <f t="shared" si="2"/>
        <v>87163</v>
      </c>
      <c r="O22" s="12">
        <f>'[99]BU-2'!$E$30</f>
        <v>0</v>
      </c>
      <c r="P22" s="10">
        <f>'[99]BU-2'!$E$31</f>
        <v>0</v>
      </c>
      <c r="Q22" s="33">
        <f t="shared" si="3"/>
        <v>0</v>
      </c>
      <c r="R22" s="10">
        <f>'[99]BU-2'!$E$32</f>
        <v>564</v>
      </c>
      <c r="S22" s="10">
        <f>'[99]BU-2'!$E$33</f>
        <v>0</v>
      </c>
      <c r="T22" s="33">
        <f t="shared" si="4"/>
        <v>564</v>
      </c>
      <c r="U22" s="13">
        <f t="shared" si="18"/>
        <v>-20</v>
      </c>
      <c r="V22" s="8">
        <f t="shared" si="5"/>
        <v>43800</v>
      </c>
      <c r="W22" s="10">
        <f>[100]Feuil1!$K$40</f>
        <v>32971</v>
      </c>
      <c r="X22" s="10">
        <f>[100]Feuil1!$L$40</f>
        <v>49194</v>
      </c>
      <c r="Y22" s="10">
        <f>[100]Feuil1!$M$40</f>
        <v>171</v>
      </c>
      <c r="Z22" s="10">
        <f>[100]Feuil1!$N$40</f>
        <v>1560</v>
      </c>
      <c r="AA22" s="10">
        <f>[100]Feuil1!$O$40</f>
        <v>5367</v>
      </c>
      <c r="AB22" s="12">
        <f t="shared" si="41"/>
        <v>89263</v>
      </c>
      <c r="AC22" s="10">
        <f>[100]Feuil1!$Q$40</f>
        <v>76653</v>
      </c>
      <c r="AD22" s="10">
        <f>[100]Feuil1!$R$40</f>
        <v>11827</v>
      </c>
      <c r="AE22" s="10">
        <f>[100]Feuil1!$S$40</f>
        <v>0</v>
      </c>
      <c r="AF22" s="18">
        <f>[100]Feuil1!$T$40</f>
        <v>783</v>
      </c>
      <c r="AG22" s="12">
        <f t="shared" si="42"/>
        <v>89263</v>
      </c>
      <c r="AH22" s="13">
        <f t="shared" si="6"/>
        <v>0</v>
      </c>
      <c r="AI22" s="8">
        <f t="shared" si="7"/>
        <v>43800</v>
      </c>
      <c r="AJ22" s="12">
        <f>'[99]BU-2'!$E$20</f>
        <v>134646</v>
      </c>
      <c r="AK22" s="12"/>
      <c r="AL22" s="12"/>
      <c r="AM22" s="12">
        <f t="shared" si="43"/>
        <v>134646</v>
      </c>
      <c r="AN22" s="12"/>
      <c r="AO22" s="10"/>
      <c r="AP22" s="10">
        <f>'[99]BU-2'!$E$35</f>
        <v>1806</v>
      </c>
      <c r="AQ22" s="12">
        <f t="shared" si="44"/>
        <v>1806</v>
      </c>
      <c r="AR22" s="51">
        <f t="shared" si="19"/>
        <v>-132840</v>
      </c>
      <c r="AS22" s="8">
        <f t="shared" si="20"/>
        <v>43800</v>
      </c>
      <c r="AT22" s="10"/>
      <c r="AU22" s="10"/>
      <c r="AV22" s="10"/>
      <c r="AW22" s="12">
        <f t="shared" si="21"/>
        <v>0</v>
      </c>
      <c r="AX22" s="10"/>
      <c r="AY22" s="20"/>
      <c r="AZ22" s="12"/>
      <c r="BA22" s="12">
        <f t="shared" si="22"/>
        <v>0</v>
      </c>
      <c r="BB22" s="13">
        <f t="shared" si="23"/>
        <v>0</v>
      </c>
      <c r="BC22" s="8">
        <f t="shared" si="8"/>
        <v>43800</v>
      </c>
      <c r="BD22" s="10">
        <f>'[99]BU-2'!$E$15</f>
        <v>181805</v>
      </c>
      <c r="BE22" s="10">
        <f>'[99]BU-3'!$F$69</f>
        <v>134825</v>
      </c>
      <c r="BF22" s="10">
        <f>'[99]BU-3'!$F$13-BE22</f>
        <v>46980</v>
      </c>
      <c r="BG22" s="10">
        <f>'[99]BU-3'!$F$41</f>
        <v>0</v>
      </c>
      <c r="BH22" s="10">
        <f t="shared" si="24"/>
        <v>181805</v>
      </c>
      <c r="BI22" s="10">
        <f>'[99]BU-2'!$E$17</f>
        <v>46980</v>
      </c>
      <c r="BJ22" s="10">
        <f>'[99]BU-3'!$F$12</f>
        <v>1432</v>
      </c>
      <c r="BK22" s="10">
        <f>'[99]BU-3'!$F$45</f>
        <v>1383</v>
      </c>
      <c r="BL22" s="10">
        <f>[100]Feuil1!$AO$40</f>
        <v>22979</v>
      </c>
      <c r="BM22" s="10">
        <f>[100]Feuil1!$AP$40</f>
        <v>21231</v>
      </c>
      <c r="BN22" s="10">
        <f t="shared" si="25"/>
        <v>47025</v>
      </c>
      <c r="BO22" s="10">
        <f>'[99]BU-2'!$E$18</f>
        <v>44210</v>
      </c>
      <c r="BP22" s="10">
        <f>[100]Feuil1!$AX$40</f>
        <v>21011</v>
      </c>
      <c r="BQ22" s="10">
        <f>'[99]BU-3'!$F$58</f>
        <v>17349</v>
      </c>
      <c r="BR22" s="10">
        <f>'[99]BU-3'!$F$44</f>
        <v>22785</v>
      </c>
      <c r="BS22" s="10"/>
      <c r="BT22" s="10">
        <f t="shared" si="9"/>
        <v>61145</v>
      </c>
      <c r="BU22" s="13">
        <f t="shared" si="26"/>
        <v>16935</v>
      </c>
      <c r="BV22" s="13">
        <f t="shared" si="27"/>
        <v>45</v>
      </c>
      <c r="BW22" s="8">
        <f t="shared" si="10"/>
        <v>43800</v>
      </c>
      <c r="BX22" s="10">
        <f>'[99]BU-2'!$E$19</f>
        <v>7596.9229999999998</v>
      </c>
      <c r="BY22" s="10">
        <f>'[99]BU-3'!$F$46</f>
        <v>0</v>
      </c>
      <c r="BZ22" s="10">
        <f>'[99]BU-3'!$F$59</f>
        <v>3979.4940000000001</v>
      </c>
      <c r="CA22" s="10">
        <f>'[99]BU-3'!$F$71</f>
        <v>3617.4290000000001</v>
      </c>
      <c r="CB22" s="10">
        <f>'[99]BU-3'!$F$46</f>
        <v>0</v>
      </c>
      <c r="CC22" s="11">
        <f t="shared" si="28"/>
        <v>7596.9230000000007</v>
      </c>
      <c r="CD22" s="13">
        <f t="shared" si="29"/>
        <v>0</v>
      </c>
      <c r="CE22" s="8">
        <f t="shared" si="11"/>
        <v>43800</v>
      </c>
      <c r="CF22" s="21">
        <f t="shared" si="36"/>
        <v>52.286200000000036</v>
      </c>
      <c r="CG22" s="23"/>
      <c r="CH22" s="23"/>
      <c r="CI22" s="23"/>
      <c r="CJ22" s="21">
        <f t="shared" si="12"/>
        <v>0</v>
      </c>
      <c r="CK22" s="21">
        <f t="shared" si="13"/>
        <v>52.286200000000036</v>
      </c>
      <c r="CM22" s="8">
        <f t="shared" si="14"/>
        <v>43800</v>
      </c>
      <c r="CN22" s="11">
        <f t="shared" si="30"/>
        <v>6.7376942800000776</v>
      </c>
      <c r="CO22" s="9">
        <f>'[99]BU-3'!$H$82</f>
        <v>29.3</v>
      </c>
      <c r="CP22" s="9">
        <f>'[99]BU-3'!$J$82</f>
        <v>22.789099199999999</v>
      </c>
      <c r="CQ22" s="11">
        <f t="shared" si="31"/>
        <v>13.248595080000083</v>
      </c>
      <c r="CR22" s="11">
        <f>+CU21</f>
        <v>34.23286275000001</v>
      </c>
      <c r="CS22" s="23"/>
      <c r="CT22" s="23"/>
      <c r="CU22" s="21">
        <f t="shared" si="32"/>
        <v>34.23286275000001</v>
      </c>
      <c r="CW22" s="8">
        <f t="shared" si="15"/>
        <v>43800</v>
      </c>
      <c r="CX22" s="12">
        <f t="shared" si="38"/>
        <v>448</v>
      </c>
      <c r="CY22" s="10"/>
      <c r="CZ22" s="10"/>
      <c r="DA22" s="10"/>
      <c r="DB22" s="12">
        <f t="shared" si="33"/>
        <v>448</v>
      </c>
      <c r="DC22" s="12">
        <f t="shared" si="39"/>
        <v>20</v>
      </c>
      <c r="DD22" s="10"/>
      <c r="DE22" s="10"/>
      <c r="DF22" s="12">
        <f t="shared" si="34"/>
        <v>20</v>
      </c>
      <c r="DG22" s="12">
        <f t="shared" si="40"/>
        <v>2290</v>
      </c>
      <c r="DH22" s="10"/>
      <c r="DI22" s="10"/>
      <c r="DJ22" s="12">
        <f t="shared" si="35"/>
        <v>2290</v>
      </c>
      <c r="DK22" s="13"/>
      <c r="DL22" s="8">
        <f t="shared" si="16"/>
        <v>43800</v>
      </c>
      <c r="DM22" s="106">
        <f>'[99]BU-4'!E35</f>
        <v>29.288888888888888</v>
      </c>
      <c r="DN22" s="106">
        <f>'[99]BU-4'!F35</f>
        <v>0</v>
      </c>
      <c r="DO22" s="106">
        <f>'[99]BU-4'!G35</f>
        <v>0</v>
      </c>
      <c r="DP22" s="106">
        <f>'[99]BU-4'!H35</f>
        <v>1.711111111111111</v>
      </c>
      <c r="DQ22" s="10"/>
      <c r="DR22" s="10"/>
      <c r="DS22" s="10"/>
      <c r="DT22" s="10"/>
      <c r="DU22" s="10"/>
      <c r="DV22" s="10"/>
      <c r="DW22" s="10"/>
      <c r="DX22" s="10"/>
    </row>
    <row r="23" spans="2:128" ht="15.95" customHeight="1" x14ac:dyDescent="0.25">
      <c r="B23" s="30" t="s">
        <v>5</v>
      </c>
      <c r="C23" s="31">
        <f>SUM(C11:C22)</f>
        <v>193509</v>
      </c>
      <c r="D23" s="31">
        <f>SUM(D11:D22)</f>
        <v>79850.07100000004</v>
      </c>
      <c r="E23" s="31">
        <f>SUM(E11:E22)</f>
        <v>23934.819987511437</v>
      </c>
      <c r="F23" s="31">
        <f>SUM(F11:F22)</f>
        <v>91307.850012488576</v>
      </c>
      <c r="G23" s="31">
        <f t="shared" ref="G23" si="45">SUM(E23:F23)</f>
        <v>115242.67000000001</v>
      </c>
      <c r="H23" s="31">
        <f>SUM(H11:H22)</f>
        <v>1583.7400000000002</v>
      </c>
      <c r="I23"/>
      <c r="J23" s="8" t="s">
        <v>5</v>
      </c>
      <c r="K23" s="31">
        <f>SUM(K11:K22)</f>
        <v>1088961</v>
      </c>
      <c r="L23" s="31">
        <f t="shared" ref="L23:T23" si="46">SUM(L11:L22)</f>
        <v>1054263</v>
      </c>
      <c r="M23" s="31">
        <f t="shared" si="46"/>
        <v>34874</v>
      </c>
      <c r="N23" s="31">
        <f t="shared" si="46"/>
        <v>1089137</v>
      </c>
      <c r="O23" s="31">
        <f t="shared" si="46"/>
        <v>14096</v>
      </c>
      <c r="P23" s="31">
        <f t="shared" si="46"/>
        <v>1180</v>
      </c>
      <c r="Q23" s="31">
        <f t="shared" si="46"/>
        <v>15276</v>
      </c>
      <c r="R23" s="31">
        <f t="shared" si="46"/>
        <v>3232</v>
      </c>
      <c r="S23" s="31">
        <f t="shared" si="46"/>
        <v>0</v>
      </c>
      <c r="T23" s="31">
        <f t="shared" si="46"/>
        <v>3232</v>
      </c>
      <c r="U23" s="13">
        <f t="shared" si="18"/>
        <v>564</v>
      </c>
      <c r="V23" s="8" t="s">
        <v>5</v>
      </c>
      <c r="W23" s="12">
        <f>SUM(W11:W22)</f>
        <v>411539</v>
      </c>
      <c r="X23" s="12">
        <f>SUM(X11:X22)</f>
        <v>624295</v>
      </c>
      <c r="Y23" s="12"/>
      <c r="Z23" s="12">
        <f>SUM(W23:X23)</f>
        <v>1035834</v>
      </c>
      <c r="AA23" s="12" t="e">
        <f>+#REF!</f>
        <v>#REF!</v>
      </c>
      <c r="AB23" s="12">
        <f>SUM(AB11:AB22)</f>
        <v>1163277</v>
      </c>
      <c r="AC23" s="12">
        <f t="shared" ref="AC23:AD23" si="47">SUM(AC11:AC22)</f>
        <v>959850</v>
      </c>
      <c r="AD23" s="12">
        <f t="shared" si="47"/>
        <v>178003</v>
      </c>
      <c r="AE23" s="12">
        <f>SUM(AE11:AE22)</f>
        <v>766</v>
      </c>
      <c r="AF23" s="12">
        <f>SUM(AF11:AF22)</f>
        <v>24658</v>
      </c>
      <c r="AG23" s="12">
        <f t="shared" ref="AG23" si="48">SUM(AC23:AE23)</f>
        <v>1138619</v>
      </c>
      <c r="AI23" s="8" t="s">
        <v>5</v>
      </c>
      <c r="AJ23" s="12">
        <f>SUM(AJ11:AJ22)</f>
        <v>1694872</v>
      </c>
      <c r="AK23" s="12">
        <f t="shared" ref="AK23:BA23" si="49">SUM(AK11:AK22)</f>
        <v>9226</v>
      </c>
      <c r="AL23" s="12">
        <f t="shared" si="49"/>
        <v>0</v>
      </c>
      <c r="AM23" s="12">
        <f>SUM(AM11:AM22)</f>
        <v>994646</v>
      </c>
      <c r="AN23" s="12">
        <f t="shared" si="49"/>
        <v>111021</v>
      </c>
      <c r="AO23" s="12">
        <f t="shared" si="49"/>
        <v>4690</v>
      </c>
      <c r="AP23" s="12">
        <f t="shared" si="49"/>
        <v>27989</v>
      </c>
      <c r="AQ23" s="11">
        <f t="shared" si="49"/>
        <v>130468</v>
      </c>
      <c r="AR23"/>
      <c r="AS23" s="8" t="s">
        <v>5</v>
      </c>
      <c r="AT23" s="12">
        <f t="shared" si="49"/>
        <v>37186</v>
      </c>
      <c r="AU23" s="12">
        <f t="shared" si="49"/>
        <v>22879</v>
      </c>
      <c r="AV23" s="12">
        <f t="shared" si="49"/>
        <v>15135.2</v>
      </c>
      <c r="AW23" s="12">
        <f t="shared" si="49"/>
        <v>75200.2</v>
      </c>
      <c r="AX23" s="12">
        <f t="shared" si="49"/>
        <v>14210</v>
      </c>
      <c r="AY23" s="12">
        <f t="shared" si="49"/>
        <v>29721</v>
      </c>
      <c r="AZ23" s="12">
        <f t="shared" si="49"/>
        <v>31269</v>
      </c>
      <c r="BA23" s="12">
        <f t="shared" si="49"/>
        <v>75200</v>
      </c>
      <c r="BC23" s="8" t="s">
        <v>5</v>
      </c>
      <c r="BD23" s="12">
        <f>SUM(BD11:BD22)</f>
        <v>2173537</v>
      </c>
      <c r="BE23" s="12">
        <f t="shared" ref="BE23:BS23" si="50">SUM(BE11:BE22)</f>
        <v>1518182</v>
      </c>
      <c r="BF23" s="12">
        <f t="shared" si="50"/>
        <v>655706</v>
      </c>
      <c r="BG23" s="12">
        <f t="shared" si="50"/>
        <v>90</v>
      </c>
      <c r="BH23" s="12">
        <f>SUM(BH11:BH22)</f>
        <v>2173978</v>
      </c>
      <c r="BI23" s="12">
        <f t="shared" si="50"/>
        <v>655616</v>
      </c>
      <c r="BJ23" s="12">
        <f t="shared" si="50"/>
        <v>15173</v>
      </c>
      <c r="BK23" s="12">
        <f t="shared" si="50"/>
        <v>18711</v>
      </c>
      <c r="BL23" s="12">
        <f t="shared" si="50"/>
        <v>331020</v>
      </c>
      <c r="BM23" s="12">
        <f t="shared" si="50"/>
        <v>292030</v>
      </c>
      <c r="BN23" s="12">
        <f>SUM(BN11:BN22)</f>
        <v>656934</v>
      </c>
      <c r="BO23" s="12">
        <f t="shared" si="50"/>
        <v>635999</v>
      </c>
      <c r="BP23" s="12">
        <f t="shared" si="50"/>
        <v>336749</v>
      </c>
      <c r="BQ23" s="12">
        <f t="shared" si="50"/>
        <v>214450</v>
      </c>
      <c r="BR23" s="12">
        <f t="shared" si="50"/>
        <v>175176</v>
      </c>
      <c r="BS23" s="12">
        <f t="shared" si="50"/>
        <v>0</v>
      </c>
      <c r="BT23" s="12">
        <f>SUM(BT11:BT22)</f>
        <v>726375</v>
      </c>
      <c r="BW23" s="8" t="s">
        <v>5</v>
      </c>
      <c r="BX23" s="12">
        <f t="shared" ref="BX23:CC23" si="51">SUM(BX11:BX22)</f>
        <v>95212.26</v>
      </c>
      <c r="BY23" s="12">
        <f t="shared" si="51"/>
        <v>15.7</v>
      </c>
      <c r="BZ23" s="12">
        <f t="shared" si="51"/>
        <v>47251.623999999996</v>
      </c>
      <c r="CA23" s="12">
        <f t="shared" si="51"/>
        <v>47944.936000000002</v>
      </c>
      <c r="CB23" s="12">
        <f t="shared" si="51"/>
        <v>15.7</v>
      </c>
      <c r="CC23" s="12">
        <f t="shared" si="51"/>
        <v>95227.959999999992</v>
      </c>
      <c r="CE23" s="8" t="s">
        <v>5</v>
      </c>
      <c r="CF23" s="21">
        <f>+CF11</f>
        <v>53.420200000000023</v>
      </c>
      <c r="CG23" s="21">
        <f t="shared" ref="CG23:CJ23" si="52">SUM(CG11:CG22)</f>
        <v>150</v>
      </c>
      <c r="CH23" s="21">
        <f t="shared" si="52"/>
        <v>0</v>
      </c>
      <c r="CI23" s="21">
        <f t="shared" si="52"/>
        <v>151.13399999999999</v>
      </c>
      <c r="CJ23" s="21">
        <f t="shared" si="52"/>
        <v>151.13399999999999</v>
      </c>
      <c r="CK23" s="21">
        <f t="shared" si="13"/>
        <v>52.286200000000036</v>
      </c>
      <c r="CM23" s="8" t="s">
        <v>5</v>
      </c>
      <c r="CN23" s="11">
        <f>+CN11</f>
        <v>21.661638520000082</v>
      </c>
      <c r="CO23" s="21">
        <f>SUM(CO11:CO22)</f>
        <v>273.71000000000004</v>
      </c>
      <c r="CP23" s="21">
        <f>SUM(CP11:CP22)</f>
        <v>282.12304344</v>
      </c>
      <c r="CQ23" s="11" t="e">
        <f>+CN23+CO23-CP23-#REF!</f>
        <v>#REF!</v>
      </c>
      <c r="CR23" s="11">
        <f>+CR11</f>
        <v>13.57</v>
      </c>
      <c r="CS23" s="21">
        <f>SUM(CS11:CS22)</f>
        <v>539.81779937500005</v>
      </c>
      <c r="CT23" s="21">
        <f>SUM(CT11:CT22)</f>
        <v>519.154936625</v>
      </c>
      <c r="CU23" s="21">
        <f t="shared" si="32"/>
        <v>34.232862750000095</v>
      </c>
      <c r="CW23" s="8" t="s">
        <v>5</v>
      </c>
      <c r="CX23" s="12">
        <f>+CX11</f>
        <v>448</v>
      </c>
      <c r="CY23" s="12">
        <f>SUM(CY11:CY22)</f>
        <v>0</v>
      </c>
      <c r="CZ23" s="12">
        <f>SUM(CZ11:CZ22)</f>
        <v>0</v>
      </c>
      <c r="DA23" s="12">
        <f>SUM(DA11:DA22)</f>
        <v>0</v>
      </c>
      <c r="DB23" s="12">
        <f t="shared" si="33"/>
        <v>448</v>
      </c>
      <c r="DC23" s="12">
        <f>+DC11</f>
        <v>20</v>
      </c>
      <c r="DD23" s="12">
        <f>SUM(DD11:DD22)</f>
        <v>0</v>
      </c>
      <c r="DE23" s="12">
        <f>SUM(DE11:DE22)</f>
        <v>0</v>
      </c>
      <c r="DF23" s="12">
        <f t="shared" si="34"/>
        <v>20</v>
      </c>
      <c r="DG23" s="12">
        <f>+DG11</f>
        <v>2290</v>
      </c>
      <c r="DH23" s="12">
        <f>SUM(DH11:DH22)</f>
        <v>0</v>
      </c>
      <c r="DI23" s="12">
        <f>SUM(DI11:DI22)</f>
        <v>0</v>
      </c>
      <c r="DJ23" s="12">
        <f t="shared" si="35"/>
        <v>2290</v>
      </c>
      <c r="DK23" s="13"/>
      <c r="DL23" s="8" t="s">
        <v>5</v>
      </c>
      <c r="DM23" s="107">
        <f>SUM(DM11:DM22)</f>
        <v>354.38611111111112</v>
      </c>
      <c r="DN23" s="107">
        <f t="shared" ref="DN23:DP23" si="53">SUM(DN11:DN22)</f>
        <v>0</v>
      </c>
      <c r="DO23" s="107">
        <f t="shared" si="53"/>
        <v>5.375694444444445</v>
      </c>
      <c r="DP23" s="107">
        <f t="shared" si="53"/>
        <v>5.2381944444444439</v>
      </c>
      <c r="DQ23" s="12">
        <f t="shared" ref="DQ23:DX23" si="54">SUM(DQ11:DQ22)</f>
        <v>0</v>
      </c>
      <c r="DR23" s="12">
        <f t="shared" si="54"/>
        <v>0</v>
      </c>
      <c r="DS23" s="12">
        <f t="shared" si="54"/>
        <v>0</v>
      </c>
      <c r="DT23" s="12">
        <f t="shared" si="54"/>
        <v>0</v>
      </c>
      <c r="DU23" s="12">
        <f t="shared" si="54"/>
        <v>0</v>
      </c>
      <c r="DV23" s="12">
        <f t="shared" si="54"/>
        <v>0</v>
      </c>
      <c r="DW23" s="12">
        <f t="shared" si="54"/>
        <v>0</v>
      </c>
      <c r="DX23" s="12">
        <f t="shared" si="54"/>
        <v>0</v>
      </c>
    </row>
    <row r="24" spans="2:128" x14ac:dyDescent="0.25">
      <c r="B24" s="14"/>
    </row>
    <row r="25" spans="2:128" ht="15.95" customHeight="1" x14ac:dyDescent="0.25"/>
    <row r="26" spans="2:128" ht="15.95" customHeight="1" x14ac:dyDescent="0.25"/>
    <row r="27" spans="2:128" ht="15.95" customHeight="1" x14ac:dyDescent="0.25"/>
    <row r="29" spans="2:128" ht="15.95" customHeight="1" x14ac:dyDescent="0.25"/>
    <row r="30" spans="2:128" ht="15.95" customHeight="1" x14ac:dyDescent="0.25"/>
    <row r="31" spans="2:128" ht="15.95" customHeight="1" x14ac:dyDescent="0.25">
      <c r="O31" s="13"/>
    </row>
    <row r="32" spans="2:128" ht="15.95" customHeight="1" x14ac:dyDescent="0.25"/>
    <row r="33" ht="15.95" customHeight="1" x14ac:dyDescent="0.25"/>
    <row r="34" ht="15.95" customHeight="1" x14ac:dyDescent="0.25"/>
    <row r="35" ht="15.95" customHeight="1" x14ac:dyDescent="0.25"/>
    <row r="36" ht="15.95" customHeight="1" x14ac:dyDescent="0.25"/>
    <row r="37" ht="15.95" customHeight="1" x14ac:dyDescent="0.25"/>
    <row r="38" ht="15.95" customHeight="1" x14ac:dyDescent="0.25"/>
    <row r="39" ht="15.95" customHeight="1" x14ac:dyDescent="0.25"/>
    <row r="40" ht="15.95" customHeight="1" x14ac:dyDescent="0.25"/>
    <row r="41" ht="15.95" customHeight="1" x14ac:dyDescent="0.25"/>
    <row r="44" ht="15.75" customHeight="1" x14ac:dyDescent="0.25"/>
    <row r="46" ht="15.95" customHeight="1" x14ac:dyDescent="0.25"/>
    <row r="47" ht="15.95" customHeight="1" x14ac:dyDescent="0.25"/>
    <row r="48" ht="15.95" customHeight="1" x14ac:dyDescent="0.25"/>
    <row r="49" spans="2:13" ht="15.95" customHeight="1" x14ac:dyDescent="0.25"/>
    <row r="50" spans="2:13" ht="15.95" customHeight="1" x14ac:dyDescent="0.25"/>
    <row r="51" spans="2:13" ht="15.95" customHeight="1" x14ac:dyDescent="0.25"/>
    <row r="52" spans="2:13" ht="15.95" customHeight="1" x14ac:dyDescent="0.25"/>
    <row r="53" spans="2:13" ht="15.95" customHeight="1" x14ac:dyDescent="0.25"/>
    <row r="54" spans="2:13" ht="15.95" customHeight="1" x14ac:dyDescent="0.25"/>
    <row r="55" spans="2:13" ht="15.95" customHeight="1" x14ac:dyDescent="0.25"/>
    <row r="56" spans="2:13" ht="15.95" customHeight="1" x14ac:dyDescent="0.25"/>
    <row r="57" spans="2:13" ht="15.95" customHeight="1" x14ac:dyDescent="0.25"/>
    <row r="58" spans="2:13" ht="15.95" customHeight="1" x14ac:dyDescent="0.25">
      <c r="J58" s="39"/>
      <c r="K58" s="39"/>
      <c r="L58" s="39"/>
      <c r="M58" s="39"/>
    </row>
    <row r="59" spans="2:13" ht="15.95" customHeight="1" x14ac:dyDescent="0.25">
      <c r="B59" s="22"/>
      <c r="C59" s="39"/>
      <c r="D59" s="39"/>
      <c r="E59" s="39"/>
      <c r="F59" s="39"/>
      <c r="G59" s="39"/>
      <c r="H59" s="39"/>
      <c r="I59" s="39"/>
    </row>
    <row r="61" spans="2:13" ht="15.75" customHeight="1" x14ac:dyDescent="0.25"/>
    <row r="63" spans="2:13" ht="15.95" customHeight="1" x14ac:dyDescent="0.25"/>
    <row r="64" spans="2:13" ht="15.95" customHeight="1" x14ac:dyDescent="0.25"/>
    <row r="65" ht="15.95" customHeight="1" x14ac:dyDescent="0.25"/>
    <row r="66" ht="15.95" customHeight="1" x14ac:dyDescent="0.25"/>
    <row r="67" ht="15.95" customHeight="1" x14ac:dyDescent="0.25"/>
    <row r="68" ht="15.95" customHeight="1" x14ac:dyDescent="0.25"/>
    <row r="69" ht="15.95" customHeight="1" x14ac:dyDescent="0.25"/>
    <row r="70" ht="15.95" customHeight="1" x14ac:dyDescent="0.25"/>
    <row r="71" ht="15.95" customHeight="1" x14ac:dyDescent="0.25"/>
    <row r="72" ht="15.95" customHeight="1" x14ac:dyDescent="0.25"/>
    <row r="73" ht="15.95" customHeight="1" x14ac:dyDescent="0.25"/>
    <row r="74" ht="15.95" customHeight="1" x14ac:dyDescent="0.25"/>
    <row r="75" ht="15.95" customHeight="1" x14ac:dyDescent="0.25"/>
    <row r="78" ht="15.75" customHeight="1" x14ac:dyDescent="0.25"/>
    <row r="80" ht="15.95" customHeight="1" x14ac:dyDescent="0.25"/>
    <row r="81" spans="21:25" ht="15.95" customHeight="1" x14ac:dyDescent="0.25"/>
    <row r="82" spans="21:25" ht="15.95" customHeight="1" x14ac:dyDescent="0.25"/>
    <row r="83" spans="21:25" ht="15.95" customHeight="1" x14ac:dyDescent="0.25"/>
    <row r="84" spans="21:25" ht="15.95" customHeight="1" x14ac:dyDescent="0.25"/>
    <row r="85" spans="21:25" ht="15.95" customHeight="1" x14ac:dyDescent="0.25"/>
    <row r="86" spans="21:25" ht="15.95" customHeight="1" x14ac:dyDescent="0.25"/>
    <row r="87" spans="21:25" ht="15.95" customHeight="1" x14ac:dyDescent="0.25"/>
    <row r="88" spans="21:25" ht="15.95" customHeight="1" x14ac:dyDescent="0.25"/>
    <row r="89" spans="21:25" ht="15.95" customHeight="1" x14ac:dyDescent="0.25"/>
    <row r="90" spans="21:25" ht="15.95" customHeight="1" x14ac:dyDescent="0.25"/>
    <row r="91" spans="21:25" ht="15.95" customHeight="1" x14ac:dyDescent="0.25"/>
    <row r="92" spans="21:25" ht="15.95" customHeight="1" x14ac:dyDescent="0.25"/>
    <row r="94" spans="21:25" x14ac:dyDescent="0.25">
      <c r="U94" s="1"/>
      <c r="V94" s="1"/>
      <c r="W94" s="1"/>
      <c r="X94" s="1"/>
      <c r="Y94" s="1"/>
    </row>
    <row r="95" spans="21:25" ht="15.75" customHeight="1" x14ac:dyDescent="0.25"/>
    <row r="97" spans="27:31" ht="15.95" customHeight="1" x14ac:dyDescent="0.25"/>
    <row r="98" spans="27:31" ht="15.95" customHeight="1" x14ac:dyDescent="0.25"/>
    <row r="99" spans="27:31" ht="15.95" customHeight="1" x14ac:dyDescent="0.25"/>
    <row r="100" spans="27:31" ht="15.95" customHeight="1" x14ac:dyDescent="0.25"/>
    <row r="101" spans="27:31" ht="15.95" customHeight="1" x14ac:dyDescent="0.25"/>
    <row r="102" spans="27:31" ht="15.95" customHeight="1" x14ac:dyDescent="0.25"/>
    <row r="103" spans="27:31" ht="15.95" customHeight="1" x14ac:dyDescent="0.25"/>
    <row r="104" spans="27:31" ht="15.95" customHeight="1" x14ac:dyDescent="0.25"/>
    <row r="105" spans="27:31" ht="15.95" customHeight="1" x14ac:dyDescent="0.25"/>
    <row r="106" spans="27:31" ht="15.95" customHeight="1" x14ac:dyDescent="0.25"/>
    <row r="107" spans="27:31" ht="15.95" customHeight="1" x14ac:dyDescent="0.25"/>
    <row r="108" spans="27:31" ht="15.95" customHeight="1" x14ac:dyDescent="0.25"/>
    <row r="109" spans="27:31" ht="15.95" customHeight="1" x14ac:dyDescent="0.25"/>
    <row r="112" spans="27:31" x14ac:dyDescent="0.25">
      <c r="AA112" s="15"/>
      <c r="AB112" s="15"/>
      <c r="AC112" s="15"/>
      <c r="AD112" s="15"/>
      <c r="AE112" s="15"/>
    </row>
    <row r="113" spans="11:15" ht="15.75" customHeight="1" x14ac:dyDescent="0.25"/>
    <row r="115" spans="11:15" ht="15.95" customHeight="1" x14ac:dyDescent="0.25"/>
    <row r="116" spans="11:15" ht="15.95" customHeight="1" x14ac:dyDescent="0.25"/>
    <row r="117" spans="11:15" ht="15.95" customHeight="1" x14ac:dyDescent="0.25"/>
    <row r="118" spans="11:15" ht="15.95" customHeight="1" x14ac:dyDescent="0.25"/>
    <row r="119" spans="11:15" ht="15.95" customHeight="1" x14ac:dyDescent="0.25"/>
    <row r="120" spans="11:15" ht="15.95" customHeight="1" x14ac:dyDescent="0.25"/>
    <row r="121" spans="11:15" ht="15.95" customHeight="1" x14ac:dyDescent="0.25"/>
    <row r="122" spans="11:15" ht="15.95" customHeight="1" x14ac:dyDescent="0.25"/>
    <row r="123" spans="11:15" ht="15.95" customHeight="1" x14ac:dyDescent="0.25"/>
    <row r="124" spans="11:15" ht="15.95" customHeight="1" x14ac:dyDescent="0.25"/>
    <row r="125" spans="11:15" ht="15.95" customHeight="1" x14ac:dyDescent="0.25"/>
    <row r="126" spans="11:15" ht="15.95" customHeight="1" x14ac:dyDescent="0.25"/>
    <row r="127" spans="11:15" ht="15.95" customHeight="1" x14ac:dyDescent="0.25">
      <c r="K127" s="15"/>
      <c r="L127" s="15"/>
      <c r="M127" s="15"/>
      <c r="N127" s="15"/>
      <c r="O127" s="15"/>
    </row>
    <row r="129" spans="15:17" ht="15.75" customHeight="1" x14ac:dyDescent="0.25"/>
    <row r="130" spans="15:17" x14ac:dyDescent="0.25">
      <c r="O130" s="24"/>
    </row>
    <row r="131" spans="15:17" ht="15.95" customHeight="1" x14ac:dyDescent="0.25">
      <c r="O131" s="24"/>
    </row>
    <row r="132" spans="15:17" ht="15.95" customHeight="1" x14ac:dyDescent="0.25">
      <c r="O132" s="24"/>
    </row>
    <row r="133" spans="15:17" ht="15.95" customHeight="1" x14ac:dyDescent="0.25">
      <c r="O133" s="24"/>
    </row>
    <row r="134" spans="15:17" ht="15.95" customHeight="1" x14ac:dyDescent="0.25">
      <c r="O134" s="24"/>
    </row>
    <row r="135" spans="15:17" ht="15.95" customHeight="1" x14ac:dyDescent="0.25">
      <c r="O135" s="24"/>
    </row>
    <row r="136" spans="15:17" ht="15.95" customHeight="1" x14ac:dyDescent="0.25">
      <c r="O136" s="24"/>
    </row>
    <row r="137" spans="15:17" ht="15.95" customHeight="1" x14ac:dyDescent="0.25">
      <c r="O137" s="24"/>
    </row>
    <row r="138" spans="15:17" ht="15.95" customHeight="1" x14ac:dyDescent="0.25">
      <c r="O138" s="24"/>
    </row>
    <row r="139" spans="15:17" ht="15.95" customHeight="1" x14ac:dyDescent="0.25">
      <c r="O139" s="24"/>
    </row>
    <row r="140" spans="15:17" ht="15.95" customHeight="1" x14ac:dyDescent="0.25"/>
    <row r="141" spans="15:17" ht="15.95" customHeight="1" x14ac:dyDescent="0.25"/>
    <row r="142" spans="15:17" ht="15.95" customHeight="1" x14ac:dyDescent="0.25">
      <c r="Q142" s="25"/>
    </row>
    <row r="143" spans="15:17" ht="15.95" customHeight="1" x14ac:dyDescent="0.25"/>
    <row r="145" spans="16:33" ht="15.75" customHeight="1" x14ac:dyDescent="0.25"/>
    <row r="147" spans="16:33" ht="15.95" customHeight="1" x14ac:dyDescent="0.25"/>
    <row r="148" spans="16:33" ht="15.95" customHeight="1" x14ac:dyDescent="0.25"/>
    <row r="149" spans="16:33" ht="15.95" customHeight="1" x14ac:dyDescent="0.25"/>
    <row r="150" spans="16:33" ht="15.95" customHeight="1" x14ac:dyDescent="0.25"/>
    <row r="151" spans="16:33" ht="15.95" customHeight="1" x14ac:dyDescent="0.25"/>
    <row r="152" spans="16:33" ht="15.95" customHeight="1" x14ac:dyDescent="0.25"/>
    <row r="153" spans="16:33" ht="15.95" customHeight="1" x14ac:dyDescent="0.25"/>
    <row r="154" spans="16:33" ht="15.95" customHeight="1" x14ac:dyDescent="0.25"/>
    <row r="155" spans="16:33" ht="15.95" customHeight="1" x14ac:dyDescent="0.25"/>
    <row r="156" spans="16:33" ht="15.95" customHeight="1" x14ac:dyDescent="0.25"/>
    <row r="157" spans="16:33" ht="15.95" customHeight="1" x14ac:dyDescent="0.25"/>
    <row r="158" spans="16:33" ht="15.95" customHeight="1" x14ac:dyDescent="0.25"/>
    <row r="159" spans="16:33" ht="15.95" customHeight="1" x14ac:dyDescent="0.25">
      <c r="P159" s="15" t="s">
        <v>48</v>
      </c>
      <c r="Q159" s="15"/>
      <c r="R159" s="15"/>
      <c r="S159" s="15"/>
      <c r="T159" s="15"/>
    </row>
    <row r="160" spans="16:33" ht="14.1" customHeight="1" x14ac:dyDescent="0.25">
      <c r="U160" s="15"/>
      <c r="V160" s="15"/>
      <c r="W160" s="15"/>
      <c r="X160" s="15"/>
      <c r="Y160" s="15"/>
      <c r="Z160" s="15"/>
      <c r="AA160" s="15"/>
      <c r="AB160" s="15"/>
      <c r="AC160" s="15"/>
      <c r="AD160" s="15"/>
      <c r="AE160" s="15"/>
      <c r="AF160" s="15"/>
      <c r="AG160" s="15"/>
    </row>
    <row r="161" spans="12:12" ht="14.1" customHeight="1" x14ac:dyDescent="0.25"/>
    <row r="162" spans="12:12" ht="27.75" customHeight="1" x14ac:dyDescent="0.25"/>
    <row r="163" spans="12:12" ht="14.1" customHeight="1" x14ac:dyDescent="0.25">
      <c r="L163" s="13"/>
    </row>
    <row r="164" spans="12:12" ht="14.1" customHeight="1" x14ac:dyDescent="0.25"/>
    <row r="165" spans="12:12" ht="14.1" customHeight="1" x14ac:dyDescent="0.25"/>
    <row r="166" spans="12:12" ht="14.1" customHeight="1" x14ac:dyDescent="0.25"/>
    <row r="167" spans="12:12" ht="14.1" customHeight="1" x14ac:dyDescent="0.25"/>
    <row r="168" spans="12:12" ht="14.1" customHeight="1" x14ac:dyDescent="0.25"/>
    <row r="169" spans="12:12" ht="14.1" customHeight="1" x14ac:dyDescent="0.25"/>
    <row r="170" spans="12:12" ht="14.1" customHeight="1" x14ac:dyDescent="0.25"/>
    <row r="171" spans="12:12" ht="14.1" customHeight="1" x14ac:dyDescent="0.25"/>
    <row r="172" spans="12:12" ht="14.1" customHeight="1" x14ac:dyDescent="0.25"/>
    <row r="173" spans="12:12" ht="14.1" customHeight="1" x14ac:dyDescent="0.25"/>
    <row r="174" spans="12:12" ht="14.1" customHeight="1" x14ac:dyDescent="0.25"/>
    <row r="175" spans="12:12" ht="14.1" customHeight="1" x14ac:dyDescent="0.25"/>
    <row r="176" spans="12:12" ht="9.9499999999999993" customHeight="1" x14ac:dyDescent="0.25"/>
  </sheetData>
  <mergeCells count="32">
    <mergeCell ref="AC9:AG9"/>
    <mergeCell ref="AI9:AI10"/>
    <mergeCell ref="DL9:DL10"/>
    <mergeCell ref="AT9:AW9"/>
    <mergeCell ref="AX9:BA9"/>
    <mergeCell ref="BC9:BC10"/>
    <mergeCell ref="BD9:BH9"/>
    <mergeCell ref="BI9:BN9"/>
    <mergeCell ref="BO9:BT9"/>
    <mergeCell ref="BW9:BW10"/>
    <mergeCell ref="BX9:CC9"/>
    <mergeCell ref="CE9:CE10"/>
    <mergeCell ref="CM9:CM10"/>
    <mergeCell ref="CW9:CW10"/>
    <mergeCell ref="AN9:AQ9"/>
    <mergeCell ref="AS9:AS10"/>
    <mergeCell ref="R9:T9"/>
    <mergeCell ref="V9:V10"/>
    <mergeCell ref="B8:H8"/>
    <mergeCell ref="J8:J10"/>
    <mergeCell ref="K8:K10"/>
    <mergeCell ref="O8:T8"/>
    <mergeCell ref="B9:B10"/>
    <mergeCell ref="C9:C10"/>
    <mergeCell ref="D9:D10"/>
    <mergeCell ref="E9:H9"/>
    <mergeCell ref="O9:Q9"/>
    <mergeCell ref="BI8:BN8"/>
    <mergeCell ref="BO8:BT8"/>
    <mergeCell ref="BW8:CC8"/>
    <mergeCell ref="AI8:AQ8"/>
    <mergeCell ref="BC8:BH8"/>
  </mergeCells>
  <pageMargins left="0.19685039370078741" right="0.19685039370078741" top="0.19685039370078741" bottom="0.19685039370078741" header="0.51181102362204722" footer="0.51181102362204722"/>
  <pageSetup paperSize="9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5"/>
    <pageSetUpPr fitToPage="1"/>
  </sheetPr>
  <dimension ref="B7:DX176"/>
  <sheetViews>
    <sheetView showGridLines="0" workbookViewId="0">
      <selection activeCell="C11" sqref="C11"/>
    </sheetView>
  </sheetViews>
  <sheetFormatPr baseColWidth="10" defaultColWidth="8.625" defaultRowHeight="12" x14ac:dyDescent="0.25"/>
  <cols>
    <col min="1" max="1" width="8.625" style="2"/>
    <col min="2" max="2" width="6.625" style="2" customWidth="1"/>
    <col min="3" max="3" width="8.625" style="2" customWidth="1"/>
    <col min="4" max="4" width="7.875" style="2" customWidth="1"/>
    <col min="5" max="5" width="8.875" style="2" customWidth="1"/>
    <col min="6" max="6" width="8" style="2" customWidth="1"/>
    <col min="7" max="7" width="7.75" style="2" customWidth="1"/>
    <col min="8" max="8" width="6.625" style="2" customWidth="1"/>
    <col min="9" max="9" width="3.375" style="2" customWidth="1"/>
    <col min="10" max="10" width="7.875" style="2" customWidth="1"/>
    <col min="11" max="11" width="6.625" style="2" customWidth="1"/>
    <col min="12" max="12" width="6.875" style="2" customWidth="1"/>
    <col min="13" max="13" width="6.625" style="2" customWidth="1"/>
    <col min="14" max="14" width="7.75" style="2" customWidth="1"/>
    <col min="15" max="19" width="6.625" style="2" customWidth="1"/>
    <col min="20" max="20" width="7.625" style="2" customWidth="1"/>
    <col min="21" max="21" width="7.875" style="2" customWidth="1"/>
    <col min="22" max="25" width="6.625" style="2" customWidth="1"/>
    <col min="26" max="34" width="8.625" style="2" customWidth="1"/>
    <col min="35" max="35" width="9" style="2" customWidth="1"/>
    <col min="36" max="44" width="8.625" style="2" customWidth="1"/>
    <col min="45" max="45" width="7.5" style="2" customWidth="1"/>
    <col min="46" max="46" width="6.625" style="2" customWidth="1"/>
    <col min="47" max="48" width="5.625" style="2" customWidth="1"/>
    <col min="49" max="51" width="5.75" style="2" customWidth="1"/>
    <col min="52" max="54" width="5.625" style="2" customWidth="1"/>
    <col min="55" max="55" width="6.125" style="2" customWidth="1"/>
    <col min="56" max="57" width="6.875" style="2" customWidth="1"/>
    <col min="58" max="59" width="5.625" style="2" customWidth="1"/>
    <col min="60" max="60" width="6.875" style="2" customWidth="1"/>
    <col min="61" max="65" width="5.625" style="2" customWidth="1"/>
    <col min="66" max="67" width="5.75" style="2" customWidth="1"/>
    <col min="68" max="68" width="5.625" style="2" customWidth="1"/>
    <col min="69" max="16384" width="8.625" style="2"/>
  </cols>
  <sheetData>
    <row r="7" spans="2:128" x14ac:dyDescent="0.25">
      <c r="J7" s="44" t="s">
        <v>10</v>
      </c>
      <c r="K7" s="44"/>
      <c r="L7" s="44"/>
      <c r="M7" s="44"/>
      <c r="N7" s="44"/>
      <c r="O7" s="44"/>
      <c r="P7" s="44"/>
      <c r="Q7" s="44"/>
      <c r="R7" s="44"/>
      <c r="S7" s="44"/>
      <c r="T7" s="44"/>
    </row>
    <row r="8" spans="2:128" ht="15.75" x14ac:dyDescent="0.25">
      <c r="B8" s="117" t="s">
        <v>0</v>
      </c>
      <c r="C8" s="117"/>
      <c r="D8" s="117"/>
      <c r="E8" s="117"/>
      <c r="F8" s="117"/>
      <c r="G8" s="117"/>
      <c r="H8" s="117"/>
      <c r="I8"/>
      <c r="J8" s="128" t="s">
        <v>1</v>
      </c>
      <c r="K8" s="131" t="s">
        <v>67</v>
      </c>
      <c r="L8" s="45" t="s">
        <v>2</v>
      </c>
      <c r="M8" s="46"/>
      <c r="N8" s="47"/>
      <c r="O8" s="123" t="s">
        <v>69</v>
      </c>
      <c r="P8" s="124"/>
      <c r="Q8" s="124"/>
      <c r="R8" s="124"/>
      <c r="S8" s="124"/>
      <c r="T8" s="125"/>
      <c r="V8" s="44" t="s">
        <v>74</v>
      </c>
      <c r="W8" s="44"/>
      <c r="X8" s="44"/>
      <c r="Y8" s="44"/>
      <c r="Z8" s="44"/>
      <c r="AA8" s="44"/>
      <c r="AB8" s="44"/>
      <c r="AC8" s="44"/>
      <c r="AD8" s="44"/>
      <c r="AE8" s="44"/>
      <c r="AF8" s="44"/>
      <c r="AG8" s="44"/>
      <c r="AI8" s="145" t="s">
        <v>14</v>
      </c>
      <c r="AJ8" s="145"/>
      <c r="AK8" s="145"/>
      <c r="AL8" s="145"/>
      <c r="AM8" s="145"/>
      <c r="AN8" s="145"/>
      <c r="AO8" s="145"/>
      <c r="AP8" s="145"/>
      <c r="AQ8" s="145"/>
      <c r="AR8"/>
      <c r="AS8" s="40" t="s">
        <v>85</v>
      </c>
      <c r="AT8" s="40"/>
      <c r="AU8" s="40"/>
      <c r="AV8" s="40"/>
      <c r="AW8" s="40"/>
      <c r="AX8" s="40"/>
      <c r="AY8" s="40"/>
      <c r="AZ8" s="40"/>
      <c r="BA8" s="40"/>
      <c r="BC8" s="145" t="s">
        <v>16</v>
      </c>
      <c r="BD8" s="145"/>
      <c r="BE8" s="145"/>
      <c r="BF8" s="145"/>
      <c r="BG8" s="145"/>
      <c r="BH8" s="145"/>
      <c r="BI8" s="145" t="s">
        <v>17</v>
      </c>
      <c r="BJ8" s="145"/>
      <c r="BK8" s="145"/>
      <c r="BL8" s="145"/>
      <c r="BM8" s="145"/>
      <c r="BN8" s="145"/>
      <c r="BO8" s="145" t="s">
        <v>27</v>
      </c>
      <c r="BP8" s="145"/>
      <c r="BQ8" s="145"/>
      <c r="BR8" s="145"/>
      <c r="BS8" s="145"/>
      <c r="BT8" s="145"/>
      <c r="BW8" s="146" t="s">
        <v>30</v>
      </c>
      <c r="BX8" s="146"/>
      <c r="BY8" s="146"/>
      <c r="BZ8" s="146"/>
      <c r="CA8" s="146"/>
      <c r="CB8" s="146"/>
      <c r="CC8" s="146"/>
      <c r="CE8" s="15" t="s">
        <v>37</v>
      </c>
      <c r="CM8" s="15"/>
      <c r="CN8" s="15"/>
      <c r="CO8" s="15"/>
      <c r="CP8" s="15"/>
      <c r="CQ8" s="15"/>
      <c r="CR8" s="15"/>
      <c r="CS8" s="15"/>
      <c r="CT8" s="15"/>
      <c r="CU8" s="15"/>
      <c r="DE8" s="26"/>
      <c r="DG8" s="19"/>
      <c r="DR8" s="25"/>
    </row>
    <row r="9" spans="2:128" ht="22.5" customHeight="1" x14ac:dyDescent="0.25">
      <c r="B9" s="116" t="s">
        <v>1</v>
      </c>
      <c r="C9" s="119" t="s">
        <v>62</v>
      </c>
      <c r="D9" s="119" t="s">
        <v>63</v>
      </c>
      <c r="E9" s="116" t="s">
        <v>60</v>
      </c>
      <c r="F9" s="116"/>
      <c r="G9" s="116"/>
      <c r="H9" s="116"/>
      <c r="I9"/>
      <c r="J9" s="130"/>
      <c r="K9" s="132"/>
      <c r="L9" s="48"/>
      <c r="M9" s="49"/>
      <c r="N9" s="50"/>
      <c r="O9" s="123" t="s">
        <v>70</v>
      </c>
      <c r="P9" s="124"/>
      <c r="Q9" s="125"/>
      <c r="R9" s="123" t="s">
        <v>73</v>
      </c>
      <c r="S9" s="124"/>
      <c r="T9" s="125"/>
      <c r="V9" s="128" t="s">
        <v>1</v>
      </c>
      <c r="W9" s="41" t="s">
        <v>76</v>
      </c>
      <c r="X9" s="42"/>
      <c r="Y9" s="42"/>
      <c r="Z9" s="42"/>
      <c r="AA9" s="42"/>
      <c r="AB9" s="43"/>
      <c r="AC9" s="123" t="s">
        <v>2</v>
      </c>
      <c r="AD9" s="124"/>
      <c r="AE9" s="124"/>
      <c r="AF9" s="124"/>
      <c r="AG9" s="125"/>
      <c r="AI9" s="128" t="s">
        <v>1</v>
      </c>
      <c r="AJ9" s="3" t="s">
        <v>76</v>
      </c>
      <c r="AK9" s="4"/>
      <c r="AL9" s="4"/>
      <c r="AM9" s="4"/>
      <c r="AN9" s="116" t="s">
        <v>2</v>
      </c>
      <c r="AO9" s="116"/>
      <c r="AP9" s="116"/>
      <c r="AQ9" s="116"/>
      <c r="AR9"/>
      <c r="AS9" s="128" t="s">
        <v>1</v>
      </c>
      <c r="AT9" s="116" t="s">
        <v>76</v>
      </c>
      <c r="AU9" s="116"/>
      <c r="AV9" s="116"/>
      <c r="AW9" s="116"/>
      <c r="AX9" s="143" t="s">
        <v>87</v>
      </c>
      <c r="AY9" s="144"/>
      <c r="AZ9" s="144"/>
      <c r="BA9" s="144"/>
      <c r="BC9" s="128" t="s">
        <v>1</v>
      </c>
      <c r="BD9" s="123" t="s">
        <v>18</v>
      </c>
      <c r="BE9" s="124"/>
      <c r="BF9" s="124"/>
      <c r="BG9" s="124"/>
      <c r="BH9" s="125"/>
      <c r="BI9" s="135" t="s">
        <v>19</v>
      </c>
      <c r="BJ9" s="124"/>
      <c r="BK9" s="124"/>
      <c r="BL9" s="124"/>
      <c r="BM9" s="124"/>
      <c r="BN9" s="136"/>
      <c r="BO9" s="135" t="s">
        <v>93</v>
      </c>
      <c r="BP9" s="124"/>
      <c r="BQ9" s="124"/>
      <c r="BR9" s="124"/>
      <c r="BS9" s="124"/>
      <c r="BT9" s="136"/>
      <c r="BW9" s="128" t="s">
        <v>1</v>
      </c>
      <c r="BX9" s="123" t="s">
        <v>31</v>
      </c>
      <c r="BY9" s="124"/>
      <c r="BZ9" s="124"/>
      <c r="CA9" s="124"/>
      <c r="CB9" s="124"/>
      <c r="CC9" s="125"/>
      <c r="CE9" s="128" t="s">
        <v>1</v>
      </c>
      <c r="CF9" s="3" t="s">
        <v>38</v>
      </c>
      <c r="CG9" s="4"/>
      <c r="CH9" s="4"/>
      <c r="CI9" s="4"/>
      <c r="CJ9" s="4"/>
      <c r="CK9" s="5"/>
      <c r="CM9" s="128" t="s">
        <v>1</v>
      </c>
      <c r="CN9" s="3" t="s">
        <v>39</v>
      </c>
      <c r="CO9" s="4"/>
      <c r="CP9" s="4"/>
      <c r="CQ9" s="4"/>
      <c r="CR9" s="3" t="s">
        <v>40</v>
      </c>
      <c r="CS9" s="4"/>
      <c r="CT9" s="4"/>
      <c r="CU9" s="5"/>
      <c r="CW9" s="128" t="s">
        <v>1</v>
      </c>
      <c r="CX9" s="3" t="s">
        <v>43</v>
      </c>
      <c r="CY9" s="4"/>
      <c r="CZ9" s="4"/>
      <c r="DA9" s="4"/>
      <c r="DB9" s="5"/>
      <c r="DC9" s="3" t="s">
        <v>44</v>
      </c>
      <c r="DD9" s="4"/>
      <c r="DE9" s="4"/>
      <c r="DF9" s="5"/>
      <c r="DG9" s="3" t="s">
        <v>45</v>
      </c>
      <c r="DH9" s="4"/>
      <c r="DI9" s="4"/>
      <c r="DJ9" s="5"/>
      <c r="DL9" s="128" t="s">
        <v>1</v>
      </c>
      <c r="DM9" s="3" t="s">
        <v>49</v>
      </c>
      <c r="DN9" s="4"/>
      <c r="DO9" s="4"/>
      <c r="DP9" s="4"/>
      <c r="DQ9" s="5"/>
      <c r="DR9" s="3" t="s">
        <v>50</v>
      </c>
      <c r="DS9" s="4"/>
      <c r="DT9" s="3" t="s">
        <v>51</v>
      </c>
      <c r="DU9" s="4"/>
      <c r="DV9" s="3" t="s">
        <v>52</v>
      </c>
      <c r="DW9" s="4"/>
      <c r="DX9" s="5"/>
    </row>
    <row r="10" spans="2:128" ht="30" customHeight="1" x14ac:dyDescent="0.25">
      <c r="B10" s="116"/>
      <c r="C10" s="116"/>
      <c r="D10" s="116"/>
      <c r="E10" s="99" t="s">
        <v>64</v>
      </c>
      <c r="F10" s="99" t="s">
        <v>65</v>
      </c>
      <c r="G10" s="99" t="s">
        <v>58</v>
      </c>
      <c r="H10" s="99" t="s">
        <v>59</v>
      </c>
      <c r="I10"/>
      <c r="J10" s="129"/>
      <c r="K10" s="133"/>
      <c r="L10" s="100" t="s">
        <v>61</v>
      </c>
      <c r="M10" s="100" t="s">
        <v>68</v>
      </c>
      <c r="N10" s="32" t="s">
        <v>5</v>
      </c>
      <c r="O10" s="100" t="s">
        <v>72</v>
      </c>
      <c r="P10" s="98" t="s">
        <v>71</v>
      </c>
      <c r="Q10" s="34" t="s">
        <v>5</v>
      </c>
      <c r="R10" s="100" t="s">
        <v>72</v>
      </c>
      <c r="S10" s="98" t="s">
        <v>71</v>
      </c>
      <c r="T10" s="35" t="s">
        <v>5</v>
      </c>
      <c r="V10" s="129"/>
      <c r="W10" s="37" t="s">
        <v>66</v>
      </c>
      <c r="X10" s="38" t="s">
        <v>75</v>
      </c>
      <c r="Y10" s="38" t="s">
        <v>95</v>
      </c>
      <c r="Z10" s="38" t="s">
        <v>77</v>
      </c>
      <c r="AA10" s="38" t="s">
        <v>78</v>
      </c>
      <c r="AB10" s="99" t="s">
        <v>5</v>
      </c>
      <c r="AC10" s="99" t="s">
        <v>79</v>
      </c>
      <c r="AD10" s="99" t="s">
        <v>12</v>
      </c>
      <c r="AE10" s="100" t="s">
        <v>80</v>
      </c>
      <c r="AF10" s="100" t="s">
        <v>81</v>
      </c>
      <c r="AG10" s="99" t="s">
        <v>5</v>
      </c>
      <c r="AI10" s="129"/>
      <c r="AJ10" s="99" t="s">
        <v>15</v>
      </c>
      <c r="AK10" s="2" t="s">
        <v>82</v>
      </c>
      <c r="AL10" s="99" t="s">
        <v>83</v>
      </c>
      <c r="AM10" s="100" t="s">
        <v>5</v>
      </c>
      <c r="AN10" s="99" t="s">
        <v>66</v>
      </c>
      <c r="AO10" s="100" t="s">
        <v>84</v>
      </c>
      <c r="AP10" s="99" t="s">
        <v>83</v>
      </c>
      <c r="AQ10" s="100" t="s">
        <v>5</v>
      </c>
      <c r="AR10"/>
      <c r="AS10" s="129"/>
      <c r="AT10" s="100" t="s">
        <v>11</v>
      </c>
      <c r="AU10" s="100" t="s">
        <v>13</v>
      </c>
      <c r="AV10" s="99" t="s">
        <v>86</v>
      </c>
      <c r="AW10" s="100" t="s">
        <v>5</v>
      </c>
      <c r="AX10" s="99" t="s">
        <v>88</v>
      </c>
      <c r="AY10" s="99" t="s">
        <v>89</v>
      </c>
      <c r="AZ10" s="99" t="s">
        <v>90</v>
      </c>
      <c r="BA10" s="100" t="s">
        <v>5</v>
      </c>
      <c r="BC10" s="129"/>
      <c r="BD10" s="99" t="s">
        <v>91</v>
      </c>
      <c r="BE10" s="100" t="s">
        <v>79</v>
      </c>
      <c r="BF10" s="100" t="s">
        <v>6</v>
      </c>
      <c r="BG10" s="100" t="s">
        <v>92</v>
      </c>
      <c r="BH10" s="101" t="s">
        <v>5</v>
      </c>
      <c r="BI10" s="17" t="s">
        <v>20</v>
      </c>
      <c r="BJ10" s="100" t="s">
        <v>21</v>
      </c>
      <c r="BK10" s="99" t="s">
        <v>22</v>
      </c>
      <c r="BL10" s="99" t="s">
        <v>24</v>
      </c>
      <c r="BM10" s="99" t="s">
        <v>25</v>
      </c>
      <c r="BN10" s="99" t="s">
        <v>26</v>
      </c>
      <c r="BO10" s="100" t="s">
        <v>8</v>
      </c>
      <c r="BP10" s="99" t="s">
        <v>28</v>
      </c>
      <c r="BQ10" s="100" t="s">
        <v>7</v>
      </c>
      <c r="BR10" s="99" t="s">
        <v>23</v>
      </c>
      <c r="BS10" s="99" t="s">
        <v>29</v>
      </c>
      <c r="BT10" s="99" t="s">
        <v>5</v>
      </c>
      <c r="BW10" s="129"/>
      <c r="BX10" s="98" t="s">
        <v>91</v>
      </c>
      <c r="BY10" s="99" t="s">
        <v>94</v>
      </c>
      <c r="BZ10" s="99" t="s">
        <v>66</v>
      </c>
      <c r="CA10" s="99" t="s">
        <v>79</v>
      </c>
      <c r="CB10" s="99" t="s">
        <v>32</v>
      </c>
      <c r="CC10" s="100" t="s">
        <v>5</v>
      </c>
      <c r="CE10" s="129"/>
      <c r="CF10" s="99" t="s">
        <v>33</v>
      </c>
      <c r="CG10" s="100" t="s">
        <v>34</v>
      </c>
      <c r="CH10" s="99" t="s">
        <v>3</v>
      </c>
      <c r="CI10" s="99" t="s">
        <v>66</v>
      </c>
      <c r="CJ10" s="99" t="s">
        <v>35</v>
      </c>
      <c r="CK10" s="99" t="s">
        <v>36</v>
      </c>
      <c r="CM10" s="129"/>
      <c r="CN10" s="99" t="s">
        <v>33</v>
      </c>
      <c r="CO10" s="100" t="s">
        <v>34</v>
      </c>
      <c r="CP10" s="99" t="s">
        <v>41</v>
      </c>
      <c r="CQ10" s="99" t="s">
        <v>36</v>
      </c>
      <c r="CR10" s="99" t="s">
        <v>33</v>
      </c>
      <c r="CS10" s="100" t="s">
        <v>34</v>
      </c>
      <c r="CT10" s="99" t="s">
        <v>42</v>
      </c>
      <c r="CU10" s="99" t="s">
        <v>36</v>
      </c>
      <c r="CW10" s="129"/>
      <c r="CX10" s="99" t="s">
        <v>33</v>
      </c>
      <c r="CY10" s="100" t="s">
        <v>34</v>
      </c>
      <c r="CZ10" s="99" t="s">
        <v>46</v>
      </c>
      <c r="DA10" s="99" t="s">
        <v>47</v>
      </c>
      <c r="DB10" s="99" t="s">
        <v>36</v>
      </c>
      <c r="DC10" s="99" t="s">
        <v>33</v>
      </c>
      <c r="DD10" s="100" t="s">
        <v>34</v>
      </c>
      <c r="DE10" s="99" t="s">
        <v>9</v>
      </c>
      <c r="DF10" s="99" t="s">
        <v>36</v>
      </c>
      <c r="DG10" s="99" t="s">
        <v>33</v>
      </c>
      <c r="DH10" s="100" t="s">
        <v>34</v>
      </c>
      <c r="DI10" s="99" t="s">
        <v>9</v>
      </c>
      <c r="DJ10" s="99" t="s">
        <v>36</v>
      </c>
      <c r="DL10" s="129"/>
      <c r="DM10" s="100" t="s">
        <v>4</v>
      </c>
      <c r="DN10" s="100" t="s">
        <v>123</v>
      </c>
      <c r="DO10" s="100" t="s">
        <v>124</v>
      </c>
      <c r="DP10" s="100" t="s">
        <v>125</v>
      </c>
      <c r="DQ10" s="100" t="s">
        <v>3</v>
      </c>
      <c r="DR10" s="100" t="s">
        <v>53</v>
      </c>
      <c r="DS10" s="100" t="s">
        <v>54</v>
      </c>
      <c r="DT10" s="99" t="s">
        <v>24</v>
      </c>
      <c r="DU10" s="99" t="s">
        <v>25</v>
      </c>
      <c r="DV10" s="99" t="s">
        <v>55</v>
      </c>
      <c r="DW10" s="99" t="s">
        <v>56</v>
      </c>
      <c r="DX10" s="99" t="s">
        <v>57</v>
      </c>
    </row>
    <row r="11" spans="2:128" ht="15.95" customHeight="1" x14ac:dyDescent="0.2">
      <c r="B11" s="8">
        <v>43101</v>
      </c>
      <c r="C11" s="10">
        <f>+'[77]BU-2'!$E$10</f>
        <v>16325</v>
      </c>
      <c r="D11" s="10">
        <f>+'[77]BU-3'!$F$11</f>
        <v>6767.5300000000007</v>
      </c>
      <c r="E11" s="10">
        <f>+'[77]BU-2'!$E$28</f>
        <v>1906.2000690832469</v>
      </c>
      <c r="F11" s="10">
        <f>+'[77]BU-2'!$E$29</f>
        <v>8131.6599309167805</v>
      </c>
      <c r="G11" s="31">
        <f t="shared" ref="G11:G22" si="0">SUM(E11:F11)</f>
        <v>10037.860000000028</v>
      </c>
      <c r="H11" s="10">
        <f>+'[77]BU-2'!$E$27</f>
        <v>480.39000000000004</v>
      </c>
      <c r="I11" s="52">
        <f>+C11+H11-D11-G11</f>
        <v>-2.9103830456733704E-11</v>
      </c>
      <c r="J11" s="8">
        <f t="shared" ref="J11:J22" si="1">+B11</f>
        <v>43101</v>
      </c>
      <c r="K11" s="10">
        <f>'[77]BU-2'!$E$11</f>
        <v>91122</v>
      </c>
      <c r="L11" s="10">
        <f>'[77]BU-3'!$F$37</f>
        <v>86280</v>
      </c>
      <c r="M11" s="12">
        <f>'[77]BU-3'!$F$38</f>
        <v>5055</v>
      </c>
      <c r="N11" s="33">
        <f t="shared" ref="N11:N22" si="2">L11+M11</f>
        <v>91335</v>
      </c>
      <c r="O11" s="12">
        <f>'[77]BU-2'!$E$30</f>
        <v>0</v>
      </c>
      <c r="P11" s="10">
        <f>'[77]BU-2'!$E$31</f>
        <v>0</v>
      </c>
      <c r="Q11" s="33">
        <f t="shared" ref="Q11:Q22" si="3">+P11+O11</f>
        <v>0</v>
      </c>
      <c r="R11" s="10">
        <f>'[77]BU-2'!$E$32</f>
        <v>1102</v>
      </c>
      <c r="S11" s="10">
        <f>'[77]BU-2'!$E$33</f>
        <v>0</v>
      </c>
      <c r="T11" s="33">
        <f t="shared" ref="T11:T22" si="4">+S11+R11</f>
        <v>1102</v>
      </c>
      <c r="V11" s="8">
        <f t="shared" ref="V11:V22" si="5">+B11</f>
        <v>43101</v>
      </c>
      <c r="W11" s="10">
        <f>[78]Feuil1!$K$40</f>
        <v>34689</v>
      </c>
      <c r="X11" s="10">
        <f>[78]Feuil1!$L$40</f>
        <v>47258</v>
      </c>
      <c r="Y11" s="10">
        <f>[78]Feuil1!$M$40</f>
        <v>3776</v>
      </c>
      <c r="Z11" s="10">
        <f>[78]Feuil1!$N$40</f>
        <v>5055</v>
      </c>
      <c r="AA11" s="10">
        <f>[78]Feuil1!$O$40</f>
        <v>6701</v>
      </c>
      <c r="AB11" s="12">
        <f>+Y11+Z11+AA11+X11+W11</f>
        <v>97479</v>
      </c>
      <c r="AC11" s="10">
        <f>[78]Feuil1!$Q$40</f>
        <v>78419</v>
      </c>
      <c r="AD11" s="10">
        <f>[78]Feuil1!$R$40</f>
        <v>15600</v>
      </c>
      <c r="AE11" s="10">
        <f>[78]Feuil1!$S$40</f>
        <v>508</v>
      </c>
      <c r="AF11" s="18">
        <f>[78]Feuil1!$T$40</f>
        <v>2952</v>
      </c>
      <c r="AG11" s="12">
        <f>SUM(AC11:AF11)</f>
        <v>97479</v>
      </c>
      <c r="AH11" s="13">
        <f t="shared" ref="AH11:AH22" si="6">+AG11-AB11</f>
        <v>0</v>
      </c>
      <c r="AI11" s="8">
        <f t="shared" ref="AI11:AI22" si="7">+B11</f>
        <v>43101</v>
      </c>
      <c r="AJ11" s="12">
        <f>'[77]BU-2'!$E$20</f>
        <v>140946</v>
      </c>
      <c r="AK11" s="12">
        <f>'[53]BU-3'!$F$39</f>
        <v>9226</v>
      </c>
      <c r="AL11" s="12">
        <f>'[53]BU-2'!$E$34</f>
        <v>0</v>
      </c>
      <c r="AM11" s="12">
        <f>SUM(AJ11:AL11)</f>
        <v>150172</v>
      </c>
      <c r="AN11" s="12">
        <f>'[53]BU-3'!$F$56</f>
        <v>111021</v>
      </c>
      <c r="AO11" s="10">
        <f>'[53]BU-3'!$F$40</f>
        <v>4690</v>
      </c>
      <c r="AP11" s="10">
        <f>'[77]BU-2'!$E$35</f>
        <v>1247</v>
      </c>
      <c r="AQ11" s="12">
        <f>SUM(AN11:AP11)</f>
        <v>116958</v>
      </c>
      <c r="AR11" s="51">
        <f>+AQ11-AJ11</f>
        <v>-23988</v>
      </c>
      <c r="AS11" s="8">
        <f>+AI11</f>
        <v>43101</v>
      </c>
      <c r="AT11" s="10">
        <f>'[5]BU-3'!$F$72</f>
        <v>37186</v>
      </c>
      <c r="AU11" s="10">
        <f>'[5]BU-3'!$F$47</f>
        <v>22879</v>
      </c>
      <c r="AV11" s="10">
        <f>[6]Feuil1!$BB$40</f>
        <v>15135.2</v>
      </c>
      <c r="AW11" s="12">
        <f>SUM(AT11:AV11)</f>
        <v>75200.2</v>
      </c>
      <c r="AX11" s="10">
        <f>[6]Feuil1!$BD$40</f>
        <v>14210</v>
      </c>
      <c r="AY11" s="20">
        <f>[6]Feuil1!$BE$40</f>
        <v>29721</v>
      </c>
      <c r="AZ11" s="12">
        <f>[6]Feuil1!$BF$40</f>
        <v>31269</v>
      </c>
      <c r="BA11" s="12">
        <f>SUM(AX11:AZ11)</f>
        <v>75200</v>
      </c>
      <c r="BB11" s="13">
        <f>+BA11-AW11</f>
        <v>-0.19999999999708962</v>
      </c>
      <c r="BC11" s="8">
        <f t="shared" ref="BC11:BC22" si="8">+B11</f>
        <v>43101</v>
      </c>
      <c r="BD11" s="10">
        <f>'[77]BU-2'!$E$15</f>
        <v>176520</v>
      </c>
      <c r="BE11" s="10">
        <f>'[77]BU-3'!$F$69</f>
        <v>133403</v>
      </c>
      <c r="BF11" s="10">
        <f>'[77]BU-3'!$F$13-BE11</f>
        <v>43167</v>
      </c>
      <c r="BG11" s="10">
        <f>'[77]BU-3'!$F$41</f>
        <v>90</v>
      </c>
      <c r="BH11" s="10">
        <f>+SUM(BE11:BG11)</f>
        <v>176660</v>
      </c>
      <c r="BI11" s="10">
        <f>'[77]BU-2'!$E$17</f>
        <v>43077</v>
      </c>
      <c r="BJ11" s="10">
        <f>'[77]BU-3'!$F$12</f>
        <v>1226</v>
      </c>
      <c r="BK11" s="10">
        <f>'[77]BU-3'!$F$45</f>
        <v>1249</v>
      </c>
      <c r="BL11" s="10">
        <f>[78]Feuil1!$AO$40</f>
        <v>21325</v>
      </c>
      <c r="BM11" s="10">
        <f>[78]Feuil1!$AP$40</f>
        <v>19192</v>
      </c>
      <c r="BN11" s="10">
        <f>SUM(BJ11:BM11)</f>
        <v>42992</v>
      </c>
      <c r="BO11" s="10">
        <f>'[77]BU-2'!$E$18</f>
        <v>40517</v>
      </c>
      <c r="BP11" s="10">
        <f>[78]Feuil1!$AX$40</f>
        <v>17808</v>
      </c>
      <c r="BQ11" s="10">
        <f>'[77]BU-3'!$F$58</f>
        <v>18708</v>
      </c>
      <c r="BR11" s="10">
        <f>'[77]BU-3'!$F$44</f>
        <v>3961</v>
      </c>
      <c r="BS11" s="10"/>
      <c r="BT11" s="10">
        <f t="shared" ref="BT11:BT22" si="9">SUM(BP11:BS11)</f>
        <v>40477</v>
      </c>
      <c r="BU11" s="13">
        <f>+BT11-BO11</f>
        <v>-40</v>
      </c>
      <c r="BV11" s="13">
        <f>+BN11-BI11</f>
        <v>-85</v>
      </c>
      <c r="BW11" s="8">
        <f t="shared" ref="BW11:BW22" si="10">+B11</f>
        <v>43101</v>
      </c>
      <c r="BX11" s="10">
        <f>'[77]BU-2'!$E$19</f>
        <v>8091.4809999999998</v>
      </c>
      <c r="BY11" s="10">
        <f>'[77]BU-3'!$F$46</f>
        <v>0</v>
      </c>
      <c r="BZ11" s="10">
        <f>'[77]BU-3'!$F$59</f>
        <v>4030.194</v>
      </c>
      <c r="CA11" s="10">
        <f>'[77]BU-3'!$F$71</f>
        <v>4061.2869999999998</v>
      </c>
      <c r="CB11" s="10">
        <f>'[77]BU-3'!$F$46</f>
        <v>0</v>
      </c>
      <c r="CC11" s="11">
        <f>+SUM(BY11:CB11)</f>
        <v>8091.4809999999998</v>
      </c>
      <c r="CD11" s="13">
        <f>+CC11-BX11</f>
        <v>0</v>
      </c>
      <c r="CE11" s="8">
        <f t="shared" ref="CE11:CE22" si="11">+B11</f>
        <v>43101</v>
      </c>
      <c r="CF11" s="23">
        <f>'[5]BU-3'!$F$83</f>
        <v>53.420200000000023</v>
      </c>
      <c r="CG11" s="23">
        <f>'[5]BU-3'!$H$83</f>
        <v>0</v>
      </c>
      <c r="CH11" s="23">
        <v>0</v>
      </c>
      <c r="CI11" s="23">
        <f>'[5]BU-3'!$J$83</f>
        <v>0</v>
      </c>
      <c r="CJ11" s="21">
        <f t="shared" ref="CJ11:CJ22" si="12">SUM(CH11:CI11)</f>
        <v>0</v>
      </c>
      <c r="CK11" s="21">
        <f t="shared" ref="CK11:CK23" si="13">+CF11+CG11-CJ11</f>
        <v>53.420200000000023</v>
      </c>
      <c r="CM11" s="8">
        <f t="shared" ref="CM11:CM22" si="14">+B11</f>
        <v>43101</v>
      </c>
      <c r="CN11" s="9">
        <f>'[77]BU-3'!$F$82</f>
        <v>21.661638520000082</v>
      </c>
      <c r="CO11" s="9">
        <f>'[77]BU-3'!$H$82</f>
        <v>9.6999999999999993</v>
      </c>
      <c r="CP11" s="9">
        <f>'[77]BU-3'!$J$82</f>
        <v>15.211080359999999</v>
      </c>
      <c r="CQ11" s="11">
        <f>+CN11+CO11-CP11</f>
        <v>16.150558160000081</v>
      </c>
      <c r="CR11" s="23">
        <f>'[5]BU-3'!$F$84</f>
        <v>13.57</v>
      </c>
      <c r="CS11" s="23">
        <f>'[5]BU-3'!$H$84</f>
        <v>50.000040562499997</v>
      </c>
      <c r="CT11" s="23">
        <f>'[5]BU-3'!$J$84</f>
        <v>56.510139499999994</v>
      </c>
      <c r="CU11" s="21">
        <f>+CR11+CS11-CT11</f>
        <v>7.0599010625000034</v>
      </c>
      <c r="CW11" s="8">
        <f t="shared" ref="CW11:CW22" si="15">+B11</f>
        <v>43101</v>
      </c>
      <c r="CX11" s="10">
        <v>448</v>
      </c>
      <c r="CY11" s="10"/>
      <c r="CZ11" s="10"/>
      <c r="DA11" s="10"/>
      <c r="DB11" s="12">
        <f>+CX11+CY11-CZ11-DA11</f>
        <v>448</v>
      </c>
      <c r="DC11" s="10">
        <v>20</v>
      </c>
      <c r="DD11" s="10"/>
      <c r="DE11" s="10"/>
      <c r="DF11" s="12">
        <f>+DC11+DD11-DE11</f>
        <v>20</v>
      </c>
      <c r="DG11" s="10">
        <v>2290</v>
      </c>
      <c r="DH11" s="10"/>
      <c r="DI11" s="10"/>
      <c r="DJ11" s="12">
        <f>+DG11+DH11-DI11</f>
        <v>2290</v>
      </c>
      <c r="DK11" s="13"/>
      <c r="DL11" s="8">
        <f t="shared" ref="DL11:DL22" si="16">+B11</f>
        <v>43101</v>
      </c>
      <c r="DM11" s="106">
        <f>'[101]BU-4'!E35</f>
        <v>2.0347222222222223</v>
      </c>
      <c r="DN11" s="106">
        <f>'[101]BU-4'!F35</f>
        <v>0</v>
      </c>
      <c r="DO11" s="106">
        <f>'[101]BU-4'!G35</f>
        <v>28.965277777777779</v>
      </c>
      <c r="DP11" s="106">
        <f>'[101]BU-4'!H35</f>
        <v>0</v>
      </c>
      <c r="DQ11" s="9"/>
      <c r="DR11" s="10"/>
      <c r="DS11" s="10"/>
      <c r="DT11" s="10"/>
      <c r="DU11" s="10"/>
      <c r="DV11" s="10"/>
      <c r="DW11" s="10"/>
      <c r="DX11" s="10"/>
    </row>
    <row r="12" spans="2:128" ht="15.95" customHeight="1" x14ac:dyDescent="0.2">
      <c r="B12" s="8">
        <v>43132</v>
      </c>
      <c r="C12" s="10">
        <f>+'[79]BU-2'!$E$10</f>
        <v>18020</v>
      </c>
      <c r="D12" s="10">
        <f>+'[79]BU-3'!$F$11</f>
        <v>6095.8310000000274</v>
      </c>
      <c r="E12" s="10">
        <f>+'[79]BU-2'!$E$28</f>
        <v>3298.0429978408438</v>
      </c>
      <c r="F12" s="10">
        <f>+'[79]BU-2'!$E$29</f>
        <v>8682.6370021591356</v>
      </c>
      <c r="G12" s="31">
        <f t="shared" si="0"/>
        <v>11980.679999999978</v>
      </c>
      <c r="H12" s="10">
        <f>+'[79]BU-2'!$E$27</f>
        <v>56.51</v>
      </c>
      <c r="I12" s="52">
        <f t="shared" ref="I12:I22" si="17">+C12+H12-D12-G12</f>
        <v>-1.0000000074796844E-3</v>
      </c>
      <c r="J12" s="8">
        <f t="shared" si="1"/>
        <v>43132</v>
      </c>
      <c r="K12" s="10">
        <f>'[79]BU-2'!$E$11</f>
        <v>89010</v>
      </c>
      <c r="L12" s="10">
        <f>'[79]BU-3'!$F$37</f>
        <v>86560</v>
      </c>
      <c r="M12" s="12">
        <f>'[79]BU-3'!$F$38</f>
        <v>2450</v>
      </c>
      <c r="N12" s="33">
        <f t="shared" si="2"/>
        <v>89010</v>
      </c>
      <c r="O12" s="12">
        <f>'[79]BU-2'!$E$30</f>
        <v>304</v>
      </c>
      <c r="P12" s="10">
        <f>'[79]BU-2'!$E$31</f>
        <v>0</v>
      </c>
      <c r="Q12" s="33">
        <f t="shared" si="3"/>
        <v>304</v>
      </c>
      <c r="R12" s="10">
        <f>'[79]BU-2'!$E$32</f>
        <v>0</v>
      </c>
      <c r="S12" s="10">
        <f>'[79]BU-2'!$E$33</f>
        <v>0</v>
      </c>
      <c r="T12" s="33">
        <f t="shared" si="4"/>
        <v>0</v>
      </c>
      <c r="U12" s="13">
        <f t="shared" ref="U12:U23" si="18">+K11+T11-N11-Q11</f>
        <v>889</v>
      </c>
      <c r="V12" s="8">
        <f t="shared" si="5"/>
        <v>43132</v>
      </c>
      <c r="W12" s="10">
        <f>[80]Feuil1!$K$40</f>
        <v>32429</v>
      </c>
      <c r="X12" s="10">
        <f>[80]Feuil1!$L$40</f>
        <v>41152</v>
      </c>
      <c r="Y12" s="10">
        <f>[80]Feuil1!$M$40</f>
        <v>5059</v>
      </c>
      <c r="Z12" s="10">
        <f>[80]Feuil1!$N$40</f>
        <v>2450</v>
      </c>
      <c r="AA12" s="10">
        <f>[80]Feuil1!$O$40</f>
        <v>5345</v>
      </c>
      <c r="AB12" s="12">
        <f>+Y12+Z12+AA12+X12+W12</f>
        <v>86435</v>
      </c>
      <c r="AC12" s="10">
        <f>[80]Feuil1!$Q$40</f>
        <v>68388</v>
      </c>
      <c r="AD12" s="10">
        <f>[80]Feuil1!$R$40</f>
        <v>15745</v>
      </c>
      <c r="AE12" s="10">
        <f>[80]Feuil1!$S$40</f>
        <v>138</v>
      </c>
      <c r="AF12" s="18">
        <f>[80]Feuil1!$T$40</f>
        <v>2164</v>
      </c>
      <c r="AG12" s="12">
        <f>SUM(AC12:AF12)</f>
        <v>86435</v>
      </c>
      <c r="AH12" s="13">
        <f t="shared" si="6"/>
        <v>0</v>
      </c>
      <c r="AI12" s="8">
        <f t="shared" si="7"/>
        <v>43132</v>
      </c>
      <c r="AJ12" s="12">
        <f>'[79]BU-2'!$E$20</f>
        <v>136103</v>
      </c>
      <c r="AK12" s="12"/>
      <c r="AL12" s="12"/>
      <c r="AM12" s="12"/>
      <c r="AN12" s="12"/>
      <c r="AO12" s="10"/>
      <c r="AP12" s="10">
        <f>'[79]BU-2'!$E$35</f>
        <v>2991</v>
      </c>
      <c r="AQ12" s="12"/>
      <c r="AR12" s="51">
        <f t="shared" ref="AR12:AR22" si="19">+AQ12-AJ12</f>
        <v>-136103</v>
      </c>
      <c r="AS12" s="8">
        <f t="shared" ref="AS12:AS22" si="20">+AI12</f>
        <v>43132</v>
      </c>
      <c r="AT12" s="10"/>
      <c r="AU12" s="10"/>
      <c r="AV12" s="10"/>
      <c r="AW12" s="12">
        <f t="shared" ref="AW12:AW22" si="21">SUM(AT12:AV12)</f>
        <v>0</v>
      </c>
      <c r="AX12" s="10"/>
      <c r="AY12" s="20"/>
      <c r="AZ12" s="12"/>
      <c r="BA12" s="12">
        <f t="shared" ref="BA12:BA22" si="22">SUM(AX12:AZ12)</f>
        <v>0</v>
      </c>
      <c r="BB12" s="13">
        <f t="shared" ref="BB12:BB22" si="23">+BA12-AW12</f>
        <v>0</v>
      </c>
      <c r="BC12" s="8">
        <f t="shared" si="8"/>
        <v>43132</v>
      </c>
      <c r="BD12" s="10">
        <f>'[79]BU-2'!$E$15</f>
        <v>167834</v>
      </c>
      <c r="BE12" s="10">
        <f>'[79]BU-3'!$F$69</f>
        <v>122854</v>
      </c>
      <c r="BF12" s="10">
        <f>'[79]BU-3'!$F$13-BE12</f>
        <v>45080</v>
      </c>
      <c r="BG12" s="10">
        <f>'[79]BU-3'!$F$41</f>
        <v>0</v>
      </c>
      <c r="BH12" s="10">
        <f t="shared" ref="BH12:BH22" si="24">+SUM(BE12:BG12)</f>
        <v>167934</v>
      </c>
      <c r="BI12" s="10">
        <f>'[79]BU-2'!$E$17</f>
        <v>45080</v>
      </c>
      <c r="BJ12" s="10">
        <f>'[79]BU-3'!$F$12</f>
        <v>1040</v>
      </c>
      <c r="BK12" s="10">
        <f>'[79]BU-3'!$F$45</f>
        <v>1430</v>
      </c>
      <c r="BL12" s="10">
        <f>[80]Feuil1!$AO$40</f>
        <v>22224</v>
      </c>
      <c r="BM12" s="10">
        <f>[80]Feuil1!$AP$40</f>
        <v>20471</v>
      </c>
      <c r="BN12" s="10">
        <f t="shared" ref="BN12:BN22" si="25">SUM(BJ12:BM12)</f>
        <v>45165</v>
      </c>
      <c r="BO12" s="10">
        <f>'[79]BU-2'!$E$18</f>
        <v>42695</v>
      </c>
      <c r="BP12" s="10">
        <f>[80]Feuil1!$AX$40</f>
        <v>20017</v>
      </c>
      <c r="BQ12" s="10">
        <f>'[79]BU-3'!$F$58</f>
        <v>17944</v>
      </c>
      <c r="BR12" s="10">
        <f>'[79]BU-3'!$F$44</f>
        <v>4784</v>
      </c>
      <c r="BS12" s="10"/>
      <c r="BT12" s="10">
        <f t="shared" si="9"/>
        <v>42745</v>
      </c>
      <c r="BU12" s="13">
        <f t="shared" ref="BU12:BU22" si="26">+BT12-BO12</f>
        <v>50</v>
      </c>
      <c r="BV12" s="13">
        <f t="shared" ref="BV12:BV22" si="27">+BN12-BI12</f>
        <v>85</v>
      </c>
      <c r="BW12" s="8">
        <f t="shared" si="10"/>
        <v>43132</v>
      </c>
      <c r="BX12" s="10">
        <f>'[79]BU-2'!$E$19</f>
        <v>7327.8779999999997</v>
      </c>
      <c r="BY12" s="10">
        <f>'[79]BU-3'!$F$46</f>
        <v>0</v>
      </c>
      <c r="BZ12" s="10">
        <f>'[79]BU-3'!$F$59</f>
        <v>3842.5479999999998</v>
      </c>
      <c r="CA12" s="10">
        <f>'[79]BU-3'!$F$71</f>
        <v>3485.33</v>
      </c>
      <c r="CB12" s="10">
        <f>'[79]BU-3'!$F$46</f>
        <v>0</v>
      </c>
      <c r="CC12" s="11">
        <f t="shared" ref="CC12:CC22" si="28">+SUM(BY12:CB12)</f>
        <v>7327.8779999999997</v>
      </c>
      <c r="CD12" s="13">
        <f t="shared" ref="CD12:CD22" si="29">+CC12-BX12</f>
        <v>0</v>
      </c>
      <c r="CE12" s="8">
        <f t="shared" si="11"/>
        <v>43132</v>
      </c>
      <c r="CF12" s="21">
        <f>+CK11</f>
        <v>53.420200000000023</v>
      </c>
      <c r="CG12" s="23">
        <f>'[7]BU-3'!$H$83</f>
        <v>150</v>
      </c>
      <c r="CH12" s="23">
        <v>0</v>
      </c>
      <c r="CI12" s="23">
        <f>'[7]BU-3'!$J$83</f>
        <v>151.13399999999999</v>
      </c>
      <c r="CJ12" s="21">
        <f t="shared" si="12"/>
        <v>151.13399999999999</v>
      </c>
      <c r="CK12" s="21">
        <f t="shared" si="13"/>
        <v>52.286200000000036</v>
      </c>
      <c r="CM12" s="8">
        <f t="shared" si="14"/>
        <v>43132</v>
      </c>
      <c r="CN12" s="11">
        <f t="shared" ref="CN12:CN22" si="30">+CQ11</f>
        <v>16.150558160000081</v>
      </c>
      <c r="CO12" s="9">
        <f>'[79]BU-3'!$H$82</f>
        <v>9.6999999999999993</v>
      </c>
      <c r="CP12" s="9">
        <f>'[79]BU-3'!$J$82</f>
        <v>18.75525708</v>
      </c>
      <c r="CQ12" s="11">
        <f t="shared" ref="CQ12:CQ22" si="31">+CN12+CO12-CP12</f>
        <v>7.0953010800000804</v>
      </c>
      <c r="CR12" s="11">
        <f>+CU11</f>
        <v>7.0599010625000034</v>
      </c>
      <c r="CS12" s="23">
        <f>'[7]BU-3'!$H$84</f>
        <v>50.000040562499997</v>
      </c>
      <c r="CT12" s="23">
        <f>'[7]BU-3'!$J$84</f>
        <v>45.744999999999997</v>
      </c>
      <c r="CU12" s="21">
        <f t="shared" ref="CU12:CU23" si="32">+CR12+CS12-CT12</f>
        <v>11.314941625000003</v>
      </c>
      <c r="CW12" s="8">
        <f t="shared" si="15"/>
        <v>43132</v>
      </c>
      <c r="CX12" s="12">
        <f>+DB11</f>
        <v>448</v>
      </c>
      <c r="CY12" s="10"/>
      <c r="CZ12" s="10"/>
      <c r="DA12" s="10"/>
      <c r="DB12" s="12">
        <f t="shared" ref="DB12:DB23" si="33">+CX12+CY12-CZ12-DA12</f>
        <v>448</v>
      </c>
      <c r="DC12" s="12">
        <f>+DF11</f>
        <v>20</v>
      </c>
      <c r="DD12" s="10"/>
      <c r="DE12" s="10"/>
      <c r="DF12" s="12">
        <f t="shared" ref="DF12:DF23" si="34">+DC12+DD12-DE12</f>
        <v>20</v>
      </c>
      <c r="DG12" s="12">
        <f>+DJ11</f>
        <v>2290</v>
      </c>
      <c r="DH12" s="10"/>
      <c r="DI12" s="10"/>
      <c r="DJ12" s="12">
        <f t="shared" ref="DJ12:DJ23" si="35">+DG12+DH12-DI12</f>
        <v>2290</v>
      </c>
      <c r="DK12" s="13"/>
      <c r="DL12" s="8">
        <f t="shared" si="16"/>
        <v>43132</v>
      </c>
      <c r="DM12" s="106">
        <f>'[102]BU-4'!E35</f>
        <v>0</v>
      </c>
      <c r="DN12" s="106">
        <f>'[102]BU-4'!F35</f>
        <v>0</v>
      </c>
      <c r="DO12" s="106">
        <f>'[102]BU-4'!G35</f>
        <v>28</v>
      </c>
      <c r="DP12" s="106">
        <f>'[102]BU-4'!H35</f>
        <v>0</v>
      </c>
      <c r="DQ12" s="10"/>
      <c r="DR12" s="10"/>
      <c r="DS12" s="10"/>
      <c r="DT12" s="10"/>
      <c r="DU12" s="10"/>
      <c r="DV12" s="10"/>
      <c r="DW12" s="10"/>
      <c r="DX12" s="10"/>
    </row>
    <row r="13" spans="2:128" ht="15.95" customHeight="1" x14ac:dyDescent="0.2">
      <c r="B13" s="8">
        <v>43160</v>
      </c>
      <c r="C13" s="10">
        <f>+'[81]BU-2'!$E$10</f>
        <v>17040</v>
      </c>
      <c r="D13" s="10">
        <f>+'[81]BU-3'!$F$11</f>
        <v>6931.1900000000151</v>
      </c>
      <c r="E13" s="10">
        <f>+'[81]BU-2'!$E$28</f>
        <v>1439.6095081079375</v>
      </c>
      <c r="F13" s="10">
        <f>+'[81]BU-2'!$E$29</f>
        <v>8780.9404918920663</v>
      </c>
      <c r="G13" s="31">
        <f t="shared" si="0"/>
        <v>10220.550000000003</v>
      </c>
      <c r="H13" s="10">
        <f>+'[81]BU-2'!$E$27</f>
        <v>111.74</v>
      </c>
      <c r="I13" s="52">
        <f t="shared" si="17"/>
        <v>-1.6370904631912708E-11</v>
      </c>
      <c r="J13" s="8">
        <f t="shared" si="1"/>
        <v>43160</v>
      </c>
      <c r="K13" s="10">
        <f>'[81]BU-2'!$E$11</f>
        <v>95187</v>
      </c>
      <c r="L13" s="10">
        <f>'[81]BU-3'!$F$37</f>
        <v>93037</v>
      </c>
      <c r="M13" s="12">
        <f>'[81]BU-3'!$F$38</f>
        <v>2150</v>
      </c>
      <c r="N13" s="33">
        <f t="shared" si="2"/>
        <v>95187</v>
      </c>
      <c r="O13" s="12">
        <f>'[81]BU-2'!$E$30</f>
        <v>1436</v>
      </c>
      <c r="P13" s="10">
        <f>'[81]BU-2'!$E$31</f>
        <v>200</v>
      </c>
      <c r="Q13" s="33">
        <f t="shared" si="3"/>
        <v>1636</v>
      </c>
      <c r="R13" s="10">
        <f>'[81]BU-2'!$E$32</f>
        <v>301</v>
      </c>
      <c r="S13" s="10">
        <f>'[81]BU-2'!$E$33</f>
        <v>0</v>
      </c>
      <c r="T13" s="33">
        <f t="shared" si="4"/>
        <v>301</v>
      </c>
      <c r="U13" s="13">
        <f t="shared" si="18"/>
        <v>-304</v>
      </c>
      <c r="V13" s="8">
        <f t="shared" si="5"/>
        <v>43160</v>
      </c>
      <c r="W13" s="10">
        <f>[82]Feuil1!$K$40</f>
        <v>35335</v>
      </c>
      <c r="X13" s="10">
        <f>[82]Feuil1!$L$40</f>
        <v>58431</v>
      </c>
      <c r="Y13" s="10">
        <f>[82]Feuil1!$M$40</f>
        <v>3731</v>
      </c>
      <c r="Z13" s="10">
        <f>[82]Feuil1!$N$40</f>
        <v>2150</v>
      </c>
      <c r="AA13" s="10">
        <f>[82]Feuil1!$O$40</f>
        <v>5710</v>
      </c>
      <c r="AB13" s="12">
        <f>+Y13+Z13+AA13+X13+W13</f>
        <v>105357</v>
      </c>
      <c r="AC13" s="10">
        <f>[82]Feuil1!$Q$40</f>
        <v>84588</v>
      </c>
      <c r="AD13" s="10">
        <f>[82]Feuil1!$R$40</f>
        <v>18515</v>
      </c>
      <c r="AE13" s="10">
        <f>[82]Feuil1!$S$40</f>
        <v>0</v>
      </c>
      <c r="AF13" s="18">
        <f>[82]Feuil1!$T$40</f>
        <v>2254</v>
      </c>
      <c r="AG13" s="12">
        <f>SUM(AC13:AF13)</f>
        <v>105357</v>
      </c>
      <c r="AH13" s="13">
        <f t="shared" si="6"/>
        <v>0</v>
      </c>
      <c r="AI13" s="8">
        <f t="shared" si="7"/>
        <v>43160</v>
      </c>
      <c r="AJ13" s="12">
        <f>'[81]BU-2'!$E$20</f>
        <v>144399</v>
      </c>
      <c r="AK13" s="12"/>
      <c r="AL13" s="12"/>
      <c r="AM13" s="12"/>
      <c r="AN13" s="12"/>
      <c r="AO13" s="10"/>
      <c r="AP13" s="10">
        <f>'[81]BU-2'!$E$35</f>
        <v>232</v>
      </c>
      <c r="AQ13" s="12"/>
      <c r="AR13" s="51">
        <f t="shared" si="19"/>
        <v>-144399</v>
      </c>
      <c r="AS13" s="8">
        <f t="shared" si="20"/>
        <v>43160</v>
      </c>
      <c r="AT13" s="10"/>
      <c r="AU13" s="10"/>
      <c r="AV13" s="10"/>
      <c r="AW13" s="12">
        <f t="shared" si="21"/>
        <v>0</v>
      </c>
      <c r="AX13" s="10"/>
      <c r="AY13" s="20"/>
      <c r="AZ13" s="12"/>
      <c r="BA13" s="12">
        <f t="shared" si="22"/>
        <v>0</v>
      </c>
      <c r="BB13" s="13">
        <f t="shared" si="23"/>
        <v>0</v>
      </c>
      <c r="BC13" s="8">
        <f t="shared" si="8"/>
        <v>43160</v>
      </c>
      <c r="BD13" s="10">
        <f>'[81]BU-2'!$E$15</f>
        <v>174358</v>
      </c>
      <c r="BE13" s="10">
        <f>'[81]BU-3'!$F$69</f>
        <v>124812</v>
      </c>
      <c r="BF13" s="10">
        <f>'[81]BU-3'!$F$13-BE13</f>
        <v>49396</v>
      </c>
      <c r="BG13" s="10">
        <f>'[81]BU-3'!$F$41</f>
        <v>0</v>
      </c>
      <c r="BH13" s="10">
        <f t="shared" si="24"/>
        <v>174208</v>
      </c>
      <c r="BI13" s="10">
        <f>'[81]BU-2'!$E$17</f>
        <v>49396</v>
      </c>
      <c r="BJ13" s="10">
        <f>'[81]BU-3'!$F$12</f>
        <v>1050</v>
      </c>
      <c r="BK13" s="10">
        <f>'[81]BU-3'!$F$45</f>
        <v>1471</v>
      </c>
      <c r="BL13" s="10">
        <f>[82]Feuil1!$AO$40</f>
        <v>26480</v>
      </c>
      <c r="BM13" s="10">
        <f>[82]Feuil1!$AP$40</f>
        <v>21673</v>
      </c>
      <c r="BN13" s="10">
        <f t="shared" si="25"/>
        <v>50674</v>
      </c>
      <c r="BO13" s="10">
        <f>'[81]BU-2'!$E$18</f>
        <v>48153</v>
      </c>
      <c r="BP13" s="10">
        <f>[82]Feuil1!$AX$40</f>
        <v>24073</v>
      </c>
      <c r="BQ13" s="10">
        <f>'[81]BU-3'!$F$58</f>
        <v>19173</v>
      </c>
      <c r="BR13" s="10">
        <f>'[81]BU-3'!$F$44</f>
        <v>5077</v>
      </c>
      <c r="BS13" s="10"/>
      <c r="BT13" s="10">
        <f t="shared" si="9"/>
        <v>48323</v>
      </c>
      <c r="BU13" s="13">
        <f t="shared" si="26"/>
        <v>170</v>
      </c>
      <c r="BV13" s="13">
        <f t="shared" si="27"/>
        <v>1278</v>
      </c>
      <c r="BW13" s="8">
        <f t="shared" si="10"/>
        <v>43160</v>
      </c>
      <c r="BX13" s="10">
        <f>'[81]BU-2'!$E$19</f>
        <v>8345.6389999999992</v>
      </c>
      <c r="BY13" s="10">
        <f>'[81]BU-3'!$F$46</f>
        <v>0</v>
      </c>
      <c r="BZ13" s="10">
        <f>'[81]BU-3'!$F$59</f>
        <v>4215.7650000000003</v>
      </c>
      <c r="CA13" s="10">
        <f>'[81]BU-3'!$F$71</f>
        <v>4129.8739999999998</v>
      </c>
      <c r="CB13" s="10">
        <f>'[81]BU-3'!$F$46</f>
        <v>0</v>
      </c>
      <c r="CC13" s="11">
        <f t="shared" si="28"/>
        <v>8345.6389999999992</v>
      </c>
      <c r="CD13" s="13">
        <f t="shared" si="29"/>
        <v>0</v>
      </c>
      <c r="CE13" s="8">
        <f t="shared" si="11"/>
        <v>43160</v>
      </c>
      <c r="CF13" s="21">
        <f t="shared" ref="CF13:CF22" si="36">+CK12</f>
        <v>52.286200000000036</v>
      </c>
      <c r="CG13" s="23">
        <f>'[9]BU-3'!$H$83</f>
        <v>0</v>
      </c>
      <c r="CH13" s="23">
        <v>0</v>
      </c>
      <c r="CI13" s="23">
        <f>'[9]BU-3'!$J$83</f>
        <v>0</v>
      </c>
      <c r="CJ13" s="21">
        <f t="shared" si="12"/>
        <v>0</v>
      </c>
      <c r="CK13" s="21">
        <f t="shared" si="13"/>
        <v>52.286200000000036</v>
      </c>
      <c r="CM13" s="8">
        <f t="shared" si="14"/>
        <v>43160</v>
      </c>
      <c r="CN13" s="11">
        <f t="shared" si="30"/>
        <v>7.0953010800000804</v>
      </c>
      <c r="CO13" s="9">
        <f>'[81]BU-3'!$H$82</f>
        <v>19.420000000000002</v>
      </c>
      <c r="CP13" s="9">
        <f>'[81]BU-3'!$J$82</f>
        <v>19.357152360000001</v>
      </c>
      <c r="CQ13" s="11">
        <f t="shared" si="31"/>
        <v>7.1581487200000815</v>
      </c>
      <c r="CR13" s="11">
        <f t="shared" ref="CR13:CR21" si="37">+CU12</f>
        <v>11.314941625000003</v>
      </c>
      <c r="CS13" s="23">
        <f>'[9]BU-3'!$H$84</f>
        <v>105.8801125</v>
      </c>
      <c r="CT13" s="23">
        <f>'[9]BU-3'!$J$84</f>
        <v>106.692639</v>
      </c>
      <c r="CU13" s="21">
        <f t="shared" si="32"/>
        <v>10.502415124999999</v>
      </c>
      <c r="CW13" s="8">
        <f t="shared" si="15"/>
        <v>43160</v>
      </c>
      <c r="CX13" s="12">
        <f t="shared" ref="CX13:CX22" si="38">+DB12</f>
        <v>448</v>
      </c>
      <c r="CY13" s="10"/>
      <c r="CZ13" s="10"/>
      <c r="DA13" s="10"/>
      <c r="DB13" s="12">
        <f t="shared" si="33"/>
        <v>448</v>
      </c>
      <c r="DC13" s="12">
        <f t="shared" ref="DC13:DC22" si="39">+DF12</f>
        <v>20</v>
      </c>
      <c r="DD13" s="10"/>
      <c r="DE13" s="10"/>
      <c r="DF13" s="12">
        <f t="shared" si="34"/>
        <v>20</v>
      </c>
      <c r="DG13" s="12">
        <f t="shared" ref="DG13:DG22" si="40">+DJ12</f>
        <v>2290</v>
      </c>
      <c r="DH13" s="10"/>
      <c r="DI13" s="10"/>
      <c r="DJ13" s="12">
        <f t="shared" si="35"/>
        <v>2290</v>
      </c>
      <c r="DK13" s="13"/>
      <c r="DL13" s="8">
        <f t="shared" si="16"/>
        <v>43160</v>
      </c>
      <c r="DM13" s="106">
        <f>'[103]BU-4'!E35</f>
        <v>0</v>
      </c>
      <c r="DN13" s="106">
        <f>'[103]BU-4'!F35</f>
        <v>0</v>
      </c>
      <c r="DO13" s="106">
        <f>'[103]BU-4'!G35</f>
        <v>31</v>
      </c>
      <c r="DP13" s="106">
        <f>'[103]BU-4'!H35</f>
        <v>0</v>
      </c>
      <c r="DQ13" s="10"/>
      <c r="DR13" s="10"/>
      <c r="DS13" s="10"/>
      <c r="DT13" s="10"/>
      <c r="DU13" s="10"/>
      <c r="DV13" s="10"/>
      <c r="DW13" s="10"/>
      <c r="DX13" s="10"/>
    </row>
    <row r="14" spans="2:128" ht="15.95" customHeight="1" x14ac:dyDescent="0.2">
      <c r="B14" s="8">
        <v>43191</v>
      </c>
      <c r="C14" s="10">
        <f>+'[83]BU-2'!$E$10</f>
        <v>15052</v>
      </c>
      <c r="D14" s="10">
        <f>+'[83]BU-3'!$F$11</f>
        <v>6631.92</v>
      </c>
      <c r="E14" s="10">
        <f>+'[83]BU-2'!$E$28</f>
        <v>714.83405865259579</v>
      </c>
      <c r="F14" s="10">
        <f>+'[83]BU-2'!$E$29</f>
        <v>7826.1759413474265</v>
      </c>
      <c r="G14" s="31">
        <f t="shared" si="0"/>
        <v>8541.010000000022</v>
      </c>
      <c r="H14" s="10">
        <f>+'[83]BU-2'!$E$27</f>
        <v>120.93</v>
      </c>
      <c r="I14" s="52">
        <f t="shared" si="17"/>
        <v>-2.1827872842550278E-11</v>
      </c>
      <c r="J14" s="8">
        <f t="shared" si="1"/>
        <v>43191</v>
      </c>
      <c r="K14" s="10">
        <f>'[83]BU-2'!$E$11</f>
        <v>88252</v>
      </c>
      <c r="L14" s="10">
        <f>'[83]BU-3'!$F$37</f>
        <v>85835</v>
      </c>
      <c r="M14" s="12">
        <f>'[83]BU-3'!$F$38</f>
        <v>2380</v>
      </c>
      <c r="N14" s="33">
        <f t="shared" si="2"/>
        <v>88215</v>
      </c>
      <c r="O14" s="12">
        <f>'[83]BU-2'!$E$30</f>
        <v>2168</v>
      </c>
      <c r="P14" s="10">
        <f>'[83]BU-2'!$E$31</f>
        <v>0</v>
      </c>
      <c r="Q14" s="33">
        <f t="shared" si="3"/>
        <v>2168</v>
      </c>
      <c r="R14" s="10">
        <f>'[83]BU-2'!$E$32</f>
        <v>598</v>
      </c>
      <c r="S14" s="10">
        <f>'[83]BU-2'!$E$33</f>
        <v>0</v>
      </c>
      <c r="T14" s="33">
        <f t="shared" si="4"/>
        <v>598</v>
      </c>
      <c r="U14" s="13">
        <f t="shared" si="18"/>
        <v>-1335</v>
      </c>
      <c r="V14" s="8">
        <f t="shared" si="5"/>
        <v>43191</v>
      </c>
      <c r="W14" s="10">
        <f>[84]Feuil1!$K$40</f>
        <v>33990</v>
      </c>
      <c r="X14" s="10">
        <f>[84]Feuil1!$L$40</f>
        <v>55497</v>
      </c>
      <c r="Y14" s="10">
        <f>[84]Feuil1!$M$40</f>
        <v>3324</v>
      </c>
      <c r="Z14" s="10">
        <f>[84]Feuil1!$N$40</f>
        <v>2380</v>
      </c>
      <c r="AA14" s="10">
        <f>[84]Feuil1!$O$40</f>
        <v>5556</v>
      </c>
      <c r="AB14" s="12">
        <f t="shared" ref="AB14:AB22" si="41">+Y14+Z14+AA14+X14+W14</f>
        <v>100747</v>
      </c>
      <c r="AC14" s="10">
        <f>[84]Feuil1!$Q$40</f>
        <v>81146</v>
      </c>
      <c r="AD14" s="10">
        <f>[84]Feuil1!$R$40</f>
        <v>18957</v>
      </c>
      <c r="AE14" s="10">
        <f>[84]Feuil1!$S$40</f>
        <v>40</v>
      </c>
      <c r="AF14" s="18">
        <f>[84]Feuil1!$T$40</f>
        <v>604</v>
      </c>
      <c r="AG14" s="12">
        <f t="shared" ref="AG14:AG22" si="42">SUM(AC14:AF14)</f>
        <v>100747</v>
      </c>
      <c r="AH14" s="13">
        <f t="shared" si="6"/>
        <v>0</v>
      </c>
      <c r="AI14" s="8">
        <f t="shared" si="7"/>
        <v>43191</v>
      </c>
      <c r="AJ14" s="12">
        <f>'[83]BU-2'!$E$20</f>
        <v>142705</v>
      </c>
      <c r="AK14" s="12"/>
      <c r="AL14" s="12"/>
      <c r="AM14" s="12"/>
      <c r="AN14" s="12"/>
      <c r="AO14" s="10"/>
      <c r="AP14" s="10">
        <f>'[83]BU-2'!$E$35</f>
        <v>6695</v>
      </c>
      <c r="AQ14" s="12"/>
      <c r="AR14" s="51">
        <f t="shared" si="19"/>
        <v>-142705</v>
      </c>
      <c r="AS14" s="8">
        <f t="shared" si="20"/>
        <v>43191</v>
      </c>
      <c r="AT14" s="10"/>
      <c r="AU14" s="10"/>
      <c r="AV14" s="10"/>
      <c r="AW14" s="12">
        <f t="shared" si="21"/>
        <v>0</v>
      </c>
      <c r="AX14" s="10"/>
      <c r="AY14" s="20"/>
      <c r="AZ14" s="12"/>
      <c r="BA14" s="12">
        <f t="shared" si="22"/>
        <v>0</v>
      </c>
      <c r="BB14" s="13">
        <f t="shared" si="23"/>
        <v>0</v>
      </c>
      <c r="BC14" s="8">
        <f t="shared" si="8"/>
        <v>43191</v>
      </c>
      <c r="BD14" s="10">
        <f>'[83]BU-2'!$E$15</f>
        <v>186927</v>
      </c>
      <c r="BE14" s="10">
        <f>'[83]BU-3'!$F$69</f>
        <v>139148</v>
      </c>
      <c r="BF14" s="10">
        <f>'[83]BU-3'!$F$13-BE14</f>
        <v>47829</v>
      </c>
      <c r="BG14" s="10">
        <f>'[83]BU-3'!$F$41</f>
        <v>0</v>
      </c>
      <c r="BH14" s="10">
        <f t="shared" si="24"/>
        <v>186977</v>
      </c>
      <c r="BI14" s="10">
        <f>'[83]BU-2'!$E$17</f>
        <v>47829</v>
      </c>
      <c r="BJ14" s="10">
        <f>'[83]BU-3'!$F$12</f>
        <v>974</v>
      </c>
      <c r="BK14" s="10">
        <f>'[83]BU-3'!$F$45</f>
        <v>1354</v>
      </c>
      <c r="BL14" s="10">
        <f>[84]Feuil1!$AO$40</f>
        <v>23717</v>
      </c>
      <c r="BM14" s="10">
        <f>[84]Feuil1!$AP$40</f>
        <v>21764</v>
      </c>
      <c r="BN14" s="10">
        <f t="shared" si="25"/>
        <v>47809</v>
      </c>
      <c r="BO14" s="10">
        <f>'[83]BU-2'!$E$18</f>
        <v>45481</v>
      </c>
      <c r="BP14" s="10">
        <f>[84]Feuil1!$AX$40</f>
        <v>22921</v>
      </c>
      <c r="BQ14" s="10">
        <f>'[83]BU-3'!$F$58</f>
        <v>17837</v>
      </c>
      <c r="BR14" s="10">
        <f>'[83]BU-3'!$F$44</f>
        <v>4653</v>
      </c>
      <c r="BS14" s="10"/>
      <c r="BT14" s="10">
        <f t="shared" si="9"/>
        <v>45411</v>
      </c>
      <c r="BU14" s="13">
        <f t="shared" si="26"/>
        <v>-70</v>
      </c>
      <c r="BV14" s="13">
        <f t="shared" si="27"/>
        <v>-20</v>
      </c>
      <c r="BW14" s="8">
        <f t="shared" si="10"/>
        <v>43191</v>
      </c>
      <c r="BX14" s="10">
        <f>'[83]BU-2'!$E$19</f>
        <v>8051.4049999999997</v>
      </c>
      <c r="BY14" s="10">
        <f>'[83]BU-3'!$F$46</f>
        <v>0</v>
      </c>
      <c r="BZ14" s="10">
        <f>'[83]BU-3'!$F$59</f>
        <v>3951.4160000000002</v>
      </c>
      <c r="CA14" s="10">
        <f>'[83]BU-3'!$F$71</f>
        <v>4099.9889999999996</v>
      </c>
      <c r="CB14" s="10">
        <f>'[83]BU-3'!$F$46</f>
        <v>0</v>
      </c>
      <c r="CC14" s="11">
        <f t="shared" si="28"/>
        <v>8051.4049999999997</v>
      </c>
      <c r="CD14" s="13">
        <f t="shared" si="29"/>
        <v>0</v>
      </c>
      <c r="CE14" s="8">
        <f t="shared" si="11"/>
        <v>43191</v>
      </c>
      <c r="CF14" s="21">
        <f t="shared" si="36"/>
        <v>52.286200000000036</v>
      </c>
      <c r="CG14" s="23">
        <f>'[11]BU-3'!$H$83</f>
        <v>0</v>
      </c>
      <c r="CH14" s="23">
        <v>0</v>
      </c>
      <c r="CI14" s="23">
        <f>'[11]BU-3'!$J$83</f>
        <v>0</v>
      </c>
      <c r="CJ14" s="21">
        <f t="shared" si="12"/>
        <v>0</v>
      </c>
      <c r="CK14" s="21">
        <f t="shared" si="13"/>
        <v>52.286200000000036</v>
      </c>
      <c r="CM14" s="8">
        <f t="shared" si="14"/>
        <v>43191</v>
      </c>
      <c r="CN14" s="11">
        <f t="shared" si="30"/>
        <v>7.1581487200000815</v>
      </c>
      <c r="CO14" s="9">
        <f>'[83]BU-3'!$H$82</f>
        <v>13.34</v>
      </c>
      <c r="CP14" s="9">
        <f>'[83]BU-3'!$J$82</f>
        <v>17.800945680000002</v>
      </c>
      <c r="CQ14" s="11">
        <f t="shared" si="31"/>
        <v>2.6972030400000797</v>
      </c>
      <c r="CR14" s="11">
        <f t="shared" si="37"/>
        <v>10.502415124999999</v>
      </c>
      <c r="CS14" s="23">
        <f>'[11]BU-3'!$H$84</f>
        <v>112.38751500000001</v>
      </c>
      <c r="CT14" s="23">
        <f>'[11]BU-3'!$J$84</f>
        <v>100.7604765</v>
      </c>
      <c r="CU14" s="21">
        <f t="shared" si="32"/>
        <v>22.129453625000011</v>
      </c>
      <c r="CW14" s="8">
        <f t="shared" si="15"/>
        <v>43191</v>
      </c>
      <c r="CX14" s="12">
        <f t="shared" si="38"/>
        <v>448</v>
      </c>
      <c r="CY14" s="10"/>
      <c r="CZ14" s="10"/>
      <c r="DA14" s="10"/>
      <c r="DB14" s="12">
        <f t="shared" si="33"/>
        <v>448</v>
      </c>
      <c r="DC14" s="12">
        <f t="shared" si="39"/>
        <v>20</v>
      </c>
      <c r="DD14" s="10"/>
      <c r="DE14" s="10"/>
      <c r="DF14" s="12">
        <f t="shared" si="34"/>
        <v>20</v>
      </c>
      <c r="DG14" s="12">
        <f t="shared" si="40"/>
        <v>2290</v>
      </c>
      <c r="DH14" s="10"/>
      <c r="DI14" s="10"/>
      <c r="DJ14" s="12">
        <f t="shared" si="35"/>
        <v>2290</v>
      </c>
      <c r="DK14" s="13"/>
      <c r="DL14" s="8">
        <f t="shared" si="16"/>
        <v>43191</v>
      </c>
      <c r="DM14" s="106">
        <f>'[104]BU-4'!E35</f>
        <v>0</v>
      </c>
      <c r="DN14" s="106">
        <f>'[104]BU-4'!F35</f>
        <v>0</v>
      </c>
      <c r="DO14" s="106">
        <f>'[104]BU-4'!G35</f>
        <v>30</v>
      </c>
      <c r="DP14" s="106">
        <f>'[104]BU-4'!H35</f>
        <v>0</v>
      </c>
      <c r="DQ14" s="10"/>
      <c r="DR14" s="10"/>
      <c r="DS14" s="10"/>
      <c r="DT14" s="10"/>
      <c r="DU14" s="10"/>
      <c r="DV14" s="10"/>
      <c r="DW14" s="10"/>
      <c r="DX14" s="10"/>
    </row>
    <row r="15" spans="2:128" ht="15.95" customHeight="1" x14ac:dyDescent="0.2">
      <c r="B15" s="8">
        <v>43221</v>
      </c>
      <c r="C15" s="10">
        <f>+'[85]BU-2'!$E$10</f>
        <v>16215</v>
      </c>
      <c r="D15" s="10">
        <f>+'[85]BU-3'!$F$11</f>
        <v>6995.76</v>
      </c>
      <c r="E15" s="10">
        <f>+'[85]BU-2'!$E$28</f>
        <v>938.92300274591935</v>
      </c>
      <c r="F15" s="10">
        <f>+'[85]BU-2'!$E$29</f>
        <v>8320.7369972540819</v>
      </c>
      <c r="G15" s="31">
        <f t="shared" si="0"/>
        <v>9259.6600000000017</v>
      </c>
      <c r="H15" s="10">
        <f>+'[85]BU-2'!$E$27</f>
        <v>40.42</v>
      </c>
      <c r="I15" s="52">
        <f t="shared" si="17"/>
        <v>0</v>
      </c>
      <c r="J15" s="8">
        <f t="shared" si="1"/>
        <v>43221</v>
      </c>
      <c r="K15" s="10">
        <f>'[85]BU-2'!$E$11</f>
        <v>95202</v>
      </c>
      <c r="L15" s="10">
        <f>'[85]BU-3'!$F$37</f>
        <v>92532</v>
      </c>
      <c r="M15" s="12">
        <f>'[85]BU-3'!$F$38</f>
        <v>2670</v>
      </c>
      <c r="N15" s="33">
        <f t="shared" si="2"/>
        <v>95202</v>
      </c>
      <c r="O15" s="12">
        <f>'[85]BU-2'!$E$30</f>
        <v>1259</v>
      </c>
      <c r="P15" s="10">
        <f>'[85]BU-2'!$E$31</f>
        <v>0</v>
      </c>
      <c r="Q15" s="33">
        <f t="shared" si="3"/>
        <v>1259</v>
      </c>
      <c r="R15" s="10">
        <f>'[85]BU-2'!$E$32</f>
        <v>0</v>
      </c>
      <c r="S15" s="10">
        <f>'[85]BU-2'!$E$33</f>
        <v>0</v>
      </c>
      <c r="T15" s="33">
        <f t="shared" si="4"/>
        <v>0</v>
      </c>
      <c r="U15" s="13">
        <f t="shared" si="18"/>
        <v>-1533</v>
      </c>
      <c r="V15" s="8">
        <f t="shared" si="5"/>
        <v>43221</v>
      </c>
      <c r="W15" s="10">
        <f>[86]Feuil1!$K$40</f>
        <v>35401</v>
      </c>
      <c r="X15" s="10">
        <f>[86]Feuil1!$L$40</f>
        <v>61112</v>
      </c>
      <c r="Y15" s="10">
        <f>[86]Feuil1!$M$40</f>
        <v>2725</v>
      </c>
      <c r="Z15" s="10">
        <f>[86]Feuil1!$N$40</f>
        <v>2670</v>
      </c>
      <c r="AA15" s="10">
        <f>[86]Feuil1!$O$40</f>
        <v>5953</v>
      </c>
      <c r="AB15" s="12">
        <f t="shared" si="41"/>
        <v>107861</v>
      </c>
      <c r="AC15" s="10">
        <f>[86]Feuil1!$Q$40</f>
        <v>87761</v>
      </c>
      <c r="AD15" s="10">
        <f>[86]Feuil1!$R$40</f>
        <v>19534</v>
      </c>
      <c r="AE15" s="10">
        <f>[86]Feuil1!$S$40</f>
        <v>80</v>
      </c>
      <c r="AF15" s="18">
        <f>[86]Feuil1!$T$40</f>
        <v>486</v>
      </c>
      <c r="AG15" s="12">
        <f t="shared" si="42"/>
        <v>107861</v>
      </c>
      <c r="AH15" s="13">
        <f t="shared" si="6"/>
        <v>0</v>
      </c>
      <c r="AI15" s="8">
        <f t="shared" si="7"/>
        <v>43221</v>
      </c>
      <c r="AJ15" s="12">
        <f>'[85]BU-2'!$E$20</f>
        <v>147475</v>
      </c>
      <c r="AK15" s="12"/>
      <c r="AL15" s="12"/>
      <c r="AM15" s="12"/>
      <c r="AN15" s="12"/>
      <c r="AO15" s="10"/>
      <c r="AP15" s="10">
        <f>'[85]BU-2'!$E$35</f>
        <v>2654</v>
      </c>
      <c r="AQ15" s="12"/>
      <c r="AR15" s="51">
        <f t="shared" si="19"/>
        <v>-147475</v>
      </c>
      <c r="AS15" s="8">
        <f t="shared" si="20"/>
        <v>43221</v>
      </c>
      <c r="AT15" s="10"/>
      <c r="AU15" s="10"/>
      <c r="AV15" s="10"/>
      <c r="AW15" s="12">
        <f t="shared" si="21"/>
        <v>0</v>
      </c>
      <c r="AX15" s="10"/>
      <c r="AY15" s="20"/>
      <c r="AZ15" s="12"/>
      <c r="BA15" s="12">
        <f t="shared" si="22"/>
        <v>0</v>
      </c>
      <c r="BB15" s="13">
        <f t="shared" si="23"/>
        <v>0</v>
      </c>
      <c r="BC15" s="8">
        <f t="shared" si="8"/>
        <v>43221</v>
      </c>
      <c r="BD15" s="10">
        <f>'[85]BU-2'!$E$15</f>
        <v>178256</v>
      </c>
      <c r="BE15" s="10">
        <f>'[85]BU-3'!$F$69</f>
        <v>130101</v>
      </c>
      <c r="BF15" s="10">
        <f>'[85]BU-3'!$F$13-BE15</f>
        <v>48105</v>
      </c>
      <c r="BG15" s="10">
        <f>'[85]BU-3'!$F$41</f>
        <v>0</v>
      </c>
      <c r="BH15" s="10">
        <f t="shared" si="24"/>
        <v>178206</v>
      </c>
      <c r="BI15" s="10">
        <f>'[85]BU-2'!$E$17</f>
        <v>48105</v>
      </c>
      <c r="BJ15" s="10">
        <f>'[85]BU-3'!$F$12</f>
        <v>1283</v>
      </c>
      <c r="BK15" s="10">
        <f>'[85]BU-3'!$F$45</f>
        <v>1484</v>
      </c>
      <c r="BL15" s="10">
        <f>[86]Feuil1!$AO$40</f>
        <v>24723</v>
      </c>
      <c r="BM15" s="10">
        <f>[86]Feuil1!$AP$40</f>
        <v>20645</v>
      </c>
      <c r="BN15" s="10">
        <f t="shared" si="25"/>
        <v>48135</v>
      </c>
      <c r="BO15" s="10">
        <f>'[85]BU-2'!$E$18</f>
        <v>45368</v>
      </c>
      <c r="BP15" s="10">
        <f>[86]Feuil1!$AX$40</f>
        <v>22010</v>
      </c>
      <c r="BQ15" s="10">
        <f>'[85]BU-3'!$F$58</f>
        <v>18552</v>
      </c>
      <c r="BR15" s="10">
        <f>'[85]BU-3'!$F$44</f>
        <v>5046</v>
      </c>
      <c r="BS15" s="10"/>
      <c r="BT15" s="10">
        <f t="shared" si="9"/>
        <v>45608</v>
      </c>
      <c r="BU15" s="13">
        <f t="shared" si="26"/>
        <v>240</v>
      </c>
      <c r="BV15" s="13">
        <f t="shared" si="27"/>
        <v>30</v>
      </c>
      <c r="BW15" s="8">
        <f t="shared" si="10"/>
        <v>43221</v>
      </c>
      <c r="BX15" s="10">
        <f>'[85]BU-2'!$E$19</f>
        <v>8612.77</v>
      </c>
      <c r="BY15" s="10">
        <f>'[85]BU-3'!$F$46</f>
        <v>0</v>
      </c>
      <c r="BZ15" s="10">
        <f>'[85]BU-3'!$F$59</f>
        <v>4136.3609999999999</v>
      </c>
      <c r="CA15" s="10">
        <f>'[85]BU-3'!$F$71</f>
        <v>4476.4089999999997</v>
      </c>
      <c r="CB15" s="10">
        <f>'[85]BU-3'!$F$46</f>
        <v>0</v>
      </c>
      <c r="CC15" s="11">
        <f t="shared" si="28"/>
        <v>8612.77</v>
      </c>
      <c r="CD15" s="13">
        <f t="shared" si="29"/>
        <v>0</v>
      </c>
      <c r="CE15" s="8">
        <f t="shared" si="11"/>
        <v>43221</v>
      </c>
      <c r="CF15" s="21">
        <f t="shared" si="36"/>
        <v>52.286200000000036</v>
      </c>
      <c r="CG15" s="23">
        <f>'[13]BU-3'!$H$83</f>
        <v>0</v>
      </c>
      <c r="CH15" s="23">
        <v>0</v>
      </c>
      <c r="CI15" s="23">
        <f>'[13]BU-3'!$J$83</f>
        <v>0</v>
      </c>
      <c r="CJ15" s="21">
        <f t="shared" si="12"/>
        <v>0</v>
      </c>
      <c r="CK15" s="21">
        <f t="shared" si="13"/>
        <v>52.286200000000036</v>
      </c>
      <c r="CM15" s="8">
        <f t="shared" si="14"/>
        <v>43221</v>
      </c>
      <c r="CN15" s="11">
        <f t="shared" si="30"/>
        <v>2.6972030400000797</v>
      </c>
      <c r="CO15" s="9">
        <f>'[85]BU-3'!$H$82</f>
        <v>25.7</v>
      </c>
      <c r="CP15" s="9">
        <f>'[85]BU-3'!$J$82</f>
        <v>19.502264879999998</v>
      </c>
      <c r="CQ15" s="11">
        <f t="shared" si="31"/>
        <v>8.8949381600000805</v>
      </c>
      <c r="CR15" s="11">
        <f t="shared" si="37"/>
        <v>22.129453625000011</v>
      </c>
      <c r="CS15" s="23">
        <f>'[13]BU-3'!$H$84</f>
        <v>117.00022075</v>
      </c>
      <c r="CT15" s="23">
        <f>'[13]BU-3'!$J$84</f>
        <v>111.012331875</v>
      </c>
      <c r="CU15" s="21">
        <f t="shared" si="32"/>
        <v>28.117342500000007</v>
      </c>
      <c r="CW15" s="8">
        <f t="shared" si="15"/>
        <v>43221</v>
      </c>
      <c r="CX15" s="12">
        <f t="shared" si="38"/>
        <v>448</v>
      </c>
      <c r="CY15" s="10"/>
      <c r="CZ15" s="10"/>
      <c r="DA15" s="10"/>
      <c r="DB15" s="12">
        <f t="shared" si="33"/>
        <v>448</v>
      </c>
      <c r="DC15" s="12">
        <f t="shared" si="39"/>
        <v>20</v>
      </c>
      <c r="DD15" s="10"/>
      <c r="DE15" s="10"/>
      <c r="DF15" s="12">
        <f t="shared" si="34"/>
        <v>20</v>
      </c>
      <c r="DG15" s="12">
        <f t="shared" si="40"/>
        <v>2290</v>
      </c>
      <c r="DH15" s="10"/>
      <c r="DI15" s="10"/>
      <c r="DJ15" s="12">
        <f t="shared" si="35"/>
        <v>2290</v>
      </c>
      <c r="DK15" s="13"/>
      <c r="DL15" s="8">
        <f t="shared" si="16"/>
        <v>43221</v>
      </c>
      <c r="DM15" s="106">
        <f>'[105]BU-4'!E35</f>
        <v>0</v>
      </c>
      <c r="DN15" s="106">
        <f>'[105]BU-4'!F35</f>
        <v>0</v>
      </c>
      <c r="DO15" s="106">
        <f>'[105]BU-4'!G35</f>
        <v>31</v>
      </c>
      <c r="DP15" s="106">
        <f>'[105]BU-4'!H35</f>
        <v>0</v>
      </c>
      <c r="DQ15" s="10"/>
      <c r="DR15" s="10"/>
      <c r="DS15" s="10"/>
      <c r="DT15" s="10"/>
      <c r="DU15" s="10"/>
      <c r="DV15" s="10"/>
      <c r="DW15" s="10"/>
      <c r="DX15" s="10"/>
    </row>
    <row r="16" spans="2:128" ht="15.95" customHeight="1" x14ac:dyDescent="0.2">
      <c r="B16" s="8">
        <v>43252</v>
      </c>
      <c r="C16" s="10">
        <f>+'[87]BU-2'!$E$10</f>
        <v>16647</v>
      </c>
      <c r="D16" s="10">
        <f>+'[87]BU-3'!$F$11</f>
        <v>6353.8700000000008</v>
      </c>
      <c r="E16" s="10">
        <f>+'[87]BU-2'!$E$28</f>
        <v>1999.3512705361613</v>
      </c>
      <c r="F16" s="10">
        <f>+'[87]BU-2'!$E$29</f>
        <v>8293.7787294638292</v>
      </c>
      <c r="G16" s="31">
        <f t="shared" si="0"/>
        <v>10293.12999999999</v>
      </c>
      <c r="H16" s="10">
        <f>+'[87]BU-2'!$E$27</f>
        <v>0</v>
      </c>
      <c r="I16" s="52">
        <f t="shared" si="17"/>
        <v>0</v>
      </c>
      <c r="J16" s="8">
        <f t="shared" si="1"/>
        <v>43252</v>
      </c>
      <c r="K16" s="10">
        <f>'[87]BU-2'!$E$11</f>
        <v>88714</v>
      </c>
      <c r="L16" s="10">
        <f>'[87]BU-3'!$F$37</f>
        <v>83575</v>
      </c>
      <c r="M16" s="12">
        <f>'[87]BU-3'!$F$38</f>
        <v>5139</v>
      </c>
      <c r="N16" s="33">
        <f t="shared" si="2"/>
        <v>88714</v>
      </c>
      <c r="O16" s="12">
        <f>'[87]BU-2'!$E$30</f>
        <v>2266</v>
      </c>
      <c r="P16" s="10">
        <f>'[87]BU-2'!$E$31</f>
        <v>202</v>
      </c>
      <c r="Q16" s="33">
        <f t="shared" si="3"/>
        <v>2468</v>
      </c>
      <c r="R16" s="10">
        <f>'[87]BU-2'!$E$32</f>
        <v>0</v>
      </c>
      <c r="S16" s="10">
        <f>'[87]BU-2'!$E$33</f>
        <v>0</v>
      </c>
      <c r="T16" s="33">
        <f t="shared" si="4"/>
        <v>0</v>
      </c>
      <c r="U16" s="13">
        <f t="shared" si="18"/>
        <v>-1259</v>
      </c>
      <c r="V16" s="8">
        <f t="shared" si="5"/>
        <v>43252</v>
      </c>
      <c r="W16" s="10">
        <f>[88]Feuil1!$K$40</f>
        <v>33692</v>
      </c>
      <c r="X16" s="10">
        <f>[88]Feuil1!$L$40</f>
        <v>43415</v>
      </c>
      <c r="Y16" s="10">
        <f>[88]Feuil1!$M$40</f>
        <v>2029</v>
      </c>
      <c r="Z16" s="10">
        <f>[88]Feuil1!$N$40</f>
        <v>5139</v>
      </c>
      <c r="AA16" s="10">
        <f>[88]Feuil1!$O$40</f>
        <v>5936</v>
      </c>
      <c r="AB16" s="12">
        <f t="shared" si="41"/>
        <v>90211</v>
      </c>
      <c r="AC16" s="10">
        <f>[88]Feuil1!$Q$40</f>
        <v>71786</v>
      </c>
      <c r="AD16" s="10">
        <f>[88]Feuil1!$R$40</f>
        <v>13311</v>
      </c>
      <c r="AE16" s="10">
        <f>[88]Feuil1!$S$40</f>
        <v>0</v>
      </c>
      <c r="AF16" s="18">
        <f>[88]Feuil1!$T$40</f>
        <v>5114</v>
      </c>
      <c r="AG16" s="12">
        <f t="shared" si="42"/>
        <v>90211</v>
      </c>
      <c r="AH16" s="13">
        <f t="shared" si="6"/>
        <v>0</v>
      </c>
      <c r="AI16" s="8">
        <f t="shared" si="7"/>
        <v>43252</v>
      </c>
      <c r="AJ16" s="12">
        <f>'[87]BU-2'!$E$20</f>
        <v>138770</v>
      </c>
      <c r="AK16" s="12"/>
      <c r="AL16" s="12"/>
      <c r="AM16" s="12"/>
      <c r="AN16" s="12"/>
      <c r="AO16" s="10"/>
      <c r="AP16" s="10">
        <f>'[87]BU-2'!$E$35</f>
        <v>660</v>
      </c>
      <c r="AQ16" s="12"/>
      <c r="AR16" s="51">
        <f t="shared" si="19"/>
        <v>-138770</v>
      </c>
      <c r="AS16" s="8">
        <f t="shared" si="20"/>
        <v>43252</v>
      </c>
      <c r="AT16" s="10"/>
      <c r="AU16" s="10"/>
      <c r="AV16" s="10"/>
      <c r="AW16" s="12">
        <f t="shared" si="21"/>
        <v>0</v>
      </c>
      <c r="AX16" s="10"/>
      <c r="AY16" s="20"/>
      <c r="AZ16" s="12"/>
      <c r="BA16" s="12">
        <f t="shared" si="22"/>
        <v>0</v>
      </c>
      <c r="BB16" s="13">
        <f t="shared" si="23"/>
        <v>0</v>
      </c>
      <c r="BC16" s="8">
        <f t="shared" si="8"/>
        <v>43252</v>
      </c>
      <c r="BD16" s="10">
        <f>'[87]BU-2'!$E$15</f>
        <v>186407</v>
      </c>
      <c r="BE16" s="10">
        <f>'[87]BU-3'!$F$69</f>
        <v>109647</v>
      </c>
      <c r="BF16" s="10">
        <f>'[87]BU-3'!$F$13-BE16</f>
        <v>76760</v>
      </c>
      <c r="BG16" s="10">
        <f>'[87]BU-3'!$F$41</f>
        <v>0</v>
      </c>
      <c r="BH16" s="10">
        <f t="shared" si="24"/>
        <v>186407</v>
      </c>
      <c r="BI16" s="10">
        <f>'[87]BU-2'!$E$17</f>
        <v>76760</v>
      </c>
      <c r="BJ16" s="10">
        <f>'[87]BU-3'!$F$12</f>
        <v>1547</v>
      </c>
      <c r="BK16" s="10">
        <f>'[87]BU-3'!$F$45</f>
        <v>2057</v>
      </c>
      <c r="BL16" s="10">
        <f>[88]Feuil1!$AO$40</f>
        <v>38664</v>
      </c>
      <c r="BM16" s="10">
        <f>[88]Feuil1!$AP$40</f>
        <v>34487</v>
      </c>
      <c r="BN16" s="10">
        <f t="shared" si="25"/>
        <v>76755</v>
      </c>
      <c r="BO16" s="10">
        <f>'[87]BU-2'!$E$18</f>
        <v>73151</v>
      </c>
      <c r="BP16" s="10">
        <f>[88]Feuil1!$AX$40</f>
        <v>46533</v>
      </c>
      <c r="BQ16" s="10">
        <f>'[87]BU-3'!$F$58</f>
        <v>17751</v>
      </c>
      <c r="BR16" s="10">
        <f>'[87]BU-3'!$F$44</f>
        <v>8317</v>
      </c>
      <c r="BS16" s="10"/>
      <c r="BT16" s="10">
        <f t="shared" si="9"/>
        <v>72601</v>
      </c>
      <c r="BU16" s="13">
        <f t="shared" si="26"/>
        <v>-550</v>
      </c>
      <c r="BV16" s="13">
        <f t="shared" si="27"/>
        <v>-5</v>
      </c>
      <c r="BW16" s="8">
        <f t="shared" si="10"/>
        <v>43252</v>
      </c>
      <c r="BX16" s="10">
        <f>'[87]BU-2'!$E$19</f>
        <v>7489.41</v>
      </c>
      <c r="BY16" s="10">
        <f>'[87]BU-3'!$F$46</f>
        <v>15.7</v>
      </c>
      <c r="BZ16" s="10">
        <f>'[87]BU-3'!$F$59</f>
        <v>3818.9</v>
      </c>
      <c r="CA16" s="10">
        <f>'[87]BU-3'!$F$71</f>
        <v>3654.81</v>
      </c>
      <c r="CB16" s="10">
        <f>'[87]BU-3'!$F$46</f>
        <v>15.7</v>
      </c>
      <c r="CC16" s="11">
        <f t="shared" si="28"/>
        <v>7505.11</v>
      </c>
      <c r="CD16" s="13">
        <f t="shared" si="29"/>
        <v>15.699999999999818</v>
      </c>
      <c r="CE16" s="8">
        <f t="shared" si="11"/>
        <v>43252</v>
      </c>
      <c r="CF16" s="21">
        <f t="shared" si="36"/>
        <v>52.286200000000036</v>
      </c>
      <c r="CG16" s="23">
        <f>'[15]BU-3'!$H$83</f>
        <v>0</v>
      </c>
      <c r="CH16" s="23">
        <v>0</v>
      </c>
      <c r="CI16" s="23">
        <f>'[15]BU-3'!$J$83</f>
        <v>0</v>
      </c>
      <c r="CJ16" s="21">
        <f t="shared" si="12"/>
        <v>0</v>
      </c>
      <c r="CK16" s="21">
        <f t="shared" si="13"/>
        <v>52.286200000000036</v>
      </c>
      <c r="CM16" s="8">
        <f t="shared" si="14"/>
        <v>43252</v>
      </c>
      <c r="CN16" s="11">
        <f t="shared" si="30"/>
        <v>8.8949381600000805</v>
      </c>
      <c r="CO16" s="9">
        <f>'[87]BU-3'!$H$82</f>
        <v>29.1</v>
      </c>
      <c r="CP16" s="9">
        <f>'[87]BU-3'!$J$82</f>
        <v>32.768265599999999</v>
      </c>
      <c r="CQ16" s="11">
        <f t="shared" si="31"/>
        <v>5.2266725600000825</v>
      </c>
      <c r="CR16" s="11">
        <f t="shared" si="37"/>
        <v>28.117342500000007</v>
      </c>
      <c r="CS16" s="23">
        <f>'[15]BU-3'!$H$84</f>
        <v>104.54987</v>
      </c>
      <c r="CT16" s="23">
        <f>'[15]BU-3'!$J$84</f>
        <v>98.434349749999996</v>
      </c>
      <c r="CU16" s="21">
        <f t="shared" si="32"/>
        <v>34.23286275000001</v>
      </c>
      <c r="CW16" s="8">
        <f t="shared" si="15"/>
        <v>43252</v>
      </c>
      <c r="CX16" s="12">
        <f t="shared" si="38"/>
        <v>448</v>
      </c>
      <c r="CY16" s="10"/>
      <c r="CZ16" s="10"/>
      <c r="DA16" s="10"/>
      <c r="DB16" s="12">
        <f t="shared" si="33"/>
        <v>448</v>
      </c>
      <c r="DC16" s="12">
        <f t="shared" si="39"/>
        <v>20</v>
      </c>
      <c r="DD16" s="10"/>
      <c r="DE16" s="10"/>
      <c r="DF16" s="12">
        <f t="shared" si="34"/>
        <v>20</v>
      </c>
      <c r="DG16" s="12">
        <f t="shared" si="40"/>
        <v>2290</v>
      </c>
      <c r="DH16" s="10"/>
      <c r="DI16" s="10"/>
      <c r="DJ16" s="12">
        <f t="shared" si="35"/>
        <v>2290</v>
      </c>
      <c r="DK16" s="13"/>
      <c r="DL16" s="8">
        <f t="shared" si="16"/>
        <v>43252</v>
      </c>
      <c r="DM16" s="106">
        <f>'[106]BU-4'!E35</f>
        <v>0</v>
      </c>
      <c r="DN16" s="106">
        <f>'[106]BU-4'!F35</f>
        <v>0</v>
      </c>
      <c r="DO16" s="106">
        <f>'[106]BU-4'!G35</f>
        <v>30</v>
      </c>
      <c r="DP16" s="106">
        <f>'[106]BU-4'!H35</f>
        <v>0</v>
      </c>
      <c r="DQ16" s="10"/>
      <c r="DR16" s="10"/>
      <c r="DS16" s="10"/>
      <c r="DT16" s="10"/>
      <c r="DU16" s="10"/>
      <c r="DV16" s="10"/>
      <c r="DW16" s="10"/>
      <c r="DX16" s="10"/>
    </row>
    <row r="17" spans="2:128" ht="15.95" customHeight="1" x14ac:dyDescent="0.2">
      <c r="B17" s="8">
        <v>43282</v>
      </c>
      <c r="C17" s="10">
        <f>+'[89]BU-2'!$E$10</f>
        <v>14572</v>
      </c>
      <c r="D17" s="10">
        <f>+'[89]BU-3'!$F$11</f>
        <v>6674.77</v>
      </c>
      <c r="E17" s="10">
        <f>+'[89]BU-2'!$E$28</f>
        <v>1168.511</v>
      </c>
      <c r="F17" s="10">
        <f>+'[89]BU-2'!$E$29</f>
        <v>7043.3890000000001</v>
      </c>
      <c r="G17" s="31">
        <f t="shared" si="0"/>
        <v>8211.9</v>
      </c>
      <c r="H17" s="10">
        <f>+'[89]BU-2'!$E$27</f>
        <v>314.67</v>
      </c>
      <c r="I17" s="52">
        <f t="shared" si="17"/>
        <v>0</v>
      </c>
      <c r="J17" s="8">
        <f t="shared" si="1"/>
        <v>43282</v>
      </c>
      <c r="K17" s="10">
        <f>'[89]BU-2'!$E$11</f>
        <v>86797</v>
      </c>
      <c r="L17" s="10">
        <f>'[89]BU-3'!$F$37</f>
        <v>82687</v>
      </c>
      <c r="M17" s="12">
        <f>'[89]BU-3'!$F$38</f>
        <v>4110</v>
      </c>
      <c r="N17" s="33">
        <f t="shared" si="2"/>
        <v>86797</v>
      </c>
      <c r="O17" s="12">
        <f>'[89]BU-2'!$E$30</f>
        <v>3283</v>
      </c>
      <c r="P17" s="10">
        <f>'[89]BU-2'!$E$31</f>
        <v>0</v>
      </c>
      <c r="Q17" s="33">
        <f t="shared" si="3"/>
        <v>3283</v>
      </c>
      <c r="R17" s="10">
        <f>'[89]BU-2'!$E$32</f>
        <v>667</v>
      </c>
      <c r="S17" s="10">
        <f>'[89]BU-2'!$E$33</f>
        <v>0</v>
      </c>
      <c r="T17" s="33">
        <f t="shared" si="4"/>
        <v>667</v>
      </c>
      <c r="U17" s="13">
        <f t="shared" si="18"/>
        <v>-2468</v>
      </c>
      <c r="V17" s="8">
        <f t="shared" si="5"/>
        <v>43282</v>
      </c>
      <c r="W17" s="10">
        <f>[90]Feuil1!$K$40</f>
        <v>33440</v>
      </c>
      <c r="X17" s="10">
        <f>[90]Feuil1!$L$40</f>
        <v>53348</v>
      </c>
      <c r="Y17" s="10">
        <f>[90]Feuil1!$M$40</f>
        <v>1923</v>
      </c>
      <c r="Z17" s="10">
        <f>[90]Feuil1!$N$40</f>
        <v>4110</v>
      </c>
      <c r="AA17" s="10">
        <f>[90]Feuil1!$O$40</f>
        <v>6240</v>
      </c>
      <c r="AB17" s="12">
        <f t="shared" si="41"/>
        <v>99061</v>
      </c>
      <c r="AC17" s="10">
        <f>[90]Feuil1!$Q$40</f>
        <v>79720</v>
      </c>
      <c r="AD17" s="10">
        <f>[90]Feuil1!$R$40</f>
        <v>14408</v>
      </c>
      <c r="AE17" s="10">
        <f>[90]Feuil1!$S$40</f>
        <v>0</v>
      </c>
      <c r="AF17" s="18">
        <f>[90]Feuil1!$T$40</f>
        <v>4933</v>
      </c>
      <c r="AG17" s="12">
        <f t="shared" si="42"/>
        <v>99061</v>
      </c>
      <c r="AH17" s="13">
        <f t="shared" si="6"/>
        <v>0</v>
      </c>
      <c r="AI17" s="8">
        <f t="shared" si="7"/>
        <v>43282</v>
      </c>
      <c r="AJ17" s="12">
        <f>'[89]BU-2'!$E$20</f>
        <v>144790</v>
      </c>
      <c r="AK17" s="12"/>
      <c r="AL17" s="12"/>
      <c r="AM17" s="12">
        <f t="shared" ref="AM17:AM22" si="43">SUM(AJ17:AL17)</f>
        <v>144790</v>
      </c>
      <c r="AN17" s="12"/>
      <c r="AO17" s="10"/>
      <c r="AP17" s="10">
        <f>'[89]BU-2'!$E$35</f>
        <v>7617</v>
      </c>
      <c r="AQ17" s="12">
        <f t="shared" ref="AQ17:AQ22" si="44">SUM(AN17:AP17)</f>
        <v>7617</v>
      </c>
      <c r="AR17" s="51">
        <f t="shared" si="19"/>
        <v>-137173</v>
      </c>
      <c r="AS17" s="8">
        <f t="shared" si="20"/>
        <v>43282</v>
      </c>
      <c r="AT17" s="10"/>
      <c r="AU17" s="10"/>
      <c r="AV17" s="10"/>
      <c r="AW17" s="12">
        <f t="shared" si="21"/>
        <v>0</v>
      </c>
      <c r="AX17" s="10"/>
      <c r="AY17" s="20"/>
      <c r="AZ17" s="12"/>
      <c r="BA17" s="12">
        <f t="shared" si="22"/>
        <v>0</v>
      </c>
      <c r="BB17" s="13">
        <f t="shared" si="23"/>
        <v>0</v>
      </c>
      <c r="BC17" s="8">
        <f t="shared" si="8"/>
        <v>43282</v>
      </c>
      <c r="BD17" s="10">
        <f>'[89]BU-2'!$E$15</f>
        <v>162153</v>
      </c>
      <c r="BE17" s="10">
        <f>'[89]BU-3'!$F$69</f>
        <v>98690</v>
      </c>
      <c r="BF17" s="10">
        <f>'[89]BU-3'!$F$13-BE17</f>
        <v>63464</v>
      </c>
      <c r="BG17" s="10">
        <f>'[89]BU-3'!$F$41</f>
        <v>0</v>
      </c>
      <c r="BH17" s="10">
        <f t="shared" si="24"/>
        <v>162154</v>
      </c>
      <c r="BI17" s="10">
        <f>'[89]BU-2'!$E$17</f>
        <v>63464</v>
      </c>
      <c r="BJ17" s="10">
        <f>'[89]BU-3'!$F$12</f>
        <v>1508</v>
      </c>
      <c r="BK17" s="10">
        <f>'[89]BU-3'!$F$45</f>
        <v>1804</v>
      </c>
      <c r="BL17" s="10">
        <f>[90]Feuil1!$AO$40</f>
        <v>31786</v>
      </c>
      <c r="BM17" s="10">
        <f>[90]Feuil1!$AP$40</f>
        <v>28416</v>
      </c>
      <c r="BN17" s="10">
        <f t="shared" si="25"/>
        <v>63514</v>
      </c>
      <c r="BO17" s="10">
        <f>'[87]BU-2'!$E$18</f>
        <v>73151</v>
      </c>
      <c r="BP17" s="10">
        <f>[90]Feuil1!$AX$40</f>
        <v>36157</v>
      </c>
      <c r="BQ17" s="10">
        <f>'[89]BU-3'!$F$58</f>
        <v>16981</v>
      </c>
      <c r="BR17" s="10">
        <f>'[89]BU-3'!$F$44</f>
        <v>24125</v>
      </c>
      <c r="BS17" s="10"/>
      <c r="BT17" s="10">
        <f t="shared" si="9"/>
        <v>77263</v>
      </c>
      <c r="BU17" s="13">
        <f t="shared" si="26"/>
        <v>4112</v>
      </c>
      <c r="BV17" s="13">
        <f t="shared" si="27"/>
        <v>50</v>
      </c>
      <c r="BW17" s="8">
        <f t="shared" si="10"/>
        <v>43282</v>
      </c>
      <c r="BX17" s="10">
        <f>'[89]BU-2'!$E$19</f>
        <v>7922.6580000000004</v>
      </c>
      <c r="BY17" s="10">
        <f>'[89]BU-3'!$F$46</f>
        <v>0</v>
      </c>
      <c r="BZ17" s="10">
        <f>'[89]BU-3'!$F$59</f>
        <v>3761.9789999999998</v>
      </c>
      <c r="CA17" s="10">
        <f>'[89]BU-3'!$F$71</f>
        <v>4160.6790000000001</v>
      </c>
      <c r="CB17" s="10">
        <f>'[89]BU-3'!$F$46</f>
        <v>0</v>
      </c>
      <c r="CC17" s="11">
        <f t="shared" si="28"/>
        <v>7922.6579999999994</v>
      </c>
      <c r="CD17" s="13">
        <f t="shared" si="29"/>
        <v>0</v>
      </c>
      <c r="CE17" s="8">
        <f t="shared" si="11"/>
        <v>43282</v>
      </c>
      <c r="CF17" s="21">
        <f t="shared" si="36"/>
        <v>52.286200000000036</v>
      </c>
      <c r="CG17" s="23"/>
      <c r="CH17" s="23"/>
      <c r="CI17" s="23"/>
      <c r="CJ17" s="21">
        <f t="shared" si="12"/>
        <v>0</v>
      </c>
      <c r="CK17" s="21">
        <f t="shared" si="13"/>
        <v>52.286200000000036</v>
      </c>
      <c r="CM17" s="8">
        <f t="shared" si="14"/>
        <v>43282</v>
      </c>
      <c r="CN17" s="11">
        <f t="shared" si="30"/>
        <v>5.2266725600000825</v>
      </c>
      <c r="CO17" s="9">
        <f>'[89]BU-3'!$H$82</f>
        <v>29.099999999999998</v>
      </c>
      <c r="CP17" s="9">
        <f>'[89]BU-3'!$J$82</f>
        <v>28.619334240000001</v>
      </c>
      <c r="CQ17" s="11">
        <f t="shared" si="31"/>
        <v>5.7073383200000762</v>
      </c>
      <c r="CR17" s="11">
        <f t="shared" si="37"/>
        <v>34.23286275000001</v>
      </c>
      <c r="CS17" s="23"/>
      <c r="CT17" s="23"/>
      <c r="CU17" s="21">
        <f t="shared" si="32"/>
        <v>34.23286275000001</v>
      </c>
      <c r="CW17" s="8">
        <f t="shared" si="15"/>
        <v>43282</v>
      </c>
      <c r="CX17" s="12">
        <f t="shared" si="38"/>
        <v>448</v>
      </c>
      <c r="CY17" s="10"/>
      <c r="CZ17" s="10"/>
      <c r="DA17" s="10"/>
      <c r="DB17" s="12">
        <f t="shared" si="33"/>
        <v>448</v>
      </c>
      <c r="DC17" s="12">
        <f t="shared" si="39"/>
        <v>20</v>
      </c>
      <c r="DD17" s="10"/>
      <c r="DE17" s="10"/>
      <c r="DF17" s="12">
        <f t="shared" si="34"/>
        <v>20</v>
      </c>
      <c r="DG17" s="12">
        <f t="shared" si="40"/>
        <v>2290</v>
      </c>
      <c r="DH17" s="10"/>
      <c r="DI17" s="10"/>
      <c r="DJ17" s="12">
        <f t="shared" si="35"/>
        <v>2290</v>
      </c>
      <c r="DK17" s="13"/>
      <c r="DL17" s="8">
        <f t="shared" si="16"/>
        <v>43282</v>
      </c>
      <c r="DM17" s="106">
        <f>'[107]BU-4'!E35</f>
        <v>30.368055555555557</v>
      </c>
      <c r="DN17" s="106">
        <f>'[107]BU-4'!F35</f>
        <v>0</v>
      </c>
      <c r="DO17" s="106">
        <f>'[107]BU-4'!G35</f>
        <v>0.3611111111111111</v>
      </c>
      <c r="DP17" s="106">
        <f>'[107]BU-4'!H35</f>
        <v>0.27083333333333337</v>
      </c>
      <c r="DQ17" s="10"/>
      <c r="DR17" s="10"/>
      <c r="DS17" s="10"/>
      <c r="DT17" s="10"/>
      <c r="DU17" s="10"/>
      <c r="DV17" s="10"/>
      <c r="DW17" s="10"/>
      <c r="DX17" s="10"/>
    </row>
    <row r="18" spans="2:128" ht="15.95" customHeight="1" x14ac:dyDescent="0.2">
      <c r="B18" s="8">
        <v>43313</v>
      </c>
      <c r="C18" s="10">
        <f>+'[91]BU-2'!$E$10</f>
        <v>16456</v>
      </c>
      <c r="D18" s="10">
        <f>+'[91]BU-3'!$F$11</f>
        <v>6774.6799999999985</v>
      </c>
      <c r="E18" s="10">
        <f>+'[91]BU-2'!$E$28</f>
        <v>2111.4957801771006</v>
      </c>
      <c r="F18" s="10">
        <f>+'[91]BU-2'!$E$29</f>
        <v>7569.82421982292</v>
      </c>
      <c r="G18" s="31">
        <f t="shared" si="0"/>
        <v>9681.3200000000215</v>
      </c>
      <c r="H18" s="10">
        <f>+'[91]BU-2'!$E$27</f>
        <v>0</v>
      </c>
      <c r="I18" s="52">
        <f t="shared" si="17"/>
        <v>-2.0008883439004421E-11</v>
      </c>
      <c r="J18" s="8">
        <f t="shared" si="1"/>
        <v>43313</v>
      </c>
      <c r="K18" s="10">
        <f>'[91]BU-2'!$E$11</f>
        <v>93445</v>
      </c>
      <c r="L18" s="10">
        <f>'[91]BU-3'!$F$37</f>
        <v>91585</v>
      </c>
      <c r="M18" s="12">
        <f>'[91]BU-3'!$F$38</f>
        <v>1860</v>
      </c>
      <c r="N18" s="33">
        <f t="shared" si="2"/>
        <v>93445</v>
      </c>
      <c r="O18" s="12">
        <f>'[91]BU-2'!$E$30</f>
        <v>1369</v>
      </c>
      <c r="P18" s="10">
        <f>'[91]BU-2'!$E$31</f>
        <v>758</v>
      </c>
      <c r="Q18" s="33">
        <f t="shared" si="3"/>
        <v>2127</v>
      </c>
      <c r="R18" s="10">
        <f>'[91]BU-2'!$E$32</f>
        <v>0</v>
      </c>
      <c r="S18" s="10">
        <f>'[91]BU-2'!$E$33</f>
        <v>0</v>
      </c>
      <c r="T18" s="33">
        <f t="shared" si="4"/>
        <v>0</v>
      </c>
      <c r="U18" s="13">
        <f t="shared" si="18"/>
        <v>-2616</v>
      </c>
      <c r="V18" s="8">
        <f t="shared" si="5"/>
        <v>43313</v>
      </c>
      <c r="W18" s="10">
        <f>[92]Feuil1!$K$40</f>
        <v>36013</v>
      </c>
      <c r="X18" s="10">
        <f>[92]Feuil1!$L$40</f>
        <v>54991</v>
      </c>
      <c r="Y18" s="10">
        <f>[92]Feuil1!$M$40</f>
        <v>115</v>
      </c>
      <c r="Z18" s="10">
        <f>[92]Feuil1!$N$40</f>
        <v>1860</v>
      </c>
      <c r="AA18" s="10">
        <f>[92]Feuil1!$O$40</f>
        <v>5544</v>
      </c>
      <c r="AB18" s="12">
        <f t="shared" si="41"/>
        <v>98523</v>
      </c>
      <c r="AC18" s="10">
        <f>[92]Feuil1!$Q$40</f>
        <v>84388</v>
      </c>
      <c r="AD18" s="10">
        <f>[92]Feuil1!$R$40</f>
        <v>12070</v>
      </c>
      <c r="AE18" s="10">
        <f>[92]Feuil1!$S$40</f>
        <v>0</v>
      </c>
      <c r="AF18" s="18">
        <f>[92]Feuil1!$T$40</f>
        <v>2065</v>
      </c>
      <c r="AG18" s="12">
        <f t="shared" si="42"/>
        <v>98523</v>
      </c>
      <c r="AH18" s="13">
        <f t="shared" si="6"/>
        <v>0</v>
      </c>
      <c r="AI18" s="8">
        <f t="shared" si="7"/>
        <v>43313</v>
      </c>
      <c r="AJ18" s="12">
        <f>'[91]BU-2'!$E$20</f>
        <v>143140</v>
      </c>
      <c r="AK18" s="12"/>
      <c r="AL18" s="12"/>
      <c r="AM18" s="12">
        <f t="shared" si="43"/>
        <v>143140</v>
      </c>
      <c r="AN18" s="12"/>
      <c r="AO18" s="10"/>
      <c r="AP18" s="10">
        <f>'[91]BU-2'!$E$35</f>
        <v>0</v>
      </c>
      <c r="AQ18" s="12">
        <f t="shared" si="44"/>
        <v>0</v>
      </c>
      <c r="AR18" s="51">
        <f t="shared" si="19"/>
        <v>-143140</v>
      </c>
      <c r="AS18" s="8">
        <f t="shared" si="20"/>
        <v>43313</v>
      </c>
      <c r="AT18" s="10"/>
      <c r="AU18" s="10"/>
      <c r="AV18" s="10"/>
      <c r="AW18" s="12">
        <f t="shared" si="21"/>
        <v>0</v>
      </c>
      <c r="AX18" s="10"/>
      <c r="AY18" s="20"/>
      <c r="AZ18" s="12"/>
      <c r="BA18" s="12">
        <f t="shared" si="22"/>
        <v>0</v>
      </c>
      <c r="BB18" s="13">
        <f t="shared" si="23"/>
        <v>0</v>
      </c>
      <c r="BC18" s="8">
        <f t="shared" si="8"/>
        <v>43313</v>
      </c>
      <c r="BD18" s="10">
        <f>'[91]BU-2'!$E$15</f>
        <v>184029</v>
      </c>
      <c r="BE18" s="10">
        <f>'[91]BU-3'!$F$69</f>
        <v>108369</v>
      </c>
      <c r="BF18" s="10">
        <f>'[91]BU-3'!$F$13-BE18</f>
        <v>76010</v>
      </c>
      <c r="BG18" s="10">
        <f>'[91]BU-3'!$F$41</f>
        <v>0</v>
      </c>
      <c r="BH18" s="10">
        <f t="shared" si="24"/>
        <v>184379</v>
      </c>
      <c r="BI18" s="10">
        <f>'[91]BU-2'!$E$17</f>
        <v>76010</v>
      </c>
      <c r="BJ18" s="10">
        <f>'[91]BU-3'!$F$12</f>
        <v>1160</v>
      </c>
      <c r="BK18" s="10">
        <f>'[91]BU-3'!$F$45</f>
        <v>1951</v>
      </c>
      <c r="BL18" s="10">
        <f>[92]Feuil1!$AO$40</f>
        <v>39663</v>
      </c>
      <c r="BM18" s="10">
        <f>[92]Feuil1!$AP$40</f>
        <v>33291</v>
      </c>
      <c r="BN18" s="10">
        <f t="shared" si="25"/>
        <v>76065</v>
      </c>
      <c r="BO18" s="10">
        <f>'[91]BU-2'!$E$18</f>
        <v>72954</v>
      </c>
      <c r="BP18" s="10">
        <f>[92]Feuil1!$AX$40</f>
        <v>46869</v>
      </c>
      <c r="BQ18" s="10">
        <f>'[91]BU-3'!$F$58</f>
        <v>17550</v>
      </c>
      <c r="BR18" s="10">
        <f>'[91]BU-3'!$F$44</f>
        <v>25680</v>
      </c>
      <c r="BS18" s="10"/>
      <c r="BT18" s="10">
        <f t="shared" si="9"/>
        <v>90099</v>
      </c>
      <c r="BU18" s="13">
        <f t="shared" si="26"/>
        <v>17145</v>
      </c>
      <c r="BV18" s="13">
        <f t="shared" si="27"/>
        <v>55</v>
      </c>
      <c r="BW18" s="8">
        <f t="shared" si="10"/>
        <v>43313</v>
      </c>
      <c r="BX18" s="10">
        <f>'[91]BU-2'!$E$19</f>
        <v>8179.3860000000004</v>
      </c>
      <c r="BY18" s="10">
        <f>'[91]BU-3'!$F$46</f>
        <v>0</v>
      </c>
      <c r="BZ18" s="10">
        <f>'[91]BU-3'!$F$59</f>
        <v>3929.9569999999999</v>
      </c>
      <c r="CA18" s="10">
        <f>'[91]BU-3'!$F$71</f>
        <v>4249.4290000000001</v>
      </c>
      <c r="CB18" s="10">
        <f>'[91]BU-3'!$F$46</f>
        <v>0</v>
      </c>
      <c r="CC18" s="11">
        <f t="shared" si="28"/>
        <v>8179.3860000000004</v>
      </c>
      <c r="CD18" s="13">
        <f t="shared" si="29"/>
        <v>0</v>
      </c>
      <c r="CE18" s="8">
        <f t="shared" si="11"/>
        <v>43313</v>
      </c>
      <c r="CF18" s="21">
        <f t="shared" si="36"/>
        <v>52.286200000000036</v>
      </c>
      <c r="CG18" s="23"/>
      <c r="CH18" s="23"/>
      <c r="CI18" s="23"/>
      <c r="CJ18" s="21">
        <f t="shared" si="12"/>
        <v>0</v>
      </c>
      <c r="CK18" s="21">
        <f t="shared" si="13"/>
        <v>52.286200000000036</v>
      </c>
      <c r="CM18" s="8">
        <f t="shared" si="14"/>
        <v>43313</v>
      </c>
      <c r="CN18" s="11">
        <f t="shared" si="30"/>
        <v>5.7073383200000762</v>
      </c>
      <c r="CO18" s="9">
        <f>'[91]BU-3'!$H$82</f>
        <v>30.55</v>
      </c>
      <c r="CP18" s="9">
        <f>'[91]BU-3'!$J$82</f>
        <v>31.992664199999997</v>
      </c>
      <c r="CQ18" s="11">
        <f t="shared" si="31"/>
        <v>4.2646741200000768</v>
      </c>
      <c r="CR18" s="11">
        <f t="shared" si="37"/>
        <v>34.23286275000001</v>
      </c>
      <c r="CS18" s="23"/>
      <c r="CT18" s="23"/>
      <c r="CU18" s="21">
        <f t="shared" si="32"/>
        <v>34.23286275000001</v>
      </c>
      <c r="CW18" s="8">
        <f t="shared" si="15"/>
        <v>43313</v>
      </c>
      <c r="CX18" s="12">
        <f t="shared" si="38"/>
        <v>448</v>
      </c>
      <c r="CY18" s="10"/>
      <c r="CZ18" s="10"/>
      <c r="DA18" s="10"/>
      <c r="DB18" s="12">
        <f t="shared" si="33"/>
        <v>448</v>
      </c>
      <c r="DC18" s="12">
        <f t="shared" si="39"/>
        <v>20</v>
      </c>
      <c r="DD18" s="10"/>
      <c r="DE18" s="10"/>
      <c r="DF18" s="12">
        <f t="shared" si="34"/>
        <v>20</v>
      </c>
      <c r="DG18" s="12">
        <f t="shared" si="40"/>
        <v>2290</v>
      </c>
      <c r="DH18" s="10"/>
      <c r="DI18" s="10"/>
      <c r="DJ18" s="12">
        <f t="shared" si="35"/>
        <v>2290</v>
      </c>
      <c r="DK18" s="13"/>
      <c r="DL18" s="8">
        <f t="shared" si="16"/>
        <v>43313</v>
      </c>
      <c r="DM18" s="106">
        <f>'[108]BU-4'!E35</f>
        <v>11.252083333333333</v>
      </c>
      <c r="DN18" s="106">
        <f>'[108]BU-4'!F35</f>
        <v>0</v>
      </c>
      <c r="DO18" s="106">
        <f>'[108]BU-4'!G35</f>
        <v>0</v>
      </c>
      <c r="DP18" s="106">
        <f>'[108]BU-4'!H35</f>
        <v>19.747916666666669</v>
      </c>
      <c r="DQ18" s="10"/>
      <c r="DR18" s="10"/>
      <c r="DS18" s="10"/>
      <c r="DT18" s="10"/>
      <c r="DU18" s="10"/>
      <c r="DV18" s="10"/>
      <c r="DW18" s="10"/>
      <c r="DX18" s="10"/>
    </row>
    <row r="19" spans="2:128" ht="15.95" customHeight="1" x14ac:dyDescent="0.2">
      <c r="B19" s="8">
        <v>43344</v>
      </c>
      <c r="C19" s="10">
        <f>+'[93]BU-2'!$E$10</f>
        <v>15706</v>
      </c>
      <c r="D19" s="10">
        <f>+'[93]BU-3'!$F$11</f>
        <v>6627.3600000000006</v>
      </c>
      <c r="E19" s="10">
        <f>+'[93]BU-2'!$E$28</f>
        <v>1343.2559113927528</v>
      </c>
      <c r="F19" s="10">
        <f>+'[93]BU-2'!$E$29</f>
        <v>7932.8140886072106</v>
      </c>
      <c r="G19" s="31">
        <f t="shared" si="0"/>
        <v>9276.0699999999633</v>
      </c>
      <c r="H19" s="10">
        <f>+'[93]BU-2'!$E$27</f>
        <v>197.43</v>
      </c>
      <c r="I19" s="52">
        <f t="shared" si="17"/>
        <v>3.637978807091713E-11</v>
      </c>
      <c r="J19" s="8">
        <f t="shared" si="1"/>
        <v>43344</v>
      </c>
      <c r="K19" s="10">
        <f>'[93]BU-2'!$E$11</f>
        <v>88354</v>
      </c>
      <c r="L19" s="10">
        <f>'[93]BU-3'!$F$37</f>
        <v>85514</v>
      </c>
      <c r="M19" s="12">
        <f>'[93]BU-3'!$F$38</f>
        <v>2840</v>
      </c>
      <c r="N19" s="33">
        <f t="shared" si="2"/>
        <v>88354</v>
      </c>
      <c r="O19" s="12">
        <f>'[93]BU-2'!$E$30</f>
        <v>1616</v>
      </c>
      <c r="P19" s="10">
        <f>'[93]BU-2'!$E$31</f>
        <v>0</v>
      </c>
      <c r="Q19" s="33">
        <f t="shared" si="3"/>
        <v>1616</v>
      </c>
      <c r="R19" s="10">
        <f>'[93]BU-2'!$E$32</f>
        <v>0</v>
      </c>
      <c r="S19" s="10">
        <f>'[93]BU-2'!$E$33</f>
        <v>0</v>
      </c>
      <c r="T19" s="33">
        <f t="shared" si="4"/>
        <v>0</v>
      </c>
      <c r="U19" s="13">
        <f t="shared" si="18"/>
        <v>-2127</v>
      </c>
      <c r="V19" s="8">
        <f t="shared" si="5"/>
        <v>43344</v>
      </c>
      <c r="W19" s="10">
        <f>[94]Feuil1!$K$40</f>
        <v>34236</v>
      </c>
      <c r="X19" s="10">
        <f>[94]Feuil1!$L$40</f>
        <v>49888</v>
      </c>
      <c r="Y19" s="10">
        <f>[94]Feuil1!$M$40</f>
        <v>597</v>
      </c>
      <c r="Z19" s="10">
        <f>[94]Feuil1!$N$40</f>
        <v>2840</v>
      </c>
      <c r="AA19" s="10">
        <f>[94]Feuil1!$O$40</f>
        <v>5566</v>
      </c>
      <c r="AB19" s="12">
        <f t="shared" si="41"/>
        <v>93127</v>
      </c>
      <c r="AC19" s="10">
        <f>[94]Feuil1!$Q$40</f>
        <v>78235</v>
      </c>
      <c r="AD19" s="10">
        <f>[94]Feuil1!$R$40</f>
        <v>12119</v>
      </c>
      <c r="AE19" s="10">
        <f>[94]Feuil1!$S$40</f>
        <v>0</v>
      </c>
      <c r="AF19" s="18">
        <f>[94]Feuil1!$T$40</f>
        <v>2773</v>
      </c>
      <c r="AG19" s="12">
        <f t="shared" si="42"/>
        <v>93127</v>
      </c>
      <c r="AH19" s="13">
        <f t="shared" si="6"/>
        <v>0</v>
      </c>
      <c r="AI19" s="8">
        <f t="shared" si="7"/>
        <v>43344</v>
      </c>
      <c r="AJ19" s="12">
        <f>'[93]BU-2'!$E$20</f>
        <v>137379</v>
      </c>
      <c r="AK19" s="12"/>
      <c r="AL19" s="12"/>
      <c r="AM19" s="12">
        <f t="shared" si="43"/>
        <v>137379</v>
      </c>
      <c r="AN19" s="12"/>
      <c r="AO19" s="10"/>
      <c r="AP19" s="10">
        <f>'[93]BU-2'!$E$35</f>
        <v>198</v>
      </c>
      <c r="AQ19" s="12">
        <f t="shared" si="44"/>
        <v>198</v>
      </c>
      <c r="AR19" s="51">
        <f t="shared" si="19"/>
        <v>-137181</v>
      </c>
      <c r="AS19" s="8">
        <f t="shared" si="20"/>
        <v>43344</v>
      </c>
      <c r="AT19" s="10"/>
      <c r="AU19" s="10"/>
      <c r="AV19" s="10"/>
      <c r="AW19" s="12">
        <f t="shared" si="21"/>
        <v>0</v>
      </c>
      <c r="AX19" s="10"/>
      <c r="AY19" s="20"/>
      <c r="AZ19" s="12"/>
      <c r="BA19" s="12">
        <f t="shared" si="22"/>
        <v>0</v>
      </c>
      <c r="BB19" s="13">
        <f t="shared" si="23"/>
        <v>0</v>
      </c>
      <c r="BC19" s="8">
        <f t="shared" si="8"/>
        <v>43344</v>
      </c>
      <c r="BD19" s="10">
        <f>'[93]BU-2'!$E$15</f>
        <v>195338</v>
      </c>
      <c r="BE19" s="10">
        <f>'[93]BU-3'!$F$69</f>
        <v>130164</v>
      </c>
      <c r="BF19" s="10">
        <f>'[93]BU-3'!$F$13-BE19</f>
        <v>65174</v>
      </c>
      <c r="BG19" s="10">
        <f>'[93]BU-3'!$F$41</f>
        <v>0</v>
      </c>
      <c r="BH19" s="10">
        <f t="shared" si="24"/>
        <v>195338</v>
      </c>
      <c r="BI19" s="10">
        <f>'[93]BU-2'!$E$17</f>
        <v>65174</v>
      </c>
      <c r="BJ19" s="10">
        <f>'[93]BU-3'!$F$12</f>
        <v>1479</v>
      </c>
      <c r="BK19" s="10">
        <f>'[93]BU-3'!$F$45</f>
        <v>1784</v>
      </c>
      <c r="BL19" s="10">
        <f>[94]Feuil1!$AO$40</f>
        <v>31995</v>
      </c>
      <c r="BM19" s="10">
        <f>[94]Feuil1!$AP$40</f>
        <v>29891</v>
      </c>
      <c r="BN19" s="10">
        <f t="shared" si="25"/>
        <v>65149</v>
      </c>
      <c r="BO19" s="10">
        <f>'[93]BU-2'!$E$18</f>
        <v>61886</v>
      </c>
      <c r="BP19" s="10">
        <f>[94]Feuil1!$AX$40</f>
        <v>37571</v>
      </c>
      <c r="BQ19" s="10">
        <f>'[93]BU-3'!$F$58</f>
        <v>16728</v>
      </c>
      <c r="BR19" s="10">
        <f>'[93]BU-3'!$F$44</f>
        <v>24355</v>
      </c>
      <c r="BS19" s="10"/>
      <c r="BT19" s="10">
        <f t="shared" si="9"/>
        <v>78654</v>
      </c>
      <c r="BU19" s="13">
        <f t="shared" si="26"/>
        <v>16768</v>
      </c>
      <c r="BV19" s="13">
        <f t="shared" si="27"/>
        <v>-25</v>
      </c>
      <c r="BW19" s="8">
        <f t="shared" si="10"/>
        <v>43344</v>
      </c>
      <c r="BX19" s="10">
        <f>'[93]BU-2'!$E$19</f>
        <v>7895.52</v>
      </c>
      <c r="BY19" s="10">
        <f>'[93]BU-3'!$F$46</f>
        <v>0</v>
      </c>
      <c r="BZ19" s="10">
        <f>'[93]BU-3'!$F$59</f>
        <v>3831.0639999999999</v>
      </c>
      <c r="CA19" s="10">
        <f>'[93]BU-3'!$F$71</f>
        <v>4064.4560000000001</v>
      </c>
      <c r="CB19" s="10">
        <f>'[93]BU-3'!$F$46</f>
        <v>0</v>
      </c>
      <c r="CC19" s="11">
        <f t="shared" si="28"/>
        <v>7895.52</v>
      </c>
      <c r="CD19" s="13">
        <f t="shared" si="29"/>
        <v>0</v>
      </c>
      <c r="CE19" s="8">
        <f t="shared" si="11"/>
        <v>43344</v>
      </c>
      <c r="CF19" s="21">
        <f t="shared" si="36"/>
        <v>52.286200000000036</v>
      </c>
      <c r="CG19" s="23"/>
      <c r="CH19" s="23"/>
      <c r="CI19" s="23"/>
      <c r="CJ19" s="21">
        <f t="shared" si="12"/>
        <v>0</v>
      </c>
      <c r="CK19" s="21">
        <f t="shared" si="13"/>
        <v>52.286200000000036</v>
      </c>
      <c r="CM19" s="8">
        <f t="shared" si="14"/>
        <v>43344</v>
      </c>
      <c r="CN19" s="11">
        <f t="shared" si="30"/>
        <v>4.2646741200000768</v>
      </c>
      <c r="CO19" s="9">
        <f>'[93]BU-3'!$H$82</f>
        <v>38.96</v>
      </c>
      <c r="CP19" s="9">
        <f>'[93]BU-3'!$J$82</f>
        <v>31.024770839999999</v>
      </c>
      <c r="CQ19" s="11">
        <f t="shared" si="31"/>
        <v>12.199903280000076</v>
      </c>
      <c r="CR19" s="11">
        <f t="shared" si="37"/>
        <v>34.23286275000001</v>
      </c>
      <c r="CS19" s="23"/>
      <c r="CT19" s="23"/>
      <c r="CU19" s="21">
        <f t="shared" si="32"/>
        <v>34.23286275000001</v>
      </c>
      <c r="CW19" s="8">
        <f t="shared" si="15"/>
        <v>43344</v>
      </c>
      <c r="CX19" s="12">
        <f t="shared" si="38"/>
        <v>448</v>
      </c>
      <c r="CY19" s="10"/>
      <c r="CZ19" s="10"/>
      <c r="DA19" s="10"/>
      <c r="DB19" s="12">
        <f t="shared" si="33"/>
        <v>448</v>
      </c>
      <c r="DC19" s="12">
        <f t="shared" si="39"/>
        <v>20</v>
      </c>
      <c r="DD19" s="10"/>
      <c r="DE19" s="10"/>
      <c r="DF19" s="12">
        <f t="shared" si="34"/>
        <v>20</v>
      </c>
      <c r="DG19" s="12">
        <f t="shared" si="40"/>
        <v>2290</v>
      </c>
      <c r="DH19" s="10"/>
      <c r="DI19" s="10"/>
      <c r="DJ19" s="12">
        <f t="shared" si="35"/>
        <v>2290</v>
      </c>
      <c r="DK19" s="13"/>
      <c r="DL19" s="8">
        <f t="shared" si="16"/>
        <v>43344</v>
      </c>
      <c r="DM19" s="106">
        <f>'[109]BU-4'!E35</f>
        <v>28.127083333333331</v>
      </c>
      <c r="DN19" s="106">
        <f>'[109]BU-4'!F35</f>
        <v>0</v>
      </c>
      <c r="DO19" s="106">
        <f>'[109]BU-4'!G35</f>
        <v>0</v>
      </c>
      <c r="DP19" s="106">
        <f>'[109]BU-4'!H35</f>
        <v>1.8729166666666668</v>
      </c>
      <c r="DQ19" s="10"/>
      <c r="DR19" s="10"/>
      <c r="DS19" s="10"/>
      <c r="DT19" s="10"/>
      <c r="DU19" s="10"/>
      <c r="DV19" s="10"/>
      <c r="DW19" s="10"/>
      <c r="DX19" s="10"/>
    </row>
    <row r="20" spans="2:128" ht="15.95" customHeight="1" x14ac:dyDescent="0.2">
      <c r="B20" s="8">
        <v>43374</v>
      </c>
      <c r="C20" s="10">
        <f>+'[95]BU-2'!$E$10</f>
        <v>16188</v>
      </c>
      <c r="D20" s="10">
        <f>+'[95]BU-3'!$F$11</f>
        <v>6827.0099999999966</v>
      </c>
      <c r="E20" s="10">
        <f>+'[95]BU-2'!$E$28</f>
        <v>1919.135</v>
      </c>
      <c r="F20" s="10">
        <f>+'[95]BU-2'!$E$29</f>
        <v>7530.5049999999992</v>
      </c>
      <c r="G20" s="31">
        <f t="shared" si="0"/>
        <v>9449.64</v>
      </c>
      <c r="H20" s="10">
        <f>+'[95]BU-2'!$E$27</f>
        <v>88.65</v>
      </c>
      <c r="I20" s="52">
        <f t="shared" si="17"/>
        <v>0</v>
      </c>
      <c r="J20" s="8">
        <f t="shared" si="1"/>
        <v>43374</v>
      </c>
      <c r="K20" s="10">
        <f>'[95]BU-2'!$E$11</f>
        <v>94518</v>
      </c>
      <c r="L20" s="10">
        <f>'[95]BU-3'!$F$37</f>
        <v>91918</v>
      </c>
      <c r="M20" s="12">
        <f>'[95]BU-3'!$F$38</f>
        <v>2600</v>
      </c>
      <c r="N20" s="33">
        <f t="shared" si="2"/>
        <v>94518</v>
      </c>
      <c r="O20" s="12">
        <f>'[95]BU-2'!$E$30</f>
        <v>395</v>
      </c>
      <c r="P20" s="10">
        <f>'[95]BU-2'!$E$31</f>
        <v>0</v>
      </c>
      <c r="Q20" s="33">
        <f t="shared" si="3"/>
        <v>395</v>
      </c>
      <c r="R20" s="10">
        <f>'[95]BU-2'!$E$32</f>
        <v>0</v>
      </c>
      <c r="S20" s="10">
        <f>'[95]BU-2'!$E$33</f>
        <v>0</v>
      </c>
      <c r="T20" s="33">
        <f t="shared" si="4"/>
        <v>0</v>
      </c>
      <c r="U20" s="13">
        <f t="shared" si="18"/>
        <v>-1616</v>
      </c>
      <c r="V20" s="8">
        <f t="shared" si="5"/>
        <v>43374</v>
      </c>
      <c r="W20" s="10">
        <f>[96]Feuil1!$K$40</f>
        <v>35165</v>
      </c>
      <c r="X20" s="10">
        <f>[96]Feuil1!$L$40</f>
        <v>55399</v>
      </c>
      <c r="Y20" s="10">
        <f>[96]Feuil1!$M$40</f>
        <v>0</v>
      </c>
      <c r="Z20" s="10">
        <f>[96]Feuil1!$N$40</f>
        <v>2600</v>
      </c>
      <c r="AA20" s="10">
        <f>[96]Feuil1!$O$40</f>
        <v>5860</v>
      </c>
      <c r="AB20" s="12">
        <f t="shared" si="41"/>
        <v>99024</v>
      </c>
      <c r="AC20" s="10">
        <f>[96]Feuil1!$Q$40</f>
        <v>85877</v>
      </c>
      <c r="AD20" s="10">
        <f>[96]Feuil1!$R$40</f>
        <v>12987</v>
      </c>
      <c r="AE20" s="10">
        <f>[96]Feuil1!$S$40</f>
        <v>0</v>
      </c>
      <c r="AF20" s="18">
        <f>[96]Feuil1!$T$40</f>
        <v>160</v>
      </c>
      <c r="AG20" s="12">
        <f t="shared" si="42"/>
        <v>99024</v>
      </c>
      <c r="AH20" s="13">
        <f t="shared" si="6"/>
        <v>0</v>
      </c>
      <c r="AI20" s="8">
        <f t="shared" si="7"/>
        <v>43374</v>
      </c>
      <c r="AJ20" s="12">
        <f>'[95]BU-2'!$E$20</f>
        <v>143521</v>
      </c>
      <c r="AK20" s="12"/>
      <c r="AL20" s="12"/>
      <c r="AM20" s="12">
        <f t="shared" si="43"/>
        <v>143521</v>
      </c>
      <c r="AN20" s="12"/>
      <c r="AO20" s="10"/>
      <c r="AP20" s="10">
        <f>'[95]BU-2'!$E$35</f>
        <v>682</v>
      </c>
      <c r="AQ20" s="12">
        <f t="shared" si="44"/>
        <v>682</v>
      </c>
      <c r="AR20" s="51">
        <f t="shared" si="19"/>
        <v>-142839</v>
      </c>
      <c r="AS20" s="8">
        <f t="shared" si="20"/>
        <v>43374</v>
      </c>
      <c r="AT20" s="10"/>
      <c r="AU20" s="10"/>
      <c r="AV20" s="10"/>
      <c r="AW20" s="12">
        <f t="shared" si="21"/>
        <v>0</v>
      </c>
      <c r="AX20" s="10"/>
      <c r="AY20" s="20"/>
      <c r="AZ20" s="12"/>
      <c r="BA20" s="12">
        <f t="shared" si="22"/>
        <v>0</v>
      </c>
      <c r="BB20" s="13">
        <f t="shared" si="23"/>
        <v>0</v>
      </c>
      <c r="BC20" s="8">
        <f t="shared" si="8"/>
        <v>43374</v>
      </c>
      <c r="BD20" s="10">
        <f>'[95]BU-2'!$E$15</f>
        <v>196570</v>
      </c>
      <c r="BE20" s="10">
        <f>'[95]BU-3'!$F$69</f>
        <v>151194</v>
      </c>
      <c r="BF20" s="10">
        <f>'[95]BU-3'!$F$13-BE20</f>
        <v>45376</v>
      </c>
      <c r="BG20" s="10">
        <f>'[95]BU-3'!$F$41</f>
        <v>0</v>
      </c>
      <c r="BH20" s="10">
        <f t="shared" si="24"/>
        <v>196570</v>
      </c>
      <c r="BI20" s="10">
        <f>'[95]BU-2'!$E$17</f>
        <v>45376</v>
      </c>
      <c r="BJ20" s="10">
        <f>'[95]BU-3'!$F$12</f>
        <v>1293</v>
      </c>
      <c r="BK20" s="10">
        <f>'[95]BU-3'!$F$45</f>
        <v>1324</v>
      </c>
      <c r="BL20" s="10">
        <f>[96]Feuil1!$AO$40</f>
        <v>22661</v>
      </c>
      <c r="BM20" s="10">
        <f>[96]Feuil1!$AP$40</f>
        <v>20028</v>
      </c>
      <c r="BN20" s="10">
        <f t="shared" si="25"/>
        <v>45306</v>
      </c>
      <c r="BO20" s="10">
        <f>'[95]BU-2'!$E$18</f>
        <v>42689</v>
      </c>
      <c r="BP20" s="10">
        <f>[96]Feuil1!$AX$40</f>
        <v>19402</v>
      </c>
      <c r="BQ20" s="10">
        <f>'[95]BU-3'!$F$58</f>
        <v>18039</v>
      </c>
      <c r="BR20" s="10">
        <f>'[95]BU-3'!$F$44</f>
        <v>23146</v>
      </c>
      <c r="BS20" s="10"/>
      <c r="BT20" s="10">
        <f t="shared" si="9"/>
        <v>60587</v>
      </c>
      <c r="BU20" s="13">
        <f t="shared" si="26"/>
        <v>17898</v>
      </c>
      <c r="BV20" s="13">
        <f t="shared" si="27"/>
        <v>-70</v>
      </c>
      <c r="BW20" s="8">
        <f t="shared" si="10"/>
        <v>43374</v>
      </c>
      <c r="BX20" s="10">
        <f>'[95]BU-2'!$E$19</f>
        <v>8155.4560000000001</v>
      </c>
      <c r="BY20" s="10">
        <f>'[95]BU-3'!$F$46</f>
        <v>0</v>
      </c>
      <c r="BZ20" s="10">
        <f>'[95]BU-3'!$F$59</f>
        <v>3913.9409999999998</v>
      </c>
      <c r="CA20" s="10">
        <f>'[95]BU-3'!$F$71</f>
        <v>4241.5150000000003</v>
      </c>
      <c r="CB20" s="10">
        <f>'[95]BU-3'!$F$46</f>
        <v>0</v>
      </c>
      <c r="CC20" s="11">
        <f t="shared" si="28"/>
        <v>8155.4560000000001</v>
      </c>
      <c r="CD20" s="13">
        <f t="shared" si="29"/>
        <v>0</v>
      </c>
      <c r="CE20" s="8">
        <f t="shared" si="11"/>
        <v>43374</v>
      </c>
      <c r="CF20" s="21">
        <f t="shared" si="36"/>
        <v>52.286200000000036</v>
      </c>
      <c r="CG20" s="23"/>
      <c r="CH20" s="23"/>
      <c r="CI20" s="23"/>
      <c r="CJ20" s="21">
        <f t="shared" si="12"/>
        <v>0</v>
      </c>
      <c r="CK20" s="21">
        <f t="shared" si="13"/>
        <v>52.286200000000036</v>
      </c>
      <c r="CM20" s="8">
        <f t="shared" si="14"/>
        <v>43374</v>
      </c>
      <c r="CN20" s="11">
        <f t="shared" si="30"/>
        <v>12.199903280000076</v>
      </c>
      <c r="CO20" s="9">
        <f>'[95]BU-3'!$H$82</f>
        <v>19.399999999999999</v>
      </c>
      <c r="CP20" s="9">
        <f>'[95]BU-3'!$J$82</f>
        <v>21.513109799999999</v>
      </c>
      <c r="CQ20" s="11">
        <f t="shared" si="31"/>
        <v>10.086793480000075</v>
      </c>
      <c r="CR20" s="11">
        <f t="shared" si="37"/>
        <v>34.23286275000001</v>
      </c>
      <c r="CS20" s="23"/>
      <c r="CT20" s="23"/>
      <c r="CU20" s="21">
        <f t="shared" si="32"/>
        <v>34.23286275000001</v>
      </c>
      <c r="CW20" s="8">
        <f t="shared" si="15"/>
        <v>43374</v>
      </c>
      <c r="CX20" s="12">
        <f t="shared" si="38"/>
        <v>448</v>
      </c>
      <c r="CY20" s="10"/>
      <c r="CZ20" s="10"/>
      <c r="DA20" s="10"/>
      <c r="DB20" s="12">
        <f t="shared" si="33"/>
        <v>448</v>
      </c>
      <c r="DC20" s="12">
        <f t="shared" si="39"/>
        <v>20</v>
      </c>
      <c r="DD20" s="10"/>
      <c r="DE20" s="10"/>
      <c r="DF20" s="12">
        <f t="shared" si="34"/>
        <v>20</v>
      </c>
      <c r="DG20" s="12">
        <f t="shared" si="40"/>
        <v>2290</v>
      </c>
      <c r="DH20" s="10"/>
      <c r="DI20" s="10"/>
      <c r="DJ20" s="12">
        <f t="shared" si="35"/>
        <v>2290</v>
      </c>
      <c r="DK20" s="13"/>
      <c r="DL20" s="8">
        <f t="shared" si="16"/>
        <v>43374</v>
      </c>
      <c r="DM20" s="106">
        <f>'[110]BU-4'!E35</f>
        <v>1.875</v>
      </c>
      <c r="DN20" s="106">
        <f>'[110]BU-4'!F35</f>
        <v>0</v>
      </c>
      <c r="DO20" s="106">
        <f>'[110]BU-4'!G35</f>
        <v>0</v>
      </c>
      <c r="DP20" s="106">
        <f>'[110]BU-4'!H35</f>
        <v>29.125</v>
      </c>
      <c r="DQ20" s="10"/>
      <c r="DR20" s="10"/>
      <c r="DS20" s="10"/>
      <c r="DT20" s="10"/>
      <c r="DU20" s="10"/>
      <c r="DV20" s="10"/>
      <c r="DW20" s="10"/>
      <c r="DX20" s="10"/>
    </row>
    <row r="21" spans="2:128" ht="15.95" customHeight="1" x14ac:dyDescent="0.2">
      <c r="B21" s="8">
        <v>43405</v>
      </c>
      <c r="C21" s="10">
        <f>+'[97]BU-2'!$E$10</f>
        <v>15614</v>
      </c>
      <c r="D21" s="10">
        <f>+'[97]BU-3'!$F$11</f>
        <v>6649.4800000000014</v>
      </c>
      <c r="E21" s="10">
        <f>+'[97]BU-2'!$E$28</f>
        <v>2791.3231981560257</v>
      </c>
      <c r="F21" s="10">
        <f>+'[97]BU-2'!$E$29</f>
        <v>6173.1968018439657</v>
      </c>
      <c r="G21" s="31">
        <f t="shared" si="0"/>
        <v>8964.5199999999913</v>
      </c>
      <c r="H21" s="10">
        <f>+'[97]BU-2'!$E$27</f>
        <v>0</v>
      </c>
      <c r="I21" s="52">
        <f t="shared" si="17"/>
        <v>0</v>
      </c>
      <c r="J21" s="8">
        <f t="shared" si="1"/>
        <v>43405</v>
      </c>
      <c r="K21" s="10">
        <f>'[97]BU-2'!$E$11</f>
        <v>91197</v>
      </c>
      <c r="L21" s="10">
        <f>'[97]BU-3'!$F$37</f>
        <v>89137</v>
      </c>
      <c r="M21" s="12">
        <f>'[97]BU-3'!$F$38</f>
        <v>2060</v>
      </c>
      <c r="N21" s="33">
        <f t="shared" si="2"/>
        <v>91197</v>
      </c>
      <c r="O21" s="12">
        <f>'[97]BU-2'!$E$30</f>
        <v>0</v>
      </c>
      <c r="P21" s="10">
        <f>'[97]BU-2'!$E$31</f>
        <v>20</v>
      </c>
      <c r="Q21" s="33">
        <f t="shared" si="3"/>
        <v>20</v>
      </c>
      <c r="R21" s="10">
        <f>'[97]BU-2'!$E$32</f>
        <v>0</v>
      </c>
      <c r="S21" s="10">
        <f>'[97]BU-2'!$E$33</f>
        <v>0</v>
      </c>
      <c r="T21" s="33">
        <f t="shared" si="4"/>
        <v>0</v>
      </c>
      <c r="U21" s="13">
        <f t="shared" si="18"/>
        <v>-395</v>
      </c>
      <c r="V21" s="8">
        <f t="shared" si="5"/>
        <v>43405</v>
      </c>
      <c r="W21" s="10">
        <f>[98]Feuil1!$K$40</f>
        <v>34178</v>
      </c>
      <c r="X21" s="10">
        <f>[98]Feuil1!$L$40</f>
        <v>54610</v>
      </c>
      <c r="Y21" s="10">
        <f>[98]Feuil1!$M$40</f>
        <v>0</v>
      </c>
      <c r="Z21" s="10">
        <f>[98]Feuil1!$N$40</f>
        <v>2060</v>
      </c>
      <c r="AA21" s="10">
        <f>[98]Feuil1!$O$40</f>
        <v>5341</v>
      </c>
      <c r="AB21" s="12">
        <f t="shared" si="41"/>
        <v>96189</v>
      </c>
      <c r="AC21" s="10">
        <f>[98]Feuil1!$Q$40</f>
        <v>82889</v>
      </c>
      <c r="AD21" s="10">
        <f>[98]Feuil1!$R$40</f>
        <v>12930</v>
      </c>
      <c r="AE21" s="10">
        <f>[98]Feuil1!$S$40</f>
        <v>0</v>
      </c>
      <c r="AF21" s="18">
        <f>[98]Feuil1!$T$40</f>
        <v>370</v>
      </c>
      <c r="AG21" s="12">
        <f t="shared" si="42"/>
        <v>96189</v>
      </c>
      <c r="AH21" s="13">
        <f t="shared" si="6"/>
        <v>0</v>
      </c>
      <c r="AI21" s="8">
        <f t="shared" si="7"/>
        <v>43405</v>
      </c>
      <c r="AJ21" s="12">
        <f>'[97]BU-2'!$E$20</f>
        <v>140998</v>
      </c>
      <c r="AK21" s="12"/>
      <c r="AL21" s="12"/>
      <c r="AM21" s="12">
        <f t="shared" si="43"/>
        <v>140998</v>
      </c>
      <c r="AN21" s="12"/>
      <c r="AO21" s="10"/>
      <c r="AP21" s="10">
        <f>'[97]BU-2'!$E$35</f>
        <v>3207</v>
      </c>
      <c r="AQ21" s="12">
        <f t="shared" si="44"/>
        <v>3207</v>
      </c>
      <c r="AR21" s="51">
        <f t="shared" si="19"/>
        <v>-137791</v>
      </c>
      <c r="AS21" s="8">
        <f t="shared" si="20"/>
        <v>43405</v>
      </c>
      <c r="AT21" s="10"/>
      <c r="AU21" s="10"/>
      <c r="AV21" s="10"/>
      <c r="AW21" s="12">
        <f t="shared" si="21"/>
        <v>0</v>
      </c>
      <c r="AX21" s="10"/>
      <c r="AY21" s="20"/>
      <c r="AZ21" s="12"/>
      <c r="BA21" s="12">
        <f t="shared" si="22"/>
        <v>0</v>
      </c>
      <c r="BB21" s="13">
        <f t="shared" si="23"/>
        <v>0</v>
      </c>
      <c r="BC21" s="8">
        <f t="shared" si="8"/>
        <v>43405</v>
      </c>
      <c r="BD21" s="10">
        <f>'[97]BU-2'!$E$15</f>
        <v>183340</v>
      </c>
      <c r="BE21" s="10">
        <f>'[97]BU-3'!$F$69</f>
        <v>134975</v>
      </c>
      <c r="BF21" s="10">
        <f>'[97]BU-3'!$F$13-BE21</f>
        <v>48365</v>
      </c>
      <c r="BG21" s="10">
        <f>'[97]BU-3'!$F$41</f>
        <v>0</v>
      </c>
      <c r="BH21" s="10">
        <f t="shared" si="24"/>
        <v>183340</v>
      </c>
      <c r="BI21" s="10">
        <f>'[97]BU-2'!$E$17</f>
        <v>48365</v>
      </c>
      <c r="BJ21" s="10">
        <f>'[97]BU-3'!$F$12</f>
        <v>1181</v>
      </c>
      <c r="BK21" s="10">
        <f>'[97]BU-3'!$F$45</f>
        <v>1420</v>
      </c>
      <c r="BL21" s="10">
        <f>[98]Feuil1!$AO$40</f>
        <v>24803</v>
      </c>
      <c r="BM21" s="10">
        <f>[98]Feuil1!$AP$40</f>
        <v>20941</v>
      </c>
      <c r="BN21" s="10">
        <f t="shared" si="25"/>
        <v>48345</v>
      </c>
      <c r="BO21" s="10">
        <f>'[97]BU-2'!$E$18</f>
        <v>45744</v>
      </c>
      <c r="BP21" s="10">
        <f>[98]Feuil1!$AX$40</f>
        <v>22377</v>
      </c>
      <c r="BQ21" s="10">
        <f>'[97]BU-3'!$F$58</f>
        <v>17838</v>
      </c>
      <c r="BR21" s="10">
        <f>'[97]BU-3'!$F$44</f>
        <v>23247</v>
      </c>
      <c r="BS21" s="10"/>
      <c r="BT21" s="10">
        <f t="shared" si="9"/>
        <v>63462</v>
      </c>
      <c r="BU21" s="13">
        <f t="shared" si="26"/>
        <v>17718</v>
      </c>
      <c r="BV21" s="13">
        <f t="shared" si="27"/>
        <v>-20</v>
      </c>
      <c r="BW21" s="8">
        <f t="shared" si="10"/>
        <v>43405</v>
      </c>
      <c r="BX21" s="10">
        <f>'[97]BU-2'!$E$19</f>
        <v>7543.7340000000004</v>
      </c>
      <c r="BY21" s="10">
        <f>'[97]BU-3'!$F$46</f>
        <v>0</v>
      </c>
      <c r="BZ21" s="10">
        <f>'[97]BU-3'!$F$59</f>
        <v>3840.0050000000001</v>
      </c>
      <c r="CA21" s="10">
        <f>'[97]BU-3'!$F$71</f>
        <v>3703.7289999999998</v>
      </c>
      <c r="CB21" s="10">
        <f>'[97]BU-3'!$F$46</f>
        <v>0</v>
      </c>
      <c r="CC21" s="11">
        <f t="shared" si="28"/>
        <v>7543.7340000000004</v>
      </c>
      <c r="CD21" s="13">
        <f t="shared" si="29"/>
        <v>0</v>
      </c>
      <c r="CE21" s="8">
        <f t="shared" si="11"/>
        <v>43405</v>
      </c>
      <c r="CF21" s="21">
        <f t="shared" si="36"/>
        <v>52.286200000000036</v>
      </c>
      <c r="CG21" s="23"/>
      <c r="CH21" s="23"/>
      <c r="CI21" s="23"/>
      <c r="CJ21" s="21">
        <f t="shared" si="12"/>
        <v>0</v>
      </c>
      <c r="CK21" s="21">
        <f t="shared" si="13"/>
        <v>52.286200000000036</v>
      </c>
      <c r="CM21" s="8">
        <f t="shared" si="14"/>
        <v>43405</v>
      </c>
      <c r="CN21" s="11">
        <f t="shared" si="30"/>
        <v>10.086793480000075</v>
      </c>
      <c r="CO21" s="9">
        <f>'[97]BU-3'!$H$82</f>
        <v>19.440000000000001</v>
      </c>
      <c r="CP21" s="9">
        <f>'[97]BU-3'!$J$82</f>
        <v>22.789099199999999</v>
      </c>
      <c r="CQ21" s="11">
        <f t="shared" si="31"/>
        <v>6.7376942800000776</v>
      </c>
      <c r="CR21" s="11">
        <f t="shared" si="37"/>
        <v>34.23286275000001</v>
      </c>
      <c r="CS21" s="23"/>
      <c r="CT21" s="23"/>
      <c r="CU21" s="21">
        <f t="shared" si="32"/>
        <v>34.23286275000001</v>
      </c>
      <c r="CW21" s="8">
        <f t="shared" si="15"/>
        <v>43405</v>
      </c>
      <c r="CX21" s="12">
        <f t="shared" si="38"/>
        <v>448</v>
      </c>
      <c r="CY21" s="10"/>
      <c r="CZ21" s="10"/>
      <c r="DA21" s="10"/>
      <c r="DB21" s="12">
        <f t="shared" si="33"/>
        <v>448</v>
      </c>
      <c r="DC21" s="12">
        <f t="shared" si="39"/>
        <v>20</v>
      </c>
      <c r="DD21" s="10"/>
      <c r="DE21" s="10"/>
      <c r="DF21" s="12">
        <f t="shared" si="34"/>
        <v>20</v>
      </c>
      <c r="DG21" s="12">
        <f t="shared" si="40"/>
        <v>2290</v>
      </c>
      <c r="DH21" s="10"/>
      <c r="DI21" s="10"/>
      <c r="DJ21" s="12">
        <f t="shared" si="35"/>
        <v>2290</v>
      </c>
      <c r="DK21" s="13"/>
      <c r="DL21" s="8">
        <f t="shared" si="16"/>
        <v>43405</v>
      </c>
      <c r="DM21" s="106">
        <f>'[111]BU-4'!E35</f>
        <v>0</v>
      </c>
      <c r="DN21" s="106">
        <f>'[111]BU-4'!F35</f>
        <v>0</v>
      </c>
      <c r="DO21" s="106">
        <f>'[111]BU-4'!G35</f>
        <v>0</v>
      </c>
      <c r="DP21" s="106">
        <f>'[111]BU-4'!H35</f>
        <v>30</v>
      </c>
      <c r="DQ21" s="10"/>
      <c r="DR21" s="10"/>
      <c r="DS21" s="10"/>
      <c r="DT21" s="10"/>
      <c r="DU21" s="10"/>
      <c r="DV21" s="10"/>
      <c r="DW21" s="10"/>
      <c r="DX21" s="10"/>
    </row>
    <row r="22" spans="2:128" ht="15.95" customHeight="1" x14ac:dyDescent="0.2">
      <c r="B22" s="8">
        <v>43435</v>
      </c>
      <c r="C22" s="10">
        <f>+'[99]BU-2'!$E$10</f>
        <v>15674</v>
      </c>
      <c r="D22" s="10">
        <f>+'[99]BU-3'!$F$11</f>
        <v>6520.6700000000019</v>
      </c>
      <c r="E22" s="10">
        <f>+'[99]BU-2'!$E$28</f>
        <v>4304.1381908188578</v>
      </c>
      <c r="F22" s="10">
        <f>+'[99]BU-2'!$E$29</f>
        <v>5022.1918091811585</v>
      </c>
      <c r="G22" s="31">
        <f t="shared" si="0"/>
        <v>9326.3300000000163</v>
      </c>
      <c r="H22" s="10">
        <f>+'[99]BU-2'!$E$27</f>
        <v>173</v>
      </c>
      <c r="I22" s="52">
        <f t="shared" si="17"/>
        <v>-1.8189894035458565E-11</v>
      </c>
      <c r="J22" s="8">
        <f t="shared" si="1"/>
        <v>43435</v>
      </c>
      <c r="K22" s="10">
        <f>'[99]BU-2'!$E$11</f>
        <v>87163</v>
      </c>
      <c r="L22" s="10">
        <f>'[99]BU-3'!$F$37</f>
        <v>85603</v>
      </c>
      <c r="M22" s="12">
        <f>'[99]BU-3'!$F$38</f>
        <v>1560</v>
      </c>
      <c r="N22" s="33">
        <f t="shared" si="2"/>
        <v>87163</v>
      </c>
      <c r="O22" s="12">
        <f>'[99]BU-2'!$E$30</f>
        <v>0</v>
      </c>
      <c r="P22" s="10">
        <f>'[99]BU-2'!$E$31</f>
        <v>0</v>
      </c>
      <c r="Q22" s="33">
        <f t="shared" si="3"/>
        <v>0</v>
      </c>
      <c r="R22" s="10">
        <f>'[99]BU-2'!$E$32</f>
        <v>564</v>
      </c>
      <c r="S22" s="10">
        <f>'[99]BU-2'!$E$33</f>
        <v>0</v>
      </c>
      <c r="T22" s="33">
        <f t="shared" si="4"/>
        <v>564</v>
      </c>
      <c r="U22" s="13">
        <f t="shared" si="18"/>
        <v>-20</v>
      </c>
      <c r="V22" s="8">
        <f t="shared" si="5"/>
        <v>43435</v>
      </c>
      <c r="W22" s="10">
        <f>[100]Feuil1!$K$40</f>
        <v>32971</v>
      </c>
      <c r="X22" s="10">
        <f>[100]Feuil1!$L$40</f>
        <v>49194</v>
      </c>
      <c r="Y22" s="10">
        <f>[100]Feuil1!$M$40</f>
        <v>171</v>
      </c>
      <c r="Z22" s="10">
        <f>[100]Feuil1!$N$40</f>
        <v>1560</v>
      </c>
      <c r="AA22" s="10">
        <f>[100]Feuil1!$O$40</f>
        <v>5367</v>
      </c>
      <c r="AB22" s="12">
        <f t="shared" si="41"/>
        <v>89263</v>
      </c>
      <c r="AC22" s="10">
        <f>[100]Feuil1!$Q$40</f>
        <v>76653</v>
      </c>
      <c r="AD22" s="10">
        <f>[100]Feuil1!$R$40</f>
        <v>11827</v>
      </c>
      <c r="AE22" s="10">
        <f>[100]Feuil1!$S$40</f>
        <v>0</v>
      </c>
      <c r="AF22" s="18">
        <f>[100]Feuil1!$T$40</f>
        <v>783</v>
      </c>
      <c r="AG22" s="12">
        <f t="shared" si="42"/>
        <v>89263</v>
      </c>
      <c r="AH22" s="13">
        <f t="shared" si="6"/>
        <v>0</v>
      </c>
      <c r="AI22" s="8">
        <f t="shared" si="7"/>
        <v>43435</v>
      </c>
      <c r="AJ22" s="12">
        <f>'[99]BU-2'!$E$20</f>
        <v>134646</v>
      </c>
      <c r="AK22" s="12"/>
      <c r="AL22" s="12"/>
      <c r="AM22" s="12">
        <f t="shared" si="43"/>
        <v>134646</v>
      </c>
      <c r="AN22" s="12"/>
      <c r="AO22" s="10"/>
      <c r="AP22" s="10">
        <f>'[99]BU-2'!$E$35</f>
        <v>1806</v>
      </c>
      <c r="AQ22" s="12">
        <f t="shared" si="44"/>
        <v>1806</v>
      </c>
      <c r="AR22" s="51">
        <f t="shared" si="19"/>
        <v>-132840</v>
      </c>
      <c r="AS22" s="8">
        <f t="shared" si="20"/>
        <v>43435</v>
      </c>
      <c r="AT22" s="10"/>
      <c r="AU22" s="10"/>
      <c r="AV22" s="10"/>
      <c r="AW22" s="12">
        <f t="shared" si="21"/>
        <v>0</v>
      </c>
      <c r="AX22" s="10"/>
      <c r="AY22" s="20"/>
      <c r="AZ22" s="12"/>
      <c r="BA22" s="12">
        <f t="shared" si="22"/>
        <v>0</v>
      </c>
      <c r="BB22" s="13">
        <f t="shared" si="23"/>
        <v>0</v>
      </c>
      <c r="BC22" s="8">
        <f t="shared" si="8"/>
        <v>43435</v>
      </c>
      <c r="BD22" s="10">
        <f>'[99]BU-2'!$E$15</f>
        <v>181805</v>
      </c>
      <c r="BE22" s="10">
        <f>'[99]BU-3'!$F$69</f>
        <v>134825</v>
      </c>
      <c r="BF22" s="10">
        <f>'[99]BU-3'!$F$13-BE22</f>
        <v>46980</v>
      </c>
      <c r="BG22" s="10">
        <f>'[99]BU-3'!$F$41</f>
        <v>0</v>
      </c>
      <c r="BH22" s="10">
        <f t="shared" si="24"/>
        <v>181805</v>
      </c>
      <c r="BI22" s="10">
        <f>'[99]BU-2'!$E$17</f>
        <v>46980</v>
      </c>
      <c r="BJ22" s="10">
        <f>'[99]BU-3'!$F$12</f>
        <v>1432</v>
      </c>
      <c r="BK22" s="10">
        <f>'[99]BU-3'!$F$45</f>
        <v>1383</v>
      </c>
      <c r="BL22" s="10">
        <f>[100]Feuil1!$AO$40</f>
        <v>22979</v>
      </c>
      <c r="BM22" s="10">
        <f>[100]Feuil1!$AP$40</f>
        <v>21231</v>
      </c>
      <c r="BN22" s="10">
        <f t="shared" si="25"/>
        <v>47025</v>
      </c>
      <c r="BO22" s="10">
        <f>'[99]BU-2'!$E$18</f>
        <v>44210</v>
      </c>
      <c r="BP22" s="10">
        <f>[100]Feuil1!$AX$40</f>
        <v>21011</v>
      </c>
      <c r="BQ22" s="10">
        <f>'[99]BU-3'!$F$58</f>
        <v>17349</v>
      </c>
      <c r="BR22" s="10">
        <f>'[99]BU-3'!$F$44</f>
        <v>22785</v>
      </c>
      <c r="BS22" s="10"/>
      <c r="BT22" s="10">
        <f t="shared" si="9"/>
        <v>61145</v>
      </c>
      <c r="BU22" s="13">
        <f t="shared" si="26"/>
        <v>16935</v>
      </c>
      <c r="BV22" s="13">
        <f t="shared" si="27"/>
        <v>45</v>
      </c>
      <c r="BW22" s="8">
        <f t="shared" si="10"/>
        <v>43435</v>
      </c>
      <c r="BX22" s="10">
        <f>'[99]BU-2'!$E$19</f>
        <v>7596.9229999999998</v>
      </c>
      <c r="BY22" s="10">
        <f>'[99]BU-3'!$F$46</f>
        <v>0</v>
      </c>
      <c r="BZ22" s="10">
        <f>'[99]BU-3'!$F$59</f>
        <v>3979.4940000000001</v>
      </c>
      <c r="CA22" s="10">
        <f>'[99]BU-3'!$F$71</f>
        <v>3617.4290000000001</v>
      </c>
      <c r="CB22" s="10">
        <f>'[99]BU-3'!$F$46</f>
        <v>0</v>
      </c>
      <c r="CC22" s="11">
        <f t="shared" si="28"/>
        <v>7596.9230000000007</v>
      </c>
      <c r="CD22" s="13">
        <f t="shared" si="29"/>
        <v>0</v>
      </c>
      <c r="CE22" s="8">
        <f t="shared" si="11"/>
        <v>43435</v>
      </c>
      <c r="CF22" s="21">
        <f t="shared" si="36"/>
        <v>52.286200000000036</v>
      </c>
      <c r="CG22" s="23"/>
      <c r="CH22" s="23"/>
      <c r="CI22" s="23"/>
      <c r="CJ22" s="21">
        <f t="shared" si="12"/>
        <v>0</v>
      </c>
      <c r="CK22" s="21">
        <f t="shared" si="13"/>
        <v>52.286200000000036</v>
      </c>
      <c r="CM22" s="8">
        <f t="shared" si="14"/>
        <v>43435</v>
      </c>
      <c r="CN22" s="11">
        <f t="shared" si="30"/>
        <v>6.7376942800000776</v>
      </c>
      <c r="CO22" s="9">
        <f>'[99]BU-3'!$H$82</f>
        <v>29.3</v>
      </c>
      <c r="CP22" s="9">
        <f>'[99]BU-3'!$J$82</f>
        <v>22.789099199999999</v>
      </c>
      <c r="CQ22" s="11">
        <f t="shared" si="31"/>
        <v>13.248595080000083</v>
      </c>
      <c r="CR22" s="11">
        <f>+CU21</f>
        <v>34.23286275000001</v>
      </c>
      <c r="CS22" s="23"/>
      <c r="CT22" s="23"/>
      <c r="CU22" s="21">
        <f t="shared" si="32"/>
        <v>34.23286275000001</v>
      </c>
      <c r="CW22" s="8">
        <f t="shared" si="15"/>
        <v>43435</v>
      </c>
      <c r="CX22" s="12">
        <f t="shared" si="38"/>
        <v>448</v>
      </c>
      <c r="CY22" s="10"/>
      <c r="CZ22" s="10"/>
      <c r="DA22" s="10"/>
      <c r="DB22" s="12">
        <f t="shared" si="33"/>
        <v>448</v>
      </c>
      <c r="DC22" s="12">
        <f t="shared" si="39"/>
        <v>20</v>
      </c>
      <c r="DD22" s="10"/>
      <c r="DE22" s="10"/>
      <c r="DF22" s="12">
        <f t="shared" si="34"/>
        <v>20</v>
      </c>
      <c r="DG22" s="12">
        <f t="shared" si="40"/>
        <v>2290</v>
      </c>
      <c r="DH22" s="10"/>
      <c r="DI22" s="10"/>
      <c r="DJ22" s="12">
        <f t="shared" si="35"/>
        <v>2290</v>
      </c>
      <c r="DK22" s="13"/>
      <c r="DL22" s="8">
        <f t="shared" si="16"/>
        <v>43435</v>
      </c>
      <c r="DM22" s="106">
        <f>'[112]BU-4'!E35</f>
        <v>11.486111111111111</v>
      </c>
      <c r="DN22" s="106">
        <f>'[112]BU-4'!F35</f>
        <v>0</v>
      </c>
      <c r="DO22" s="106">
        <f>'[112]BU-4'!G35</f>
        <v>0</v>
      </c>
      <c r="DP22" s="106">
        <f>'[112]BU-4'!H35</f>
        <v>19.513888888888889</v>
      </c>
      <c r="DQ22" s="10"/>
      <c r="DR22" s="10"/>
      <c r="DS22" s="10"/>
      <c r="DT22" s="10"/>
      <c r="DU22" s="10"/>
      <c r="DV22" s="10"/>
      <c r="DW22" s="10"/>
      <c r="DX22" s="10"/>
    </row>
    <row r="23" spans="2:128" ht="15.95" customHeight="1" x14ac:dyDescent="0.25">
      <c r="B23" s="30" t="s">
        <v>5</v>
      </c>
      <c r="C23" s="31">
        <f>SUM(C11:C22)</f>
        <v>193509</v>
      </c>
      <c r="D23" s="31">
        <f>SUM(D11:D22)</f>
        <v>79850.07100000004</v>
      </c>
      <c r="E23" s="31">
        <f>SUM(E11:E22)</f>
        <v>23934.819987511437</v>
      </c>
      <c r="F23" s="31">
        <f>SUM(F11:F22)</f>
        <v>91307.850012488576</v>
      </c>
      <c r="G23" s="31">
        <f t="shared" ref="G23" si="45">SUM(E23:F23)</f>
        <v>115242.67000000001</v>
      </c>
      <c r="H23" s="31">
        <f>SUM(H11:H22)</f>
        <v>1583.7400000000002</v>
      </c>
      <c r="I23"/>
      <c r="J23" s="8" t="s">
        <v>5</v>
      </c>
      <c r="K23" s="31">
        <f>SUM(K11:K22)</f>
        <v>1088961</v>
      </c>
      <c r="L23" s="31">
        <f t="shared" ref="L23:T23" si="46">SUM(L11:L22)</f>
        <v>1054263</v>
      </c>
      <c r="M23" s="31">
        <f t="shared" si="46"/>
        <v>34874</v>
      </c>
      <c r="N23" s="31">
        <f t="shared" si="46"/>
        <v>1089137</v>
      </c>
      <c r="O23" s="31">
        <f t="shared" si="46"/>
        <v>14096</v>
      </c>
      <c r="P23" s="31">
        <f t="shared" si="46"/>
        <v>1180</v>
      </c>
      <c r="Q23" s="31">
        <f t="shared" si="46"/>
        <v>15276</v>
      </c>
      <c r="R23" s="31">
        <f t="shared" si="46"/>
        <v>3232</v>
      </c>
      <c r="S23" s="31">
        <f t="shared" si="46"/>
        <v>0</v>
      </c>
      <c r="T23" s="31">
        <f t="shared" si="46"/>
        <v>3232</v>
      </c>
      <c r="U23" s="13">
        <f t="shared" si="18"/>
        <v>564</v>
      </c>
      <c r="V23" s="8" t="s">
        <v>5</v>
      </c>
      <c r="W23" s="12">
        <f>SUM(W11:W22)</f>
        <v>411539</v>
      </c>
      <c r="X23" s="12">
        <f>SUM(X11:X22)</f>
        <v>624295</v>
      </c>
      <c r="Y23" s="12"/>
      <c r="Z23" s="12">
        <f>SUM(W23:X23)</f>
        <v>1035834</v>
      </c>
      <c r="AA23" s="12" t="e">
        <f>+#REF!</f>
        <v>#REF!</v>
      </c>
      <c r="AB23" s="12">
        <f>SUM(AB11:AB22)</f>
        <v>1163277</v>
      </c>
      <c r="AC23" s="12">
        <f t="shared" ref="AC23:AD23" si="47">SUM(AC11:AC22)</f>
        <v>959850</v>
      </c>
      <c r="AD23" s="12">
        <f t="shared" si="47"/>
        <v>178003</v>
      </c>
      <c r="AE23" s="12">
        <f>SUM(AE11:AE22)</f>
        <v>766</v>
      </c>
      <c r="AF23" s="12">
        <f>SUM(AF11:AF22)</f>
        <v>24658</v>
      </c>
      <c r="AG23" s="12">
        <f t="shared" ref="AG23" si="48">SUM(AC23:AE23)</f>
        <v>1138619</v>
      </c>
      <c r="AI23" s="8" t="s">
        <v>5</v>
      </c>
      <c r="AJ23" s="12">
        <f>SUM(AJ11:AJ22)</f>
        <v>1694872</v>
      </c>
      <c r="AK23" s="12">
        <f t="shared" ref="AK23:BA23" si="49">SUM(AK11:AK22)</f>
        <v>9226</v>
      </c>
      <c r="AL23" s="12">
        <f t="shared" si="49"/>
        <v>0</v>
      </c>
      <c r="AM23" s="12">
        <f>SUM(AM11:AM22)</f>
        <v>994646</v>
      </c>
      <c r="AN23" s="12">
        <f t="shared" si="49"/>
        <v>111021</v>
      </c>
      <c r="AO23" s="12">
        <f t="shared" si="49"/>
        <v>4690</v>
      </c>
      <c r="AP23" s="12">
        <f t="shared" si="49"/>
        <v>27989</v>
      </c>
      <c r="AQ23" s="11">
        <f t="shared" si="49"/>
        <v>130468</v>
      </c>
      <c r="AR23"/>
      <c r="AS23" s="8" t="s">
        <v>5</v>
      </c>
      <c r="AT23" s="12">
        <f t="shared" si="49"/>
        <v>37186</v>
      </c>
      <c r="AU23" s="12">
        <f t="shared" si="49"/>
        <v>22879</v>
      </c>
      <c r="AV23" s="12">
        <f t="shared" si="49"/>
        <v>15135.2</v>
      </c>
      <c r="AW23" s="12">
        <f t="shared" si="49"/>
        <v>75200.2</v>
      </c>
      <c r="AX23" s="12">
        <f t="shared" si="49"/>
        <v>14210</v>
      </c>
      <c r="AY23" s="12">
        <f t="shared" si="49"/>
        <v>29721</v>
      </c>
      <c r="AZ23" s="12">
        <f t="shared" si="49"/>
        <v>31269</v>
      </c>
      <c r="BA23" s="12">
        <f t="shared" si="49"/>
        <v>75200</v>
      </c>
      <c r="BC23" s="8" t="s">
        <v>5</v>
      </c>
      <c r="BD23" s="12">
        <f>SUM(BD11:BD22)</f>
        <v>2173537</v>
      </c>
      <c r="BE23" s="12">
        <f t="shared" ref="BE23:BS23" si="50">SUM(BE11:BE22)</f>
        <v>1518182</v>
      </c>
      <c r="BF23" s="12">
        <f t="shared" si="50"/>
        <v>655706</v>
      </c>
      <c r="BG23" s="12">
        <f t="shared" si="50"/>
        <v>90</v>
      </c>
      <c r="BH23" s="12">
        <f>SUM(BH11:BH22)</f>
        <v>2173978</v>
      </c>
      <c r="BI23" s="12">
        <f t="shared" si="50"/>
        <v>655616</v>
      </c>
      <c r="BJ23" s="12">
        <f t="shared" si="50"/>
        <v>15173</v>
      </c>
      <c r="BK23" s="12">
        <f t="shared" si="50"/>
        <v>18711</v>
      </c>
      <c r="BL23" s="12">
        <f t="shared" si="50"/>
        <v>331020</v>
      </c>
      <c r="BM23" s="12">
        <f t="shared" si="50"/>
        <v>292030</v>
      </c>
      <c r="BN23" s="12">
        <f>SUM(BN11:BN22)</f>
        <v>656934</v>
      </c>
      <c r="BO23" s="12">
        <f t="shared" si="50"/>
        <v>635999</v>
      </c>
      <c r="BP23" s="12">
        <f t="shared" si="50"/>
        <v>336749</v>
      </c>
      <c r="BQ23" s="12">
        <f t="shared" si="50"/>
        <v>214450</v>
      </c>
      <c r="BR23" s="12">
        <f t="shared" si="50"/>
        <v>175176</v>
      </c>
      <c r="BS23" s="12">
        <f t="shared" si="50"/>
        <v>0</v>
      </c>
      <c r="BT23" s="12">
        <f>SUM(BT11:BT22)</f>
        <v>726375</v>
      </c>
      <c r="BW23" s="8" t="s">
        <v>5</v>
      </c>
      <c r="BX23" s="12">
        <f t="shared" ref="BX23:CC23" si="51">SUM(BX11:BX22)</f>
        <v>95212.26</v>
      </c>
      <c r="BY23" s="12">
        <f t="shared" si="51"/>
        <v>15.7</v>
      </c>
      <c r="BZ23" s="12">
        <f t="shared" si="51"/>
        <v>47251.623999999996</v>
      </c>
      <c r="CA23" s="12">
        <f t="shared" si="51"/>
        <v>47944.936000000002</v>
      </c>
      <c r="CB23" s="12">
        <f t="shared" si="51"/>
        <v>15.7</v>
      </c>
      <c r="CC23" s="12">
        <f t="shared" si="51"/>
        <v>95227.959999999992</v>
      </c>
      <c r="CE23" s="8" t="s">
        <v>5</v>
      </c>
      <c r="CF23" s="21">
        <f>+CF11</f>
        <v>53.420200000000023</v>
      </c>
      <c r="CG23" s="21">
        <f t="shared" ref="CG23:CJ23" si="52">SUM(CG11:CG22)</f>
        <v>150</v>
      </c>
      <c r="CH23" s="21">
        <f t="shared" si="52"/>
        <v>0</v>
      </c>
      <c r="CI23" s="21">
        <f t="shared" si="52"/>
        <v>151.13399999999999</v>
      </c>
      <c r="CJ23" s="21">
        <f t="shared" si="52"/>
        <v>151.13399999999999</v>
      </c>
      <c r="CK23" s="21">
        <f t="shared" si="13"/>
        <v>52.286200000000036</v>
      </c>
      <c r="CM23" s="8" t="s">
        <v>5</v>
      </c>
      <c r="CN23" s="11">
        <f>+CN11</f>
        <v>21.661638520000082</v>
      </c>
      <c r="CO23" s="21">
        <f>SUM(CO11:CO22)</f>
        <v>273.71000000000004</v>
      </c>
      <c r="CP23" s="21">
        <f>SUM(CP11:CP22)</f>
        <v>282.12304344</v>
      </c>
      <c r="CQ23" s="11" t="e">
        <f>+CN23+CO23-CP23-#REF!</f>
        <v>#REF!</v>
      </c>
      <c r="CR23" s="11">
        <f>+CR11</f>
        <v>13.57</v>
      </c>
      <c r="CS23" s="21">
        <f>SUM(CS11:CS22)</f>
        <v>539.81779937500005</v>
      </c>
      <c r="CT23" s="21">
        <f>SUM(CT11:CT22)</f>
        <v>519.154936625</v>
      </c>
      <c r="CU23" s="21">
        <f t="shared" si="32"/>
        <v>34.232862750000095</v>
      </c>
      <c r="CW23" s="8" t="s">
        <v>5</v>
      </c>
      <c r="CX23" s="12">
        <f>+CX11</f>
        <v>448</v>
      </c>
      <c r="CY23" s="12">
        <f>SUM(CY11:CY22)</f>
        <v>0</v>
      </c>
      <c r="CZ23" s="12">
        <f>SUM(CZ11:CZ22)</f>
        <v>0</v>
      </c>
      <c r="DA23" s="12">
        <f>SUM(DA11:DA22)</f>
        <v>0</v>
      </c>
      <c r="DB23" s="12">
        <f t="shared" si="33"/>
        <v>448</v>
      </c>
      <c r="DC23" s="12">
        <f>+DC11</f>
        <v>20</v>
      </c>
      <c r="DD23" s="12">
        <f>SUM(DD11:DD22)</f>
        <v>0</v>
      </c>
      <c r="DE23" s="12">
        <f>SUM(DE11:DE22)</f>
        <v>0</v>
      </c>
      <c r="DF23" s="12">
        <f t="shared" si="34"/>
        <v>20</v>
      </c>
      <c r="DG23" s="12">
        <f>+DG11</f>
        <v>2290</v>
      </c>
      <c r="DH23" s="12">
        <f>SUM(DH11:DH22)</f>
        <v>0</v>
      </c>
      <c r="DI23" s="12">
        <f>SUM(DI11:DI22)</f>
        <v>0</v>
      </c>
      <c r="DJ23" s="12">
        <f t="shared" si="35"/>
        <v>2290</v>
      </c>
      <c r="DK23" s="13"/>
      <c r="DL23" s="8" t="s">
        <v>5</v>
      </c>
      <c r="DM23" s="107">
        <f>SUM(DM11:DM22)</f>
        <v>85.143055555555549</v>
      </c>
      <c r="DN23" s="107">
        <f>SUM(DN11:DN22)</f>
        <v>0</v>
      </c>
      <c r="DO23" s="107">
        <f>SUM(DO11:DO22)</f>
        <v>179.32638888888889</v>
      </c>
      <c r="DP23" s="107">
        <f>SUM(DP11:DP22)</f>
        <v>100.53055555555555</v>
      </c>
      <c r="DQ23" s="12">
        <f t="shared" ref="DQ23:DX23" si="53">SUM(DQ11:DQ22)</f>
        <v>0</v>
      </c>
      <c r="DR23" s="12">
        <f t="shared" si="53"/>
        <v>0</v>
      </c>
      <c r="DS23" s="12">
        <f t="shared" si="53"/>
        <v>0</v>
      </c>
      <c r="DT23" s="12">
        <f t="shared" si="53"/>
        <v>0</v>
      </c>
      <c r="DU23" s="12">
        <f t="shared" si="53"/>
        <v>0</v>
      </c>
      <c r="DV23" s="12">
        <f t="shared" si="53"/>
        <v>0</v>
      </c>
      <c r="DW23" s="12">
        <f t="shared" si="53"/>
        <v>0</v>
      </c>
      <c r="DX23" s="12">
        <f t="shared" si="53"/>
        <v>0</v>
      </c>
    </row>
    <row r="24" spans="2:128" x14ac:dyDescent="0.25">
      <c r="B24" s="14"/>
    </row>
    <row r="25" spans="2:128" ht="15.95" customHeight="1" x14ac:dyDescent="0.25"/>
    <row r="26" spans="2:128" ht="15.95" customHeight="1" x14ac:dyDescent="0.25"/>
    <row r="27" spans="2:128" ht="15.95" customHeight="1" x14ac:dyDescent="0.25"/>
    <row r="29" spans="2:128" ht="15.95" customHeight="1" x14ac:dyDescent="0.25"/>
    <row r="30" spans="2:128" ht="15.95" customHeight="1" x14ac:dyDescent="0.25"/>
    <row r="31" spans="2:128" ht="15.95" customHeight="1" x14ac:dyDescent="0.25">
      <c r="O31" s="13"/>
    </row>
    <row r="32" spans="2:128" ht="15.95" customHeight="1" x14ac:dyDescent="0.25"/>
    <row r="33" ht="15.95" customHeight="1" x14ac:dyDescent="0.25"/>
    <row r="34" ht="15.95" customHeight="1" x14ac:dyDescent="0.25"/>
    <row r="35" ht="15.95" customHeight="1" x14ac:dyDescent="0.25"/>
    <row r="36" ht="15.95" customHeight="1" x14ac:dyDescent="0.25"/>
    <row r="37" ht="15.95" customHeight="1" x14ac:dyDescent="0.25"/>
    <row r="38" ht="15.95" customHeight="1" x14ac:dyDescent="0.25"/>
    <row r="39" ht="15.95" customHeight="1" x14ac:dyDescent="0.25"/>
    <row r="40" ht="15.95" customHeight="1" x14ac:dyDescent="0.25"/>
    <row r="41" ht="15.95" customHeight="1" x14ac:dyDescent="0.25"/>
    <row r="44" ht="15.75" customHeight="1" x14ac:dyDescent="0.25"/>
    <row r="46" ht="15.95" customHeight="1" x14ac:dyDescent="0.25"/>
    <row r="47" ht="15.95" customHeight="1" x14ac:dyDescent="0.25"/>
    <row r="48" ht="15.95" customHeight="1" x14ac:dyDescent="0.25"/>
    <row r="49" spans="2:13" ht="15.95" customHeight="1" x14ac:dyDescent="0.25"/>
    <row r="50" spans="2:13" ht="15.95" customHeight="1" x14ac:dyDescent="0.25"/>
    <row r="51" spans="2:13" ht="15.95" customHeight="1" x14ac:dyDescent="0.25"/>
    <row r="52" spans="2:13" ht="15.95" customHeight="1" x14ac:dyDescent="0.25"/>
    <row r="53" spans="2:13" ht="15.95" customHeight="1" x14ac:dyDescent="0.25"/>
    <row r="54" spans="2:13" ht="15.95" customHeight="1" x14ac:dyDescent="0.25"/>
    <row r="55" spans="2:13" ht="15.95" customHeight="1" x14ac:dyDescent="0.25"/>
    <row r="56" spans="2:13" ht="15.95" customHeight="1" x14ac:dyDescent="0.25"/>
    <row r="57" spans="2:13" ht="15.95" customHeight="1" x14ac:dyDescent="0.25"/>
    <row r="58" spans="2:13" ht="15.95" customHeight="1" x14ac:dyDescent="0.25">
      <c r="J58" s="39"/>
      <c r="K58" s="39"/>
      <c r="L58" s="39"/>
      <c r="M58" s="39"/>
    </row>
    <row r="59" spans="2:13" ht="15.95" customHeight="1" x14ac:dyDescent="0.25">
      <c r="B59" s="22"/>
      <c r="C59" s="39"/>
      <c r="D59" s="39"/>
      <c r="E59" s="39"/>
      <c r="F59" s="39"/>
      <c r="G59" s="39"/>
      <c r="H59" s="39"/>
      <c r="I59" s="39"/>
    </row>
    <row r="61" spans="2:13" ht="15.75" customHeight="1" x14ac:dyDescent="0.25"/>
    <row r="63" spans="2:13" ht="15.95" customHeight="1" x14ac:dyDescent="0.25"/>
    <row r="64" spans="2:13" ht="15.95" customHeight="1" x14ac:dyDescent="0.25"/>
    <row r="65" ht="15.95" customHeight="1" x14ac:dyDescent="0.25"/>
    <row r="66" ht="15.95" customHeight="1" x14ac:dyDescent="0.25"/>
    <row r="67" ht="15.95" customHeight="1" x14ac:dyDescent="0.25"/>
    <row r="68" ht="15.95" customHeight="1" x14ac:dyDescent="0.25"/>
    <row r="69" ht="15.95" customHeight="1" x14ac:dyDescent="0.25"/>
    <row r="70" ht="15.95" customHeight="1" x14ac:dyDescent="0.25"/>
    <row r="71" ht="15.95" customHeight="1" x14ac:dyDescent="0.25"/>
    <row r="72" ht="15.95" customHeight="1" x14ac:dyDescent="0.25"/>
    <row r="73" ht="15.95" customHeight="1" x14ac:dyDescent="0.25"/>
    <row r="74" ht="15.95" customHeight="1" x14ac:dyDescent="0.25"/>
    <row r="75" ht="15.95" customHeight="1" x14ac:dyDescent="0.25"/>
    <row r="78" ht="15.75" customHeight="1" x14ac:dyDescent="0.25"/>
    <row r="80" ht="15.95" customHeight="1" x14ac:dyDescent="0.25"/>
    <row r="81" spans="21:25" ht="15.95" customHeight="1" x14ac:dyDescent="0.25"/>
    <row r="82" spans="21:25" ht="15.95" customHeight="1" x14ac:dyDescent="0.25"/>
    <row r="83" spans="21:25" ht="15.95" customHeight="1" x14ac:dyDescent="0.25"/>
    <row r="84" spans="21:25" ht="15.95" customHeight="1" x14ac:dyDescent="0.25"/>
    <row r="85" spans="21:25" ht="15.95" customHeight="1" x14ac:dyDescent="0.25"/>
    <row r="86" spans="21:25" ht="15.95" customHeight="1" x14ac:dyDescent="0.25"/>
    <row r="87" spans="21:25" ht="15.95" customHeight="1" x14ac:dyDescent="0.25"/>
    <row r="88" spans="21:25" ht="15.95" customHeight="1" x14ac:dyDescent="0.25"/>
    <row r="89" spans="21:25" ht="15.95" customHeight="1" x14ac:dyDescent="0.25"/>
    <row r="90" spans="21:25" ht="15.95" customHeight="1" x14ac:dyDescent="0.25"/>
    <row r="91" spans="21:25" ht="15.95" customHeight="1" x14ac:dyDescent="0.25"/>
    <row r="92" spans="21:25" ht="15.95" customHeight="1" x14ac:dyDescent="0.25"/>
    <row r="94" spans="21:25" x14ac:dyDescent="0.25">
      <c r="U94" s="1"/>
      <c r="V94" s="1"/>
      <c r="W94" s="1"/>
      <c r="X94" s="1"/>
      <c r="Y94" s="1"/>
    </row>
    <row r="95" spans="21:25" ht="15.75" customHeight="1" x14ac:dyDescent="0.25"/>
    <row r="97" spans="27:31" ht="15.95" customHeight="1" x14ac:dyDescent="0.25"/>
    <row r="98" spans="27:31" ht="15.95" customHeight="1" x14ac:dyDescent="0.25"/>
    <row r="99" spans="27:31" ht="15.95" customHeight="1" x14ac:dyDescent="0.25"/>
    <row r="100" spans="27:31" ht="15.95" customHeight="1" x14ac:dyDescent="0.25"/>
    <row r="101" spans="27:31" ht="15.95" customHeight="1" x14ac:dyDescent="0.25"/>
    <row r="102" spans="27:31" ht="15.95" customHeight="1" x14ac:dyDescent="0.25"/>
    <row r="103" spans="27:31" ht="15.95" customHeight="1" x14ac:dyDescent="0.25"/>
    <row r="104" spans="27:31" ht="15.95" customHeight="1" x14ac:dyDescent="0.25"/>
    <row r="105" spans="27:31" ht="15.95" customHeight="1" x14ac:dyDescent="0.25"/>
    <row r="106" spans="27:31" ht="15.95" customHeight="1" x14ac:dyDescent="0.25"/>
    <row r="107" spans="27:31" ht="15.95" customHeight="1" x14ac:dyDescent="0.25"/>
    <row r="108" spans="27:31" ht="15.95" customHeight="1" x14ac:dyDescent="0.25"/>
    <row r="109" spans="27:31" ht="15.95" customHeight="1" x14ac:dyDescent="0.25"/>
    <row r="112" spans="27:31" x14ac:dyDescent="0.25">
      <c r="AA112" s="15"/>
      <c r="AB112" s="15"/>
      <c r="AC112" s="15"/>
      <c r="AD112" s="15"/>
      <c r="AE112" s="15"/>
    </row>
    <row r="113" spans="11:15" ht="15.75" customHeight="1" x14ac:dyDescent="0.25"/>
    <row r="115" spans="11:15" ht="15.95" customHeight="1" x14ac:dyDescent="0.25"/>
    <row r="116" spans="11:15" ht="15.95" customHeight="1" x14ac:dyDescent="0.25"/>
    <row r="117" spans="11:15" ht="15.95" customHeight="1" x14ac:dyDescent="0.25"/>
    <row r="118" spans="11:15" ht="15.95" customHeight="1" x14ac:dyDescent="0.25"/>
    <row r="119" spans="11:15" ht="15.95" customHeight="1" x14ac:dyDescent="0.25"/>
    <row r="120" spans="11:15" ht="15.95" customHeight="1" x14ac:dyDescent="0.25"/>
    <row r="121" spans="11:15" ht="15.95" customHeight="1" x14ac:dyDescent="0.25"/>
    <row r="122" spans="11:15" ht="15.95" customHeight="1" x14ac:dyDescent="0.25"/>
    <row r="123" spans="11:15" ht="15.95" customHeight="1" x14ac:dyDescent="0.25"/>
    <row r="124" spans="11:15" ht="15.95" customHeight="1" x14ac:dyDescent="0.25"/>
    <row r="125" spans="11:15" ht="15.95" customHeight="1" x14ac:dyDescent="0.25"/>
    <row r="126" spans="11:15" ht="15.95" customHeight="1" x14ac:dyDescent="0.25"/>
    <row r="127" spans="11:15" ht="15.95" customHeight="1" x14ac:dyDescent="0.25">
      <c r="K127" s="15"/>
      <c r="L127" s="15"/>
      <c r="M127" s="15"/>
      <c r="N127" s="15"/>
      <c r="O127" s="15"/>
    </row>
    <row r="129" spans="15:17" ht="15.75" customHeight="1" x14ac:dyDescent="0.25"/>
    <row r="130" spans="15:17" x14ac:dyDescent="0.25">
      <c r="O130" s="24"/>
    </row>
    <row r="131" spans="15:17" ht="15.95" customHeight="1" x14ac:dyDescent="0.25">
      <c r="O131" s="24"/>
    </row>
    <row r="132" spans="15:17" ht="15.95" customHeight="1" x14ac:dyDescent="0.25">
      <c r="O132" s="24"/>
    </row>
    <row r="133" spans="15:17" ht="15.95" customHeight="1" x14ac:dyDescent="0.25">
      <c r="O133" s="24"/>
    </row>
    <row r="134" spans="15:17" ht="15.95" customHeight="1" x14ac:dyDescent="0.25">
      <c r="O134" s="24"/>
    </row>
    <row r="135" spans="15:17" ht="15.95" customHeight="1" x14ac:dyDescent="0.25">
      <c r="O135" s="24"/>
    </row>
    <row r="136" spans="15:17" ht="15.95" customHeight="1" x14ac:dyDescent="0.25">
      <c r="O136" s="24"/>
    </row>
    <row r="137" spans="15:17" ht="15.95" customHeight="1" x14ac:dyDescent="0.25">
      <c r="O137" s="24"/>
    </row>
    <row r="138" spans="15:17" ht="15.95" customHeight="1" x14ac:dyDescent="0.25">
      <c r="O138" s="24"/>
    </row>
    <row r="139" spans="15:17" ht="15.95" customHeight="1" x14ac:dyDescent="0.25">
      <c r="O139" s="24"/>
    </row>
    <row r="140" spans="15:17" ht="15.95" customHeight="1" x14ac:dyDescent="0.25"/>
    <row r="141" spans="15:17" ht="15.95" customHeight="1" x14ac:dyDescent="0.25"/>
    <row r="142" spans="15:17" ht="15.95" customHeight="1" x14ac:dyDescent="0.25">
      <c r="Q142" s="25"/>
    </row>
    <row r="143" spans="15:17" ht="15.95" customHeight="1" x14ac:dyDescent="0.25"/>
    <row r="145" spans="16:33" ht="15.75" customHeight="1" x14ac:dyDescent="0.25"/>
    <row r="147" spans="16:33" ht="15.95" customHeight="1" x14ac:dyDescent="0.25"/>
    <row r="148" spans="16:33" ht="15.95" customHeight="1" x14ac:dyDescent="0.25"/>
    <row r="149" spans="16:33" ht="15.95" customHeight="1" x14ac:dyDescent="0.25"/>
    <row r="150" spans="16:33" ht="15.95" customHeight="1" x14ac:dyDescent="0.25"/>
    <row r="151" spans="16:33" ht="15.95" customHeight="1" x14ac:dyDescent="0.25"/>
    <row r="152" spans="16:33" ht="15.95" customHeight="1" x14ac:dyDescent="0.25"/>
    <row r="153" spans="16:33" ht="15.95" customHeight="1" x14ac:dyDescent="0.25"/>
    <row r="154" spans="16:33" ht="15.95" customHeight="1" x14ac:dyDescent="0.25"/>
    <row r="155" spans="16:33" ht="15.95" customHeight="1" x14ac:dyDescent="0.25"/>
    <row r="156" spans="16:33" ht="15.95" customHeight="1" x14ac:dyDescent="0.25"/>
    <row r="157" spans="16:33" ht="15.95" customHeight="1" x14ac:dyDescent="0.25"/>
    <row r="158" spans="16:33" ht="15.95" customHeight="1" x14ac:dyDescent="0.25"/>
    <row r="159" spans="16:33" ht="15.95" customHeight="1" x14ac:dyDescent="0.25">
      <c r="P159" s="15" t="s">
        <v>48</v>
      </c>
      <c r="Q159" s="15"/>
      <c r="R159" s="15"/>
      <c r="S159" s="15"/>
      <c r="T159" s="15"/>
    </row>
    <row r="160" spans="16:33" ht="14.1" customHeight="1" x14ac:dyDescent="0.25">
      <c r="U160" s="15"/>
      <c r="V160" s="15"/>
      <c r="W160" s="15"/>
      <c r="X160" s="15"/>
      <c r="Y160" s="15"/>
      <c r="Z160" s="15"/>
      <c r="AA160" s="15"/>
      <c r="AB160" s="15"/>
      <c r="AC160" s="15"/>
      <c r="AD160" s="15"/>
      <c r="AE160" s="15"/>
      <c r="AF160" s="15"/>
      <c r="AG160" s="15"/>
    </row>
    <row r="161" spans="12:12" ht="14.1" customHeight="1" x14ac:dyDescent="0.25"/>
    <row r="162" spans="12:12" ht="27.75" customHeight="1" x14ac:dyDescent="0.25"/>
    <row r="163" spans="12:12" ht="14.1" customHeight="1" x14ac:dyDescent="0.25">
      <c r="L163" s="13"/>
    </row>
    <row r="164" spans="12:12" ht="14.1" customHeight="1" x14ac:dyDescent="0.25"/>
    <row r="165" spans="12:12" ht="14.1" customHeight="1" x14ac:dyDescent="0.25"/>
    <row r="166" spans="12:12" ht="14.1" customHeight="1" x14ac:dyDescent="0.25"/>
    <row r="167" spans="12:12" ht="14.1" customHeight="1" x14ac:dyDescent="0.25"/>
    <row r="168" spans="12:12" ht="14.1" customHeight="1" x14ac:dyDescent="0.25"/>
    <row r="169" spans="12:12" ht="14.1" customHeight="1" x14ac:dyDescent="0.25"/>
    <row r="170" spans="12:12" ht="14.1" customHeight="1" x14ac:dyDescent="0.25"/>
    <row r="171" spans="12:12" ht="14.1" customHeight="1" x14ac:dyDescent="0.25"/>
    <row r="172" spans="12:12" ht="14.1" customHeight="1" x14ac:dyDescent="0.25"/>
    <row r="173" spans="12:12" ht="14.1" customHeight="1" x14ac:dyDescent="0.25"/>
    <row r="174" spans="12:12" ht="14.1" customHeight="1" x14ac:dyDescent="0.25"/>
    <row r="175" spans="12:12" ht="14.1" customHeight="1" x14ac:dyDescent="0.25"/>
    <row r="176" spans="12:12" ht="9.9499999999999993" customHeight="1" x14ac:dyDescent="0.25"/>
  </sheetData>
  <mergeCells count="32">
    <mergeCell ref="AC9:AG9"/>
    <mergeCell ref="AI9:AI10"/>
    <mergeCell ref="DL9:DL10"/>
    <mergeCell ref="AT9:AW9"/>
    <mergeCell ref="AX9:BA9"/>
    <mergeCell ref="BC9:BC10"/>
    <mergeCell ref="BD9:BH9"/>
    <mergeCell ref="BI9:BN9"/>
    <mergeCell ref="BO9:BT9"/>
    <mergeCell ref="BW9:BW10"/>
    <mergeCell ref="BX9:CC9"/>
    <mergeCell ref="CE9:CE10"/>
    <mergeCell ref="CM9:CM10"/>
    <mergeCell ref="CW9:CW10"/>
    <mergeCell ref="AN9:AQ9"/>
    <mergeCell ref="AS9:AS10"/>
    <mergeCell ref="R9:T9"/>
    <mergeCell ref="V9:V10"/>
    <mergeCell ref="B8:H8"/>
    <mergeCell ref="J8:J10"/>
    <mergeCell ref="K8:K10"/>
    <mergeCell ref="O8:T8"/>
    <mergeCell ref="B9:B10"/>
    <mergeCell ref="C9:C10"/>
    <mergeCell ref="D9:D10"/>
    <mergeCell ref="E9:H9"/>
    <mergeCell ref="O9:Q9"/>
    <mergeCell ref="BI8:BN8"/>
    <mergeCell ref="BO8:BT8"/>
    <mergeCell ref="BW8:CC8"/>
    <mergeCell ref="AI8:AQ8"/>
    <mergeCell ref="BC8:BH8"/>
  </mergeCells>
  <pageMargins left="0.19685039370078741" right="0.19685039370078741" top="0.19685039370078741" bottom="0.19685039370078741" header="0.51181102362204722" footer="0.51181102362204722"/>
  <pageSetup paperSize="9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5"/>
    <pageSetUpPr fitToPage="1"/>
  </sheetPr>
  <dimension ref="D13:N55"/>
  <sheetViews>
    <sheetView view="pageBreakPreview" topLeftCell="A11" zoomScale="60" zoomScaleNormal="100" workbookViewId="0">
      <selection activeCell="Q52" sqref="Q52"/>
    </sheetView>
  </sheetViews>
  <sheetFormatPr baseColWidth="10" defaultRowHeight="15.75" x14ac:dyDescent="0.25"/>
  <sheetData>
    <row r="13" spans="4:14" x14ac:dyDescent="0.25">
      <c r="D13" s="128" t="s">
        <v>1</v>
      </c>
      <c r="E13" s="3" t="s">
        <v>49</v>
      </c>
      <c r="F13" s="4"/>
      <c r="G13" s="4"/>
      <c r="H13" s="4"/>
      <c r="J13" s="128" t="s">
        <v>1</v>
      </c>
      <c r="K13" s="3" t="s">
        <v>49</v>
      </c>
      <c r="L13" s="4"/>
      <c r="M13" s="4"/>
      <c r="N13" s="4"/>
    </row>
    <row r="14" spans="4:14" x14ac:dyDescent="0.25">
      <c r="D14" s="129"/>
      <c r="E14" s="100" t="s">
        <v>4</v>
      </c>
      <c r="F14" s="100" t="s">
        <v>123</v>
      </c>
      <c r="G14" s="100" t="s">
        <v>124</v>
      </c>
      <c r="H14" s="100" t="s">
        <v>125</v>
      </c>
      <c r="J14" s="129"/>
      <c r="K14" s="100" t="s">
        <v>4</v>
      </c>
      <c r="L14" s="100" t="s">
        <v>123</v>
      </c>
      <c r="M14" s="100" t="s">
        <v>124</v>
      </c>
      <c r="N14" s="100" t="s">
        <v>125</v>
      </c>
    </row>
    <row r="15" spans="4:14" x14ac:dyDescent="0.25">
      <c r="D15" s="8">
        <v>44562</v>
      </c>
      <c r="E15" s="106">
        <v>15.770833333333334</v>
      </c>
      <c r="F15" s="106">
        <v>0</v>
      </c>
      <c r="G15" s="106">
        <v>0</v>
      </c>
      <c r="H15" s="106">
        <v>15</v>
      </c>
      <c r="J15" s="8">
        <v>44197</v>
      </c>
      <c r="K15" s="106">
        <v>30.320833333333333</v>
      </c>
      <c r="L15" s="106">
        <v>0</v>
      </c>
      <c r="M15" s="106">
        <v>0.20833333333333334</v>
      </c>
      <c r="N15" s="106">
        <v>0.47083333333333338</v>
      </c>
    </row>
    <row r="16" spans="4:14" x14ac:dyDescent="0.25">
      <c r="D16" s="8">
        <v>44593</v>
      </c>
      <c r="E16" s="106">
        <v>16.142361111111111</v>
      </c>
      <c r="F16" s="106">
        <v>0</v>
      </c>
      <c r="G16" s="106">
        <v>1.8576388888888891</v>
      </c>
      <c r="H16" s="106">
        <v>10</v>
      </c>
      <c r="J16" s="8">
        <v>44228</v>
      </c>
      <c r="K16" s="106">
        <v>28</v>
      </c>
      <c r="L16" s="106">
        <v>0</v>
      </c>
      <c r="M16" s="106">
        <v>0</v>
      </c>
      <c r="N16" s="106">
        <v>0</v>
      </c>
    </row>
    <row r="17" spans="4:14" x14ac:dyDescent="0.25">
      <c r="D17" s="8">
        <v>44621</v>
      </c>
      <c r="E17" s="106">
        <v>29.913194444444443</v>
      </c>
      <c r="F17" s="106">
        <v>0</v>
      </c>
      <c r="G17" s="106">
        <v>0</v>
      </c>
      <c r="H17" s="106">
        <v>1.0868055555555556</v>
      </c>
      <c r="J17" s="8">
        <v>44256</v>
      </c>
      <c r="K17" s="106">
        <v>29.885416666666664</v>
      </c>
      <c r="L17" s="106">
        <v>0</v>
      </c>
      <c r="M17" s="106">
        <v>1.1145833333333333</v>
      </c>
      <c r="N17" s="106">
        <v>0</v>
      </c>
    </row>
    <row r="18" spans="4:14" x14ac:dyDescent="0.25">
      <c r="D18" s="8">
        <v>44652</v>
      </c>
      <c r="E18" s="106">
        <v>28.296527777777776</v>
      </c>
      <c r="F18" s="106">
        <v>0</v>
      </c>
      <c r="G18" s="106">
        <v>0.23611111111111113</v>
      </c>
      <c r="H18" s="106">
        <v>1.4673611111111111</v>
      </c>
      <c r="J18" s="8">
        <v>44287</v>
      </c>
      <c r="K18" s="106">
        <v>29.24722222222222</v>
      </c>
      <c r="L18" s="106">
        <v>0</v>
      </c>
      <c r="M18" s="106">
        <v>0.75277777777777777</v>
      </c>
      <c r="N18" s="106">
        <v>0</v>
      </c>
    </row>
    <row r="19" spans="4:14" x14ac:dyDescent="0.25">
      <c r="D19" s="8">
        <v>44682</v>
      </c>
      <c r="E19" s="106">
        <v>31</v>
      </c>
      <c r="F19" s="106">
        <v>0</v>
      </c>
      <c r="G19" s="106">
        <v>0</v>
      </c>
      <c r="H19" s="106">
        <v>0</v>
      </c>
      <c r="J19" s="8">
        <v>44317</v>
      </c>
      <c r="K19" s="106">
        <v>30.384027777777778</v>
      </c>
      <c r="L19" s="106">
        <v>0</v>
      </c>
      <c r="M19" s="106">
        <v>0</v>
      </c>
      <c r="N19" s="106">
        <v>0.61597222222222237</v>
      </c>
    </row>
    <row r="20" spans="4:14" x14ac:dyDescent="0.25">
      <c r="D20" s="8">
        <v>44713</v>
      </c>
      <c r="E20" s="106">
        <v>29.822916666666668</v>
      </c>
      <c r="F20" s="106">
        <v>0</v>
      </c>
      <c r="G20" s="106">
        <v>0</v>
      </c>
      <c r="H20" s="106">
        <v>0.17708333333333334</v>
      </c>
      <c r="J20" s="8">
        <v>44348</v>
      </c>
      <c r="K20" s="106">
        <v>29.795138888888889</v>
      </c>
      <c r="L20" s="106">
        <v>0</v>
      </c>
      <c r="M20" s="106">
        <v>0</v>
      </c>
      <c r="N20" s="106">
        <v>0.2048611111111111</v>
      </c>
    </row>
    <row r="21" spans="4:14" x14ac:dyDescent="0.25">
      <c r="D21" s="8">
        <v>44743</v>
      </c>
      <c r="E21" s="106">
        <v>29.061111111111114</v>
      </c>
      <c r="F21" s="106">
        <v>0</v>
      </c>
      <c r="G21" s="106">
        <v>0</v>
      </c>
      <c r="H21" s="106">
        <v>1.9388888888888891</v>
      </c>
      <c r="J21" s="8">
        <v>44378</v>
      </c>
      <c r="K21" s="106">
        <v>29.961805555555557</v>
      </c>
      <c r="L21" s="106">
        <v>0</v>
      </c>
      <c r="M21" s="106">
        <v>0</v>
      </c>
      <c r="N21" s="106">
        <v>1.0381944444444444</v>
      </c>
    </row>
    <row r="22" spans="4:14" x14ac:dyDescent="0.25">
      <c r="D22" s="8">
        <v>44774</v>
      </c>
      <c r="E22" s="106">
        <v>29.073611111111109</v>
      </c>
      <c r="F22" s="106">
        <v>0</v>
      </c>
      <c r="G22" s="106">
        <v>0</v>
      </c>
      <c r="H22" s="106">
        <v>1.9263888888888889</v>
      </c>
      <c r="J22" s="8">
        <v>44409</v>
      </c>
      <c r="K22" s="106">
        <v>30.759027777777778</v>
      </c>
      <c r="L22" s="106">
        <v>0</v>
      </c>
      <c r="M22" s="106">
        <v>0</v>
      </c>
      <c r="N22" s="106">
        <v>0.24097222222222223</v>
      </c>
    </row>
    <row r="23" spans="4:14" x14ac:dyDescent="0.25">
      <c r="D23" s="8">
        <v>44805</v>
      </c>
      <c r="E23" s="106">
        <v>30</v>
      </c>
      <c r="F23" s="106">
        <v>0</v>
      </c>
      <c r="G23" s="106">
        <v>0</v>
      </c>
      <c r="H23" s="106">
        <v>0</v>
      </c>
      <c r="J23" s="8">
        <v>44440</v>
      </c>
      <c r="K23" s="106">
        <v>27.235416666666666</v>
      </c>
      <c r="L23" s="106">
        <v>2.7777777777777776E-2</v>
      </c>
      <c r="M23" s="106">
        <v>2.1118055555555553</v>
      </c>
      <c r="N23" s="106">
        <v>0.625</v>
      </c>
    </row>
    <row r="24" spans="4:14" x14ac:dyDescent="0.25">
      <c r="D24" s="8">
        <v>44835</v>
      </c>
      <c r="E24" s="106">
        <v>31</v>
      </c>
      <c r="F24" s="106">
        <v>0</v>
      </c>
      <c r="G24" s="106">
        <v>0</v>
      </c>
      <c r="H24" s="106">
        <v>0</v>
      </c>
      <c r="J24" s="8">
        <v>44470</v>
      </c>
      <c r="K24" s="106">
        <v>29.992361111111109</v>
      </c>
      <c r="L24" s="106">
        <v>3.5416666666666666E-2</v>
      </c>
      <c r="M24" s="106">
        <v>0</v>
      </c>
      <c r="N24" s="106">
        <v>0.97222222222222221</v>
      </c>
    </row>
    <row r="25" spans="4:14" x14ac:dyDescent="0.25">
      <c r="D25" s="8">
        <v>44866</v>
      </c>
      <c r="E25" s="106">
        <v>29.979166666666668</v>
      </c>
      <c r="F25" s="106">
        <v>0</v>
      </c>
      <c r="G25" s="106">
        <v>0</v>
      </c>
      <c r="H25" s="106">
        <v>2.083333333333337E-2</v>
      </c>
      <c r="J25" s="8">
        <v>44501</v>
      </c>
      <c r="K25" s="106">
        <v>30</v>
      </c>
      <c r="L25" s="106">
        <v>0</v>
      </c>
      <c r="M25" s="106">
        <v>0</v>
      </c>
      <c r="N25" s="106">
        <v>0</v>
      </c>
    </row>
    <row r="26" spans="4:14" x14ac:dyDescent="0.25">
      <c r="D26" s="8">
        <v>44896</v>
      </c>
      <c r="E26" s="106">
        <v>22.426388888888887</v>
      </c>
      <c r="F26" s="106">
        <v>0</v>
      </c>
      <c r="G26" s="106">
        <v>0</v>
      </c>
      <c r="H26" s="106">
        <v>8.5736111111111111</v>
      </c>
      <c r="J26" s="8">
        <v>44531</v>
      </c>
      <c r="K26" s="106">
        <v>30.159722222222225</v>
      </c>
      <c r="L26" s="106">
        <v>0</v>
      </c>
      <c r="M26" s="106">
        <v>0.21805555555555556</v>
      </c>
      <c r="N26" s="106">
        <v>0.75</v>
      </c>
    </row>
    <row r="27" spans="4:14" x14ac:dyDescent="0.25">
      <c r="D27" s="8" t="s">
        <v>5</v>
      </c>
      <c r="E27" s="107">
        <v>322.48611111111109</v>
      </c>
      <c r="F27" s="107">
        <v>0</v>
      </c>
      <c r="G27" s="107">
        <v>0</v>
      </c>
      <c r="H27" s="107">
        <v>0</v>
      </c>
      <c r="J27" s="8" t="s">
        <v>5</v>
      </c>
      <c r="K27" s="107">
        <v>355.74097222222224</v>
      </c>
      <c r="L27" s="107">
        <v>6.3194444444444442E-2</v>
      </c>
      <c r="M27" s="107">
        <v>4.4055555555555559</v>
      </c>
      <c r="N27" s="107">
        <v>4.9180555555555561</v>
      </c>
    </row>
    <row r="29" spans="4:14" x14ac:dyDescent="0.25">
      <c r="D29" s="8">
        <v>43831</v>
      </c>
      <c r="E29" s="106">
        <v>30.860416666666666</v>
      </c>
      <c r="F29" s="106">
        <v>0</v>
      </c>
      <c r="G29" s="106">
        <v>0</v>
      </c>
      <c r="H29" s="106">
        <v>0.13958333333333334</v>
      </c>
      <c r="J29" s="8">
        <v>43466</v>
      </c>
      <c r="K29" s="106">
        <v>28.125694444444445</v>
      </c>
      <c r="L29" s="106">
        <v>0</v>
      </c>
      <c r="M29" s="106">
        <v>2.2527777777777778</v>
      </c>
      <c r="N29" s="106">
        <v>0.62152777777777779</v>
      </c>
    </row>
    <row r="30" spans="4:14" x14ac:dyDescent="0.25">
      <c r="D30" s="8">
        <v>43862</v>
      </c>
      <c r="E30" s="106">
        <v>2.1777777777777776</v>
      </c>
      <c r="F30" s="106">
        <v>0</v>
      </c>
      <c r="G30" s="106">
        <v>0</v>
      </c>
      <c r="H30" s="106">
        <v>26.822222222222223</v>
      </c>
      <c r="J30" s="8">
        <v>43497</v>
      </c>
      <c r="K30" s="106">
        <v>27.743055555555557</v>
      </c>
      <c r="L30" s="106">
        <v>0</v>
      </c>
      <c r="M30" s="106">
        <v>0.25694444444444448</v>
      </c>
      <c r="N30" s="106">
        <v>0</v>
      </c>
    </row>
    <row r="31" spans="4:14" x14ac:dyDescent="0.25">
      <c r="D31" s="8">
        <v>43891</v>
      </c>
      <c r="E31" s="106">
        <v>14.402083333333334</v>
      </c>
      <c r="F31" s="106">
        <v>0</v>
      </c>
      <c r="G31" s="106">
        <v>0.18124999999999999</v>
      </c>
      <c r="H31" s="106">
        <v>16.416666666666668</v>
      </c>
      <c r="J31" s="8">
        <v>43525</v>
      </c>
      <c r="K31" s="106">
        <v>30.363194444444446</v>
      </c>
      <c r="L31" s="106">
        <v>0</v>
      </c>
      <c r="M31" s="106">
        <v>0</v>
      </c>
      <c r="N31" s="106">
        <v>0.63680555555555551</v>
      </c>
    </row>
    <row r="32" spans="4:14" x14ac:dyDescent="0.25">
      <c r="D32" s="8">
        <v>43922</v>
      </c>
      <c r="E32" s="106">
        <v>27.878472222222221</v>
      </c>
      <c r="F32" s="106">
        <v>0</v>
      </c>
      <c r="G32" s="106">
        <v>0.15625</v>
      </c>
      <c r="H32" s="106">
        <v>1.9652777777777779</v>
      </c>
      <c r="J32" s="8">
        <v>43556</v>
      </c>
      <c r="K32" s="106">
        <v>28.9</v>
      </c>
      <c r="L32" s="106">
        <v>0</v>
      </c>
      <c r="M32" s="106">
        <v>0</v>
      </c>
      <c r="N32" s="106">
        <v>1.1000000000000001</v>
      </c>
    </row>
    <row r="33" spans="4:14" x14ac:dyDescent="0.25">
      <c r="D33" s="8">
        <v>43952</v>
      </c>
      <c r="E33" s="106">
        <v>31</v>
      </c>
      <c r="F33" s="106">
        <v>0</v>
      </c>
      <c r="G33" s="106">
        <v>0</v>
      </c>
      <c r="H33" s="106">
        <v>0</v>
      </c>
      <c r="J33" s="8">
        <v>43586</v>
      </c>
      <c r="K33" s="106">
        <v>30.815972222222221</v>
      </c>
      <c r="L33" s="106">
        <v>0</v>
      </c>
      <c r="M33" s="106">
        <v>0.18402777777777779</v>
      </c>
      <c r="N33" s="106">
        <v>0</v>
      </c>
    </row>
    <row r="34" spans="4:14" x14ac:dyDescent="0.25">
      <c r="D34" s="8">
        <v>43983</v>
      </c>
      <c r="E34" s="106">
        <v>28.198611111111109</v>
      </c>
      <c r="F34" s="106">
        <v>0</v>
      </c>
      <c r="G34" s="106">
        <v>0.27986111111111112</v>
      </c>
      <c r="H34" s="106">
        <v>1.5215277777777778</v>
      </c>
      <c r="J34" s="8">
        <v>43617</v>
      </c>
      <c r="K34" s="106">
        <v>30</v>
      </c>
      <c r="L34" s="106">
        <v>0</v>
      </c>
      <c r="M34" s="106">
        <v>0</v>
      </c>
      <c r="N34" s="106">
        <v>0</v>
      </c>
    </row>
    <row r="35" spans="4:14" x14ac:dyDescent="0.25">
      <c r="D35" s="8">
        <v>44013</v>
      </c>
      <c r="E35" s="106">
        <v>30.069444444444446</v>
      </c>
      <c r="F35" s="106">
        <v>0.15972222222222224</v>
      </c>
      <c r="G35" s="106">
        <v>0</v>
      </c>
      <c r="H35" s="106">
        <v>0.77083333333333326</v>
      </c>
      <c r="J35" s="8">
        <v>43647</v>
      </c>
      <c r="K35" s="106">
        <v>28.590277777777782</v>
      </c>
      <c r="L35" s="106">
        <v>0</v>
      </c>
      <c r="M35" s="106">
        <v>2.4097222222222228</v>
      </c>
      <c r="N35" s="106">
        <v>0</v>
      </c>
    </row>
    <row r="36" spans="4:14" x14ac:dyDescent="0.25">
      <c r="D36" s="8">
        <v>44044</v>
      </c>
      <c r="E36" s="106">
        <v>29.770833333333332</v>
      </c>
      <c r="F36" s="106">
        <v>0</v>
      </c>
      <c r="G36" s="106">
        <v>0</v>
      </c>
      <c r="H36" s="106">
        <v>1.2291666666666667</v>
      </c>
      <c r="J36" s="8">
        <v>43678</v>
      </c>
      <c r="K36" s="106">
        <v>31</v>
      </c>
      <c r="L36" s="106">
        <v>0</v>
      </c>
      <c r="M36" s="106">
        <v>0</v>
      </c>
      <c r="N36" s="106">
        <v>0</v>
      </c>
    </row>
    <row r="37" spans="4:14" x14ac:dyDescent="0.25">
      <c r="D37" s="8">
        <v>44075</v>
      </c>
      <c r="E37" s="106">
        <v>29.604166666666664</v>
      </c>
      <c r="F37" s="106">
        <v>0</v>
      </c>
      <c r="G37" s="106">
        <v>0.39583333333333337</v>
      </c>
      <c r="H37" s="106">
        <v>0</v>
      </c>
      <c r="J37" s="8">
        <v>43709</v>
      </c>
      <c r="K37" s="106">
        <v>28.981250000000003</v>
      </c>
      <c r="L37" s="106">
        <v>0</v>
      </c>
      <c r="M37" s="106">
        <v>0.11388888888888889</v>
      </c>
      <c r="N37" s="106">
        <v>0.90486111111111112</v>
      </c>
    </row>
    <row r="38" spans="4:14" x14ac:dyDescent="0.25">
      <c r="D38" s="8">
        <v>44105</v>
      </c>
      <c r="E38" s="106">
        <v>31</v>
      </c>
      <c r="F38" s="106">
        <v>0</v>
      </c>
      <c r="G38" s="106">
        <v>0</v>
      </c>
      <c r="H38" s="106">
        <v>0</v>
      </c>
      <c r="J38" s="8">
        <v>43739</v>
      </c>
      <c r="K38" s="106">
        <v>30.577777777777779</v>
      </c>
      <c r="L38" s="106">
        <v>0</v>
      </c>
      <c r="M38" s="106">
        <v>0.15833333333333333</v>
      </c>
      <c r="N38" s="106">
        <v>0.2638888888888889</v>
      </c>
    </row>
    <row r="39" spans="4:14" x14ac:dyDescent="0.25">
      <c r="D39" s="8">
        <v>44136</v>
      </c>
      <c r="E39" s="106">
        <v>30</v>
      </c>
      <c r="F39" s="106">
        <v>0</v>
      </c>
      <c r="G39" s="106">
        <v>0</v>
      </c>
      <c r="H39" s="106">
        <v>0</v>
      </c>
      <c r="J39" s="8">
        <v>43770</v>
      </c>
      <c r="K39" s="106">
        <v>30</v>
      </c>
      <c r="L39" s="106">
        <v>0</v>
      </c>
      <c r="M39" s="106">
        <v>0</v>
      </c>
      <c r="N39" s="106">
        <v>0</v>
      </c>
    </row>
    <row r="40" spans="4:14" x14ac:dyDescent="0.25">
      <c r="D40" s="8">
        <v>44166</v>
      </c>
      <c r="E40" s="106">
        <v>30.975000000000001</v>
      </c>
      <c r="F40" s="106">
        <v>0</v>
      </c>
      <c r="G40" s="106">
        <v>0</v>
      </c>
      <c r="H40" s="106">
        <v>2.4999999999999998E-2</v>
      </c>
      <c r="J40" s="8">
        <v>43800</v>
      </c>
      <c r="K40" s="106">
        <v>29.288888888888888</v>
      </c>
      <c r="L40" s="106">
        <v>0</v>
      </c>
      <c r="M40" s="106">
        <v>0</v>
      </c>
      <c r="N40" s="106">
        <v>1.711111111111111</v>
      </c>
    </row>
    <row r="41" spans="4:14" x14ac:dyDescent="0.25">
      <c r="D41" s="8" t="s">
        <v>5</v>
      </c>
      <c r="E41" s="107">
        <v>315.93680555555557</v>
      </c>
      <c r="F41" s="107">
        <v>0.15972222222222224</v>
      </c>
      <c r="G41" s="107">
        <v>1.0131944444444445</v>
      </c>
      <c r="H41" s="107">
        <v>48.890277777777783</v>
      </c>
      <c r="J41" s="8" t="s">
        <v>5</v>
      </c>
      <c r="K41" s="107">
        <v>354.38611111111112</v>
      </c>
      <c r="L41" s="107">
        <v>0</v>
      </c>
      <c r="M41" s="107">
        <v>5.375694444444445</v>
      </c>
      <c r="N41" s="107">
        <v>5.2381944444444439</v>
      </c>
    </row>
    <row r="43" spans="4:14" x14ac:dyDescent="0.25">
      <c r="D43" s="8">
        <v>43101</v>
      </c>
      <c r="E43" s="106">
        <v>2.0347222222222223</v>
      </c>
      <c r="F43" s="106">
        <v>0</v>
      </c>
      <c r="G43" s="106">
        <v>28.965277777777779</v>
      </c>
      <c r="H43" s="106">
        <v>0</v>
      </c>
    </row>
    <row r="44" spans="4:14" x14ac:dyDescent="0.25">
      <c r="D44" s="8">
        <v>43132</v>
      </c>
      <c r="E44" s="106">
        <v>0</v>
      </c>
      <c r="F44" s="106">
        <v>0</v>
      </c>
      <c r="G44" s="106">
        <v>28</v>
      </c>
      <c r="H44" s="106">
        <v>0</v>
      </c>
    </row>
    <row r="45" spans="4:14" x14ac:dyDescent="0.25">
      <c r="D45" s="8">
        <v>43160</v>
      </c>
      <c r="E45" s="106">
        <v>0</v>
      </c>
      <c r="F45" s="106">
        <v>0</v>
      </c>
      <c r="G45" s="106">
        <v>31</v>
      </c>
      <c r="H45" s="106">
        <v>0</v>
      </c>
    </row>
    <row r="46" spans="4:14" x14ac:dyDescent="0.25">
      <c r="D46" s="8">
        <v>43191</v>
      </c>
      <c r="E46" s="106">
        <v>0</v>
      </c>
      <c r="F46" s="106">
        <v>0</v>
      </c>
      <c r="G46" s="106">
        <v>30</v>
      </c>
      <c r="H46" s="106">
        <v>0</v>
      </c>
    </row>
    <row r="47" spans="4:14" x14ac:dyDescent="0.25">
      <c r="D47" s="8">
        <v>43221</v>
      </c>
      <c r="E47" s="106">
        <v>0</v>
      </c>
      <c r="F47" s="106">
        <v>0</v>
      </c>
      <c r="G47" s="106">
        <v>31</v>
      </c>
      <c r="H47" s="106">
        <v>0</v>
      </c>
    </row>
    <row r="48" spans="4:14" x14ac:dyDescent="0.25">
      <c r="D48" s="8">
        <v>43252</v>
      </c>
      <c r="E48" s="106">
        <v>0</v>
      </c>
      <c r="F48" s="106">
        <v>0</v>
      </c>
      <c r="G48" s="106">
        <v>30</v>
      </c>
      <c r="H48" s="106">
        <v>0</v>
      </c>
    </row>
    <row r="49" spans="4:8" x14ac:dyDescent="0.25">
      <c r="D49" s="8">
        <v>43282</v>
      </c>
      <c r="E49" s="106">
        <v>30.368055555555557</v>
      </c>
      <c r="F49" s="106">
        <v>0</v>
      </c>
      <c r="G49" s="106">
        <v>0.3611111111111111</v>
      </c>
      <c r="H49" s="106">
        <v>0.27083333333333337</v>
      </c>
    </row>
    <row r="50" spans="4:8" x14ac:dyDescent="0.25">
      <c r="D50" s="8">
        <v>43313</v>
      </c>
      <c r="E50" s="106">
        <v>11.252083333333333</v>
      </c>
      <c r="F50" s="106">
        <v>0</v>
      </c>
      <c r="G50" s="106">
        <v>0</v>
      </c>
      <c r="H50" s="106">
        <v>19.747916666666669</v>
      </c>
    </row>
    <row r="51" spans="4:8" x14ac:dyDescent="0.25">
      <c r="D51" s="8">
        <v>43344</v>
      </c>
      <c r="E51" s="106">
        <v>28.127083333333331</v>
      </c>
      <c r="F51" s="106">
        <v>0</v>
      </c>
      <c r="G51" s="106">
        <v>0</v>
      </c>
      <c r="H51" s="106">
        <v>1.8729166666666668</v>
      </c>
    </row>
    <row r="52" spans="4:8" x14ac:dyDescent="0.25">
      <c r="D52" s="8">
        <v>43374</v>
      </c>
      <c r="E52" s="106">
        <v>1.875</v>
      </c>
      <c r="F52" s="106">
        <v>0</v>
      </c>
      <c r="G52" s="106">
        <v>0</v>
      </c>
      <c r="H52" s="106">
        <v>29.125</v>
      </c>
    </row>
    <row r="53" spans="4:8" x14ac:dyDescent="0.25">
      <c r="D53" s="8">
        <v>43405</v>
      </c>
      <c r="E53" s="106">
        <v>0</v>
      </c>
      <c r="F53" s="106">
        <v>0</v>
      </c>
      <c r="G53" s="106">
        <v>0</v>
      </c>
      <c r="H53" s="106">
        <v>30</v>
      </c>
    </row>
    <row r="54" spans="4:8" x14ac:dyDescent="0.25">
      <c r="D54" s="8">
        <v>43435</v>
      </c>
      <c r="E54" s="106">
        <v>11.486111111111111</v>
      </c>
      <c r="F54" s="106">
        <v>0</v>
      </c>
      <c r="G54" s="106">
        <v>0</v>
      </c>
      <c r="H54" s="106">
        <v>19.513888888888889</v>
      </c>
    </row>
    <row r="55" spans="4:8" x14ac:dyDescent="0.25">
      <c r="D55" s="8" t="s">
        <v>5</v>
      </c>
      <c r="E55" s="107">
        <v>85.143055555555549</v>
      </c>
      <c r="F55" s="107">
        <v>0</v>
      </c>
      <c r="G55" s="107">
        <v>179.32638888888889</v>
      </c>
      <c r="H55" s="107">
        <v>100.53055555555555</v>
      </c>
    </row>
  </sheetData>
  <mergeCells count="2">
    <mergeCell ref="D13:D14"/>
    <mergeCell ref="J13:J14"/>
  </mergeCells>
  <printOptions horizontalCentered="1"/>
  <pageMargins left="0.70866141732283472" right="0.70866141732283472" top="0.15748031496062992" bottom="0.15748031496062992" header="0.31496062992125984" footer="0.31496062992125984"/>
  <pageSetup paperSize="9" scale="87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7</vt:i4>
      </vt:variant>
      <vt:variant>
        <vt:lpstr>Plages nommées</vt:lpstr>
      </vt:variant>
      <vt:variant>
        <vt:i4>3</vt:i4>
      </vt:variant>
    </vt:vector>
  </HeadingPairs>
  <TitlesOfParts>
    <vt:vector size="10" baseType="lpstr">
      <vt:lpstr>BA-2023</vt:lpstr>
      <vt:lpstr>BA-2022</vt:lpstr>
      <vt:lpstr>BA-2021</vt:lpstr>
      <vt:lpstr>BA-2020</vt:lpstr>
      <vt:lpstr>BA-2019</vt:lpstr>
      <vt:lpstr>BA-2018</vt:lpstr>
      <vt:lpstr>H,MARCH-GTA</vt:lpstr>
      <vt:lpstr>'BA-2022'!Zone_d_impression</vt:lpstr>
      <vt:lpstr>'BA-2023'!Zone_d_impression</vt:lpstr>
      <vt:lpstr>'H,MARCH-GTA'!Zone_d_impression</vt:lpstr>
    </vt:vector>
  </TitlesOfParts>
  <Company>OCP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BOUMTIRA Jaouad</dc:creator>
  <cp:lastModifiedBy>BOUMTIRA Jaouad</cp:lastModifiedBy>
  <cp:lastPrinted>2023-02-01T14:43:11Z</cp:lastPrinted>
  <dcterms:created xsi:type="dcterms:W3CDTF">2022-07-07T13:41:32Z</dcterms:created>
  <dcterms:modified xsi:type="dcterms:W3CDTF">2023-03-23T13:59:23Z</dcterms:modified>
</cp:coreProperties>
</file>