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-5 Plan Mjto" sheetId="1" r:id="rId3"/>
    <sheet state="hidden" name="DV-IDENTITY-0" sheetId="2" r:id="rId4"/>
    <sheet state="visible" name="AP-9 Plan de Acción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">
      <text>
        <t xml:space="preserve">El Peso del Proyecto se califica así:
A cada proyecto formulado en el plan de mejoramiento, se le asigna un peso, de manera que la suma total  de los pesos sea 100.</t>
      </text>
    </comment>
    <comment authorId="0" ref="C14">
      <text>
        <t xml:space="preserve">Registrar el nombre del indicador.</t>
      </text>
    </comment>
    <comment authorId="0" ref="D14">
      <text>
        <t xml:space="preserve">Definir la unidad de Medida, por ejemplo: Número, 
Porcentaje,
Promedios,
Proporciones...</t>
      </text>
    </comment>
    <comment authorId="0" ref="E14">
      <text>
        <t xml:space="preserve">La fórmula de cálculo incluye la variable o variables con las que es posible calcular el indicador.</t>
      </text>
    </comment>
    <comment authorId="0" ref="I14">
      <text>
        <t xml:space="preserve">Se registra el nombre de la persona que realizará la medición del indicador</t>
      </text>
    </comment>
    <comment authorId="0" ref="J14">
      <text>
        <t xml:space="preserve">Diligenciar el  valor alcanzado o resultado, de acuerdo a la fórmula de cálculo  </t>
      </text>
    </comment>
    <comment authorId="0" ref="K14">
      <text>
        <t xml:space="preserve">de los resultados con relación a la meta establecida</t>
      </text>
    </comment>
    <comment authorId="0" ref="H15">
      <text>
        <t xml:space="preserve">Corresponde al año en que se  espera cumplir la meta.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Se registra el nombre de la persona que realizará la actividad.</t>
      </text>
    </comment>
    <comment authorId="0" ref="H6">
      <text>
        <t xml:space="preserve">Financieros</t>
      </text>
    </comment>
    <comment authorId="0" ref="C7">
      <text>
        <t xml:space="preserve">Corresponde al año en que se  espera cumplir la meta.</t>
      </text>
    </comment>
    <comment authorId="0" ref="I7">
      <text>
        <t xml:space="preserve">Registrar una equis (X), si la actividad aún NO HA SIDO INICIADA</t>
      </text>
    </comment>
    <comment authorId="0" ref="J7">
      <text>
        <t xml:space="preserve">Registrar una equis (X), si la actividad se encuentra EN CURSO.</t>
      </text>
    </comment>
    <comment authorId="0" ref="K7">
      <text>
        <t xml:space="preserve">Registrar una Equis (X),
 si la actividad ha sido CANCELADA</t>
      </text>
    </comment>
    <comment authorId="0" ref="L7">
      <text>
        <t xml:space="preserve">Registrar una Equis (x), si la actividad se encuentra FINALIZADA</t>
      </text>
    </comment>
    <comment authorId="0" ref="M7">
      <text>
        <t xml:space="preserve">Registrar una equis (X),  si la  actividadad ha sido EJECUTADA </t>
      </text>
    </comment>
  </commentList>
</comments>
</file>

<file path=xl/sharedStrings.xml><?xml version="1.0" encoding="utf-8"?>
<sst xmlns="http://schemas.openxmlformats.org/spreadsheetml/2006/main" count="245" uniqueCount="159">
  <si>
    <t xml:space="preserve">    UNIVERSIDAD MARIANA</t>
  </si>
  <si>
    <t>OFICINA DE AUTOEVALUACIÓN Y CALIDAD</t>
  </si>
  <si>
    <t xml:space="preserve"> AP-5   PLAN DE MEJORAMIENTO</t>
  </si>
  <si>
    <t xml:space="preserve"> AP-9   PLAN DE ACCIÓN</t>
  </si>
  <si>
    <t>PROGRAMA:</t>
  </si>
  <si>
    <t>Meta</t>
  </si>
  <si>
    <t>NUTRICIÓN Y DIETETICA</t>
  </si>
  <si>
    <t>Actividades</t>
  </si>
  <si>
    <t xml:space="preserve">Responsable del Plan de Mejoramiento: </t>
  </si>
  <si>
    <t>Responsables de la actividad</t>
  </si>
  <si>
    <t>YOMAIRA YEPEZ CAICEDO</t>
  </si>
  <si>
    <t>Plazos</t>
  </si>
  <si>
    <t>Presupuesto</t>
  </si>
  <si>
    <t>Estado de Ejecución</t>
  </si>
  <si>
    <t>Fecha de elaboración (dd/mm/aa):</t>
  </si>
  <si>
    <t>Agosto 27 de 2015</t>
  </si>
  <si>
    <t>Línea
Base</t>
  </si>
  <si>
    <t>Cantidad</t>
  </si>
  <si>
    <t>Año</t>
  </si>
  <si>
    <t>Seguimientos  a Indicadores:</t>
  </si>
  <si>
    <t>Inicia</t>
  </si>
  <si>
    <t>Termina</t>
  </si>
  <si>
    <t>NI</t>
  </si>
  <si>
    <r>
      <rPr>
        <rFont val="Arial"/>
        <b/>
        <sz val="10.0"/>
      </rPr>
      <t>Seguimiento</t>
    </r>
    <r>
      <rPr>
        <rFont val="Arial"/>
        <sz val="10.0"/>
      </rPr>
      <t xml:space="preserve"> </t>
    </r>
    <r>
      <rPr>
        <rFont val="Arial"/>
        <b/>
        <sz val="10.0"/>
      </rPr>
      <t>1:</t>
    </r>
    <r>
      <rPr>
        <rFont val="Arial"/>
        <sz val="10.0"/>
      </rPr>
      <t xml:space="preserve">   26 / 02 / 2016</t>
    </r>
  </si>
  <si>
    <t>EC</t>
  </si>
  <si>
    <t>CANC</t>
  </si>
  <si>
    <t>FIN</t>
  </si>
  <si>
    <t>EJ</t>
  </si>
  <si>
    <r>
      <rPr>
        <rFont val="Arial"/>
        <b/>
        <sz val="10.0"/>
      </rPr>
      <t xml:space="preserve">Seguimiento 2:  </t>
    </r>
    <r>
      <rPr>
        <rFont val="Arial"/>
        <sz val="10.0"/>
      </rPr>
      <t xml:space="preserve">  29 / 08 / 2016</t>
    </r>
  </si>
  <si>
    <r>
      <rPr>
        <rFont val="Arial"/>
        <b/>
        <sz val="10.0"/>
      </rPr>
      <t xml:space="preserve">Seguimiento 3:   </t>
    </r>
    <r>
      <rPr>
        <rFont val="Arial"/>
        <sz val="10.0"/>
      </rPr>
      <t xml:space="preserve"> 28 / 02 / 2017</t>
    </r>
  </si>
  <si>
    <t>Solcitud del cambio de titulacion ante el Consejo de la Facultad Ciencias de la salud</t>
  </si>
  <si>
    <t>Dirección de Programa</t>
  </si>
  <si>
    <r>
      <rPr>
        <rFont val="Arial"/>
        <b/>
        <sz val="10.0"/>
      </rPr>
      <t>Seguimiento</t>
    </r>
    <r>
      <rPr>
        <rFont val="Arial"/>
        <sz val="10.0"/>
      </rPr>
      <t xml:space="preserve"> 4</t>
    </r>
    <r>
      <rPr>
        <rFont val="Arial"/>
        <b/>
        <sz val="10.0"/>
      </rPr>
      <t>:</t>
    </r>
    <r>
      <rPr>
        <rFont val="Arial"/>
        <sz val="10.0"/>
      </rPr>
      <t xml:space="preserve">   30 / 08 / 2017</t>
    </r>
  </si>
  <si>
    <r>
      <rPr>
        <rFont val="Arial"/>
        <b/>
        <sz val="10.0"/>
      </rPr>
      <t xml:space="preserve">Seguimiento 5:  </t>
    </r>
    <r>
      <rPr>
        <rFont val="Arial"/>
        <sz val="10.0"/>
      </rPr>
      <t xml:space="preserve">  28 / 02 / 2018</t>
    </r>
  </si>
  <si>
    <r>
      <rPr>
        <rFont val="Arial"/>
        <b/>
        <sz val="10.0"/>
      </rPr>
      <t xml:space="preserve">Seguimiento 6:    </t>
    </r>
    <r>
      <rPr>
        <rFont val="Arial"/>
        <sz val="10.0"/>
      </rPr>
      <t>30 / 08 / 2018</t>
    </r>
  </si>
  <si>
    <t>NA</t>
  </si>
  <si>
    <t>X</t>
  </si>
  <si>
    <t>Objetivos de Proyectos</t>
  </si>
  <si>
    <t>Justificación del cambio de titulación ante el Consejo Directivo</t>
  </si>
  <si>
    <t>Decanatura de la Facultad</t>
  </si>
  <si>
    <t>Aprobacion de la solicitud mediante Acuerdo del Consejo Directivo</t>
  </si>
  <si>
    <t>Consejo Directivo</t>
  </si>
  <si>
    <t>Peso del proyecto</t>
  </si>
  <si>
    <t>Notificacion al Ministerio de Educacion Nacional</t>
  </si>
  <si>
    <t>Rectora</t>
  </si>
  <si>
    <t>Indicadores</t>
  </si>
  <si>
    <t>UM</t>
  </si>
  <si>
    <t>Fórmula 
de Cálculo</t>
  </si>
  <si>
    <t>Responsable de la medición del indicador</t>
  </si>
  <si>
    <t>Logrado</t>
  </si>
  <si>
    <t xml:space="preserve">INTERPRETACIÓN </t>
  </si>
  <si>
    <t>Construcción de macro competencia, competencias de primer y segundo orden de los cursos del plan de estudios del programa - Diplomado en rediseño curricular por competencias</t>
  </si>
  <si>
    <t>GRÁFICO ESTADÍSTICO   o   EVIDENCIAS
(Relacionar Hipervínculo)</t>
  </si>
  <si>
    <t>Dirección y docentes del programa</t>
  </si>
  <si>
    <t>Inclusión de estrategias de enseñanza-aprendizaje en los microcurriculos - Seminario de cualificacion pedagógica</t>
  </si>
  <si>
    <t>Docentes del programa</t>
  </si>
  <si>
    <t>Vigente</t>
  </si>
  <si>
    <t>Inclusión de estrategias de evaluación en microcurriculos . Seminario de cualificación pedagógica</t>
  </si>
  <si>
    <t>Actualización de contenidos temáticos en cursos del área de promoción de la salud y prevención de la enfermedad según la normatividad vigente,  competencias ciudadanas, inglés y lectura critica en el marco de las pruebas saber pro</t>
  </si>
  <si>
    <r>
      <t xml:space="preserve">Objetivo Proyecto 1 (DENOMINACION) 
</t>
    </r>
    <r>
      <rPr>
        <rFont val="Arial"/>
        <sz val="10.0"/>
      </rPr>
      <t>Modificar</t>
    </r>
    <r>
      <rPr>
        <rFont val="Arial"/>
        <b/>
        <sz val="10.0"/>
      </rPr>
      <t xml:space="preserve"> </t>
    </r>
    <r>
      <rPr>
        <rFont val="Arial"/>
        <sz val="10.0"/>
      </rPr>
      <t>el titulo a otorgar a los futuros profesionales del Programa de Nutrición y Dietética de acuerdo con las competencias propias de su campo de conocimiento y las tendencias de formación en el país.</t>
    </r>
  </si>
  <si>
    <t>Gestion para el cambio en la titulación de profesionales del programa</t>
  </si>
  <si>
    <t>Oferta de cursos orientados al fortalecimiento del desempeño en las pruebas saber pro</t>
  </si>
  <si>
    <t>Dirección y docentes de la Universidad</t>
  </si>
  <si>
    <t>No.</t>
  </si>
  <si>
    <t xml:space="preserve">No. de solicitudes de modificacion de titulo otorgadas </t>
  </si>
  <si>
    <t>Dirección de programa</t>
  </si>
  <si>
    <t>Las gestiones realizdas en el año 2015 ante el Consejo de la Facultad Ciencias de la Salud y al Consejo Directivo de la Universidad, dieron como resultado la emisión del acuerdo 026 del 9 de septiembre de 2015 del Consejo Directivo de la Universidad Mariana aprobando la modificación del título a otorgar y su notificación a Ministerio de Educación Nacional.</t>
  </si>
  <si>
    <t>Acuerdo 026 del 9 de septiembre de 2015</t>
  </si>
  <si>
    <t>Aprobación de presupuesto para adecuaciones y dotación de equipos de laboratorios</t>
  </si>
  <si>
    <r>
      <t xml:space="preserve">Objetivo Proyecto 2 (CONTENIDOS CURRICULARES)
</t>
    </r>
    <r>
      <rPr>
        <rFont val="Arial"/>
        <sz val="10.0"/>
      </rPr>
      <t>Construir los microcurriculos del programa por competencias, acordes con las necesidades y tendencias de formación del Nutricionista Dietista y con las áreas a evaluar en las pruebas saber pro.</t>
    </r>
  </si>
  <si>
    <t>Dirección de Programa, Decanatura, Vicerrectoria Administrativa y Financiera</t>
  </si>
  <si>
    <t>Adaptación de microcurriculos por competencias</t>
  </si>
  <si>
    <t>Ejecución de presupuesto para adecuaciones y dotación  de laboratorios</t>
  </si>
  <si>
    <t>%</t>
  </si>
  <si>
    <t>(No. de microcurriculos adaptados por competencias / No de microcurriculos del plan de estudios del progrma) x 100</t>
  </si>
  <si>
    <t>2014 -2017</t>
  </si>
  <si>
    <t>Dirección y Docentes del programa</t>
  </si>
  <si>
    <t>A la fecha, los 62 cursos del plan de estudios del programa cuentan con un microcurriculo por competencias</t>
  </si>
  <si>
    <t>Microcurriclos</t>
  </si>
  <si>
    <t>Cursos que fortalecen el desempeño en las pruebas Saber Pro</t>
  </si>
  <si>
    <t>No</t>
  </si>
  <si>
    <t>No. de cursos orientados al fortalecimiento del desempeño en las pruebas saber pro</t>
  </si>
  <si>
    <t>2016 - 2017</t>
  </si>
  <si>
    <t>El plan de estudios del programa incluye un numero mayor de cursos orentados al fortalecimiento de las pruebas saber pro a los que se propuso inicialmente como meta</t>
  </si>
  <si>
    <t>Oferta de los cursos: lectoescritura, promoción de la salud, ateción primaria en salud, nutrición y salud publica, ingles I, II y III, Electiva general pruebas aber pro</t>
  </si>
  <si>
    <t>Resignificación líneas grupo de investigación</t>
  </si>
  <si>
    <t>Comité de investigación de Programa</t>
  </si>
  <si>
    <r>
      <t xml:space="preserve">Objetivo proyecto 3 (ORGANIZACIÓN ACTIVIDADES ACADEMICAS)
</t>
    </r>
    <r>
      <rPr>
        <rFont val="Arial"/>
        <sz val="10.0"/>
      </rPr>
      <t>Gestionar la disposición de espacios físicos que apoyen el desarrollo de las actividades académicas disciplinares del programa y la labor docente del programa.</t>
    </r>
  </si>
  <si>
    <t>Espacios de apoyo para las actividades academicas del programa</t>
  </si>
  <si>
    <t>No. de laboratorios disciplinares dotados</t>
  </si>
  <si>
    <t>2012 - 2017</t>
  </si>
  <si>
    <t>Dirección de programa, Decanatura Facultad Ciencias de la Salud</t>
  </si>
  <si>
    <t>Actualmente se cuenta con dos laboratorios disciplinares dotados para el apoyo de las actividades academicas del programa</t>
  </si>
  <si>
    <t>Laboratorio de Ciencia y tecnologia de alimentos en Alvernia.
Laboratorio de Antropometria en la sede principal (ubicación temporal)</t>
  </si>
  <si>
    <t>Aprobación de propuestas de investigación profesoral en el Consejo de Facltad</t>
  </si>
  <si>
    <t>Consejo de Facltad Ciencias de la Salud</t>
  </si>
  <si>
    <r>
      <t xml:space="preserve">Objetivo de Proyecto 4 (INVESTIGACIÓN): 
</t>
    </r>
    <r>
      <rPr>
        <rFont val="Arial"/>
        <sz val="10.0"/>
      </rPr>
      <t xml:space="preserve">Mejorar la actividad investigativa de los docentes </t>
    </r>
    <r>
      <rPr>
        <rFont val="Arial"/>
        <b/>
        <sz val="10.0"/>
      </rPr>
      <t xml:space="preserve">
</t>
    </r>
  </si>
  <si>
    <t>Actividad investigativa</t>
  </si>
  <si>
    <t>No. proyectos de investigación profesoral aprobados y en ejecución</t>
  </si>
  <si>
    <t>Coordinador de investigación, Direccion de progrma</t>
  </si>
  <si>
    <t>Los docentes del grupo de investigación ejecutan proyectos de investigación aprobados</t>
  </si>
  <si>
    <t>Acuerdos de aprobación de propuestas de investigación</t>
  </si>
  <si>
    <t xml:space="preserve">No. de horas destinadas a investigación </t>
  </si>
  <si>
    <t>Asignación de descarga horaria para la ejecución de propuestas de investigación profesoral</t>
  </si>
  <si>
    <t>Los docentes disponen de desacarga horaria para ejecutar los proyectos de investigación aprobados</t>
  </si>
  <si>
    <t xml:space="preserve">Planes de trabajo con descarga horaria para investigación </t>
  </si>
  <si>
    <t>No. artículos de investigación construidos / No. artículos de investigación propuestos</t>
  </si>
  <si>
    <t xml:space="preserve">Los docentes investigadores realizan producción intelectual medida en escritura de artículos científicos </t>
  </si>
  <si>
    <t>Artículos científicos redactados</t>
  </si>
  <si>
    <t>No. productos de divulgación entregados / No. productos de divulgación propuestos</t>
  </si>
  <si>
    <t>Los docentes investigadores realizan divulgación de conocimiento resultado de proyectos de investigación</t>
  </si>
  <si>
    <t>Certificaciones de productos de divulgación</t>
  </si>
  <si>
    <t>Inclusión de al menos dos productos de generación de nuevo conocimiento en los proyectos de investigación profesoral</t>
  </si>
  <si>
    <t>Docentes investigadores</t>
  </si>
  <si>
    <t>No. productos de apropiación social del conocimiento entregados / No. productos de  apropiación social del conocimiento propuestos</t>
  </si>
  <si>
    <t>Construcción  de artículos cientificos</t>
  </si>
  <si>
    <t>Los docentes investigadores implementan estrategias de apropiación social del conocimiento derivadas de  proyectos de investigación</t>
  </si>
  <si>
    <t>Certificaciones de productos de apropiación social del conocimiento</t>
  </si>
  <si>
    <r>
      <t xml:space="preserve">Objetivo de Proyecto 5 (PERSONAL DOCENTE): 
</t>
    </r>
    <r>
      <rPr>
        <rFont val="Arial"/>
        <sz val="10.0"/>
      </rPr>
      <t>Gestionar la vinculación de docentes para el desarrollo de las actividades académicas del programa.</t>
    </r>
  </si>
  <si>
    <t>Docentes vinculados al programa</t>
  </si>
  <si>
    <t>No. docentes vinculados en la modalidad TC  / No. total de docentes del programa</t>
  </si>
  <si>
    <t>Inclusión de estrategias de divulgación científica  en los proyectos de investigación profesoral</t>
  </si>
  <si>
    <t>2014 - 2017</t>
  </si>
  <si>
    <t xml:space="preserve">Del total de docentes requeridos para el programa, el 67 % estan vinculados en la modalidad TC y el 33 % en la modalidad MT. Se espera que el 100% se encuenren vinculados TC </t>
  </si>
  <si>
    <t>Contratos laborales</t>
  </si>
  <si>
    <t>Participación en eventos de divulgación científica en calidad de ponente</t>
  </si>
  <si>
    <t>No. docentes TC del area disciplinar / No. total de docentes del programa</t>
  </si>
  <si>
    <t>Inclusión de estrategias de apropiación social del conocimiento  en los proyectos de investigación profesoral</t>
  </si>
  <si>
    <t>Docente investigador</t>
  </si>
  <si>
    <r>
      <rPr>
        <rFont val="Arial"/>
        <b/>
        <sz val="10.0"/>
      </rPr>
      <t xml:space="preserve">Objetivo de Proyecto 6 </t>
    </r>
    <r>
      <rPr>
        <rFont val="Arial"/>
        <sz val="10.0"/>
      </rPr>
      <t>(</t>
    </r>
    <r>
      <rPr>
        <rFont val="Arial"/>
        <b/>
        <sz val="10.0"/>
      </rPr>
      <t>MECANISMOS DE SELECCION</t>
    </r>
    <r>
      <rPr>
        <rFont val="Arial"/>
        <sz val="10.0"/>
      </rPr>
      <t>)  
Establecer criterios de selección de estudiantes acordes con la naturaleza del programa.</t>
    </r>
  </si>
  <si>
    <t>Ejecución de estrategias de apropiación social del conocimiento  en los proyectos de investigación profesoral</t>
  </si>
  <si>
    <t>Criterios de selección de estudiantes</t>
  </si>
  <si>
    <t xml:space="preserve">No. de documentos actualizados que definan los criterios establecidos para la selección de estudiantes del programa </t>
  </si>
  <si>
    <t>Consejo de Facultad Ciencias de la Salud</t>
  </si>
  <si>
    <t>El acuerdo 264 de 2016 define los nuevos criterios para la selección de estudiantes del programa.</t>
  </si>
  <si>
    <t>Acuerdo 264 del 20 de octubre de 2016</t>
  </si>
  <si>
    <r>
      <t xml:space="preserve">Objetivo de Proyecto 7 (INTERNACIONALIZACION): 
</t>
    </r>
    <r>
      <rPr>
        <rFont val="Arial"/>
        <sz val="10.0"/>
      </rPr>
      <t xml:space="preserve">Fomentar la movilidad académica tanto docente como estudiantil </t>
    </r>
    <r>
      <rPr>
        <rFont val="Arial"/>
        <b/>
        <sz val="10.0"/>
      </rPr>
      <t xml:space="preserve">
</t>
    </r>
  </si>
  <si>
    <t xml:space="preserve">Movilidad registrada </t>
  </si>
  <si>
    <t xml:space="preserve">No. movilidad docente </t>
  </si>
  <si>
    <t>Coordinador de Internacinalización, Dirección de Programa</t>
  </si>
  <si>
    <t>Los docentes del programa realizan movilidad</t>
  </si>
  <si>
    <t xml:space="preserve">Certificado de permanencia </t>
  </si>
  <si>
    <t>No. movilidad estudiantil nacional</t>
  </si>
  <si>
    <t>Los estudiantes del programa realizan movilidad nacional</t>
  </si>
  <si>
    <t>Contratación personal docente de acuerdo con las necesidades del programa</t>
  </si>
  <si>
    <t>Documento que acredite movilidad</t>
  </si>
  <si>
    <t>Dirección de Programa, Facultad Ciencias de la Salud</t>
  </si>
  <si>
    <t>No. movilidad estudiantil internacional</t>
  </si>
  <si>
    <t>Los estudiantes del programa realizan movilidad internacional</t>
  </si>
  <si>
    <t>La suma de los pesos debe ser 100</t>
  </si>
  <si>
    <t>Aprobacion mediante acuerdo de la modificación de criterios  para la selección de estudiantes por el Consejo de Facultad Ciencias de la Salud</t>
  </si>
  <si>
    <t>Participación de docentes en convocatorias de actividades académicas y movilidad docente</t>
  </si>
  <si>
    <t>Docentes, Dirección de programa</t>
  </si>
  <si>
    <t>Operativización de convenios docencia servicio para la ejecución de prácticas que faciliten movilidad académica</t>
  </si>
  <si>
    <t>Dirección de programa, Facultad Ciencias de la Salud</t>
  </si>
  <si>
    <t>Ejecución de convenios para movilidad internacional</t>
  </si>
  <si>
    <t>Dirección de programa, Internacionalizacón</t>
  </si>
  <si>
    <t>AAAAAH+uv1k=</t>
  </si>
  <si>
    <t>AAAAAH+uv1o=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</si>
</sst>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b/>
      <sz val="12.0"/>
      <name val="Arial"/>
    </font>
    <font>
      <sz val="11.0"/>
      <name val="Calibri"/>
    </font>
    <font>
      <b/>
      <sz val="14.0"/>
      <name val="Arial"/>
    </font>
    <font>
      <b/>
      <sz val="10.0"/>
      <name val="Arial"/>
    </font>
    <font/>
    <font>
      <b/>
      <sz val="8.0"/>
      <name val="Arial"/>
    </font>
    <font>
      <sz val="10.0"/>
      <name val="Arial"/>
    </font>
    <font>
      <b/>
      <sz val="11.0"/>
      <name val="Arial"/>
    </font>
    <font>
      <sz val="9.0"/>
      <name val="Arial"/>
    </font>
    <font>
      <b/>
      <sz val="10.0"/>
      <name val="Calibri"/>
    </font>
    <font>
      <sz val="8.0"/>
      <name val="Arial"/>
    </font>
    <font>
      <sz val="10.0"/>
      <name val="Calibri"/>
    </font>
    <font>
      <sz val="10.0"/>
      <name val="Times New Roman"/>
    </font>
    <font>
      <b/>
      <sz val="11.0"/>
      <name val="Calibri"/>
    </font>
    <font>
      <sz val="11.0"/>
      <color rgb="FF333399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  <fill>
      <patternFill patternType="solid">
        <fgColor rgb="FFFFCC99"/>
        <bgColor rgb="FFFFCC99"/>
      </patternFill>
    </fill>
  </fills>
  <borders count="49">
    <border/>
    <border>
      <left/>
      <right/>
      <top/>
      <bottom/>
    </border>
    <border>
      <left style="thin">
        <color rgb="FFFFFFFF"/>
      </left>
      <top style="thin">
        <color rgb="FF000000"/>
      </top>
      <bottom style="thin">
        <color rgb="FFFFFFFF"/>
      </bottom>
    </border>
    <border>
      <left/>
      <top/>
      <bottom style="thin">
        <color rgb="FF000000"/>
      </bottom>
    </border>
    <border>
      <top style="thin">
        <color rgb="FF000000"/>
      </top>
      <bottom style="thin">
        <color rgb="FFFFFFFF"/>
      </bottom>
    </border>
    <border>
      <top/>
      <bottom style="thin">
        <color rgb="FF000000"/>
      </bottom>
    </border>
    <border>
      <right/>
      <top style="thin">
        <color rgb="FF000000"/>
      </top>
      <bottom style="thin">
        <color rgb="FFFFFFFF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FFFFFF"/>
      </left>
      <right/>
      <top/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/>
      <top/>
      <bottom/>
    </border>
    <border>
      <left style="thin">
        <color rgb="FFFFFFFF"/>
      </left>
      <right/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</border>
    <border>
      <right/>
    </border>
    <border>
      <left/>
      <right/>
      <top style="thin">
        <color rgb="FF000000"/>
      </top>
      <bottom style="thin">
        <color rgb="FF000000"/>
      </bottom>
    </border>
    <border>
      <lef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FFFFFF"/>
      </right>
      <top style="thin">
        <color rgb="FF000000"/>
      </top>
    </border>
    <border>
      <left/>
      <right/>
      <top style="thin">
        <color rgb="FF000000"/>
      </top>
    </border>
    <border>
      <left style="thin">
        <color rgb="FFFFFFFF"/>
      </left>
      <right/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</border>
    <border>
      <left style="thin">
        <color rgb="FF000000"/>
      </left>
      <right style="thin">
        <color rgb="FFFFFFFF"/>
      </right>
      <bottom/>
    </border>
    <border>
      <left/>
      <right/>
      <bottom/>
    </border>
    <border>
      <left style="thin">
        <color rgb="FFFFFFFF"/>
      </left>
      <right/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/>
    </border>
    <border>
      <left style="thin">
        <color rgb="FFFFFFFF"/>
      </left>
      <right style="thin">
        <color rgb="FF000000"/>
      </right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center" wrapText="1"/>
    </xf>
    <xf borderId="0" fillId="0" fontId="1" numFmtId="3" xfId="0" applyAlignment="1" applyFont="1" applyNumberFormat="1">
      <alignment horizontal="center" shrinkToFit="0" vertical="center" wrapText="1"/>
    </xf>
    <xf borderId="1" fillId="2" fontId="4" numFmtId="0" xfId="0" applyAlignment="1" applyBorder="1" applyFill="1" applyFont="1">
      <alignment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left" shrinkToFit="0" vertical="center" wrapText="1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3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left" shrinkToFit="0" vertical="center" wrapText="1"/>
    </xf>
    <xf borderId="11" fillId="0" fontId="5" numFmtId="0" xfId="0" applyBorder="1" applyFont="1"/>
    <xf borderId="12" fillId="0" fontId="5" numFmtId="0" xfId="0" applyBorder="1" applyFont="1"/>
    <xf borderId="8" fillId="3" fontId="4" numFmtId="3" xfId="0" applyAlignment="1" applyBorder="1" applyFont="1" applyNumberFormat="1">
      <alignment horizontal="center" shrinkToFit="0" vertical="center" wrapText="1"/>
    </xf>
    <xf borderId="13" fillId="0" fontId="5" numFmtId="0" xfId="0" applyBorder="1" applyFont="1"/>
    <xf borderId="14" fillId="3" fontId="6" numFmtId="0" xfId="0" applyAlignment="1" applyBorder="1" applyFont="1">
      <alignment horizontal="center" shrinkToFit="0" vertical="center" wrapText="1"/>
    </xf>
    <xf borderId="15" fillId="3" fontId="4" numFmtId="0" xfId="0" applyAlignment="1" applyBorder="1" applyFont="1">
      <alignment horizontal="center" shrinkToFit="0" vertical="center" wrapText="1"/>
    </xf>
    <xf borderId="16" fillId="2" fontId="7" numFmtId="0" xfId="0" applyAlignment="1" applyBorder="1" applyFont="1">
      <alignment horizontal="left" shrinkToFit="0" vertical="center" wrapText="1"/>
    </xf>
    <xf borderId="17" fillId="3" fontId="4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18" fillId="0" fontId="5" numFmtId="0" xfId="0" applyBorder="1" applyFont="1"/>
    <xf borderId="19" fillId="4" fontId="4" numFmtId="0" xfId="0" applyAlignment="1" applyBorder="1" applyFill="1" applyFont="1">
      <alignment horizontal="center" shrinkToFit="0" vertical="center" wrapText="1"/>
    </xf>
    <xf borderId="20" fillId="3" fontId="6" numFmtId="0" xfId="0" applyAlignment="1" applyBorder="1" applyFont="1">
      <alignment horizontal="center" shrinkToFit="0" vertical="center" wrapText="1"/>
    </xf>
    <xf borderId="21" fillId="0" fontId="5" numFmtId="0" xfId="0" applyBorder="1" applyFont="1"/>
    <xf borderId="20" fillId="3" fontId="8" numFmtId="0" xfId="0" applyAlignment="1" applyBorder="1" applyFont="1">
      <alignment horizontal="center" shrinkToFit="0" vertical="center" wrapText="1"/>
    </xf>
    <xf borderId="20" fillId="2" fontId="7" numFmtId="0" xfId="0" applyAlignment="1" applyBorder="1" applyFont="1">
      <alignment horizontal="center" shrinkToFit="0" vertical="center" wrapText="1"/>
    </xf>
    <xf borderId="20" fillId="3" fontId="4" numFmtId="0" xfId="0" applyAlignment="1" applyBorder="1" applyFont="1">
      <alignment horizontal="center" shrinkToFit="0" vertical="center" wrapText="0"/>
    </xf>
    <xf borderId="22" fillId="2" fontId="7" numFmtId="0" xfId="0" applyAlignment="1" applyBorder="1" applyFont="1">
      <alignment horizontal="center" shrinkToFit="0" vertical="center" wrapText="1"/>
    </xf>
    <xf borderId="23" fillId="3" fontId="4" numFmtId="0" xfId="0" applyAlignment="1" applyBorder="1" applyFont="1">
      <alignment horizontal="center" shrinkToFit="0" vertical="center" wrapText="0"/>
    </xf>
    <xf borderId="24" fillId="2" fontId="7" numFmtId="0" xfId="0" applyAlignment="1" applyBorder="1" applyFont="1">
      <alignment horizontal="center" shrinkToFit="0" vertical="center" wrapText="1"/>
    </xf>
    <xf borderId="25" fillId="0" fontId="5" numFmtId="0" xfId="0" applyBorder="1" applyFont="1"/>
    <xf borderId="26" fillId="0" fontId="5" numFmtId="0" xfId="0" applyBorder="1" applyFont="1"/>
    <xf borderId="27" fillId="2" fontId="7" numFmtId="0" xfId="0" applyAlignment="1" applyBorder="1" applyFont="1">
      <alignment horizontal="left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8" fillId="5" fontId="9" numFmtId="1" xfId="0" applyAlignment="1" applyBorder="1" applyFill="1" applyFont="1" applyNumberFormat="1">
      <alignment horizontal="center" shrinkToFit="0" vertical="center" wrapText="1"/>
    </xf>
    <xf borderId="28" fillId="0" fontId="5" numFmtId="0" xfId="0" applyBorder="1" applyFont="1"/>
    <xf borderId="29" fillId="0" fontId="5" numFmtId="0" xfId="0" applyBorder="1" applyFont="1"/>
    <xf borderId="30" fillId="2" fontId="7" numFmtId="0" xfId="0" applyAlignment="1" applyBorder="1" applyFont="1">
      <alignment horizontal="left" shrinkToFit="0" vertical="center" wrapText="1"/>
    </xf>
    <xf borderId="30" fillId="2" fontId="7" numFmtId="0" xfId="0" applyAlignment="1" applyBorder="1" applyFont="1">
      <alignment horizontal="center" shrinkToFit="0" vertical="center" wrapText="1"/>
    </xf>
    <xf borderId="8" fillId="5" fontId="9" numFmtId="0" xfId="0" applyAlignment="1" applyBorder="1" applyFont="1">
      <alignment horizontal="center" shrinkToFit="0" vertical="center" wrapText="1"/>
    </xf>
    <xf borderId="31" fillId="0" fontId="5" numFmtId="0" xfId="0" applyBorder="1" applyFont="1"/>
    <xf borderId="32" fillId="5" fontId="9" numFmtId="0" xfId="0" applyAlignment="1" applyBorder="1" applyFont="1">
      <alignment horizontal="center" shrinkToFit="0" vertical="center" wrapText="1"/>
    </xf>
    <xf borderId="33" fillId="0" fontId="5" numFmtId="0" xfId="0" applyBorder="1" applyFont="1"/>
    <xf borderId="20" fillId="5" fontId="9" numFmtId="0" xfId="0" applyAlignment="1" applyBorder="1" applyFont="1">
      <alignment horizontal="center" shrinkToFit="0" vertical="center" wrapText="1"/>
    </xf>
    <xf borderId="20" fillId="5" fontId="9" numFmtId="15" xfId="0" applyAlignment="1" applyBorder="1" applyFont="1" applyNumberFormat="1">
      <alignment horizontal="center" shrinkToFit="0" vertical="center" wrapText="1"/>
    </xf>
    <xf borderId="8" fillId="5" fontId="9" numFmtId="3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34" fillId="0" fontId="5" numFmtId="0" xfId="0" applyBorder="1" applyFont="1"/>
    <xf borderId="35" fillId="3" fontId="4" numFmtId="0" xfId="0" applyAlignment="1" applyBorder="1" applyFont="1">
      <alignment horizontal="center" shrinkToFit="0" vertical="center" wrapText="1"/>
    </xf>
    <xf borderId="36" fillId="3" fontId="4" numFmtId="0" xfId="0" applyAlignment="1" applyBorder="1" applyFont="1">
      <alignment horizontal="center" shrinkToFit="0" vertical="center" wrapText="1"/>
    </xf>
    <xf borderId="37" fillId="3" fontId="4" numFmtId="0" xfId="0" applyAlignment="1" applyBorder="1" applyFont="1">
      <alignment horizontal="center" shrinkToFit="0" vertical="center" wrapText="1"/>
    </xf>
    <xf borderId="8" fillId="0" fontId="9" numFmtId="1" xfId="0" applyAlignment="1" applyBorder="1" applyFont="1" applyNumberFormat="1">
      <alignment horizontal="center" shrinkToFit="0" vertical="center" wrapText="1"/>
    </xf>
    <xf borderId="38" fillId="3" fontId="4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39" fillId="3" fontId="10" numFmtId="0" xfId="0" applyAlignment="1" applyBorder="1" applyFont="1">
      <alignment horizontal="center" shrinkToFit="0" vertical="center" wrapText="0"/>
    </xf>
    <xf borderId="8" fillId="0" fontId="9" numFmtId="49" xfId="0" applyAlignment="1" applyBorder="1" applyFont="1" applyNumberFormat="1">
      <alignment horizontal="center" shrinkToFit="0" vertical="center" wrapText="1"/>
    </xf>
    <xf borderId="39" fillId="3" fontId="10" numFmtId="0" xfId="0" applyAlignment="1" applyBorder="1" applyFont="1">
      <alignment horizontal="center" shrinkToFit="0" vertical="center" wrapText="1"/>
    </xf>
    <xf borderId="20" fillId="0" fontId="9" numFmtId="0" xfId="0" applyAlignment="1" applyBorder="1" applyFont="1">
      <alignment horizontal="center" shrinkToFit="0" vertical="center" wrapText="1"/>
    </xf>
    <xf borderId="40" fillId="0" fontId="5" numFmtId="0" xfId="0" applyBorder="1" applyFont="1"/>
    <xf borderId="20" fillId="0" fontId="9" numFmtId="15" xfId="0" applyAlignment="1" applyBorder="1" applyFont="1" applyNumberFormat="1">
      <alignment horizontal="center" shrinkToFit="0" vertical="center" wrapText="1"/>
    </xf>
    <xf borderId="41" fillId="0" fontId="5" numFmtId="0" xfId="0" applyBorder="1" applyFont="1"/>
    <xf borderId="20" fillId="0" fontId="9" numFmtId="3" xfId="0" applyAlignment="1" applyBorder="1" applyFont="1" applyNumberFormat="1">
      <alignment horizontal="center" shrinkToFit="0" vertical="center" wrapText="1"/>
    </xf>
    <xf borderId="42" fillId="0" fontId="5" numFmtId="0" xfId="0" applyBorder="1" applyFont="1"/>
    <xf borderId="16" fillId="3" fontId="6" numFmtId="0" xfId="0" applyAlignment="1" applyBorder="1" applyFont="1">
      <alignment horizontal="center" shrinkToFit="0" vertical="center" wrapText="1"/>
    </xf>
    <xf borderId="43" fillId="3" fontId="4" numFmtId="0" xfId="0" applyAlignment="1" applyBorder="1" applyFont="1">
      <alignment horizontal="center" shrinkToFit="0" vertical="center" wrapText="1"/>
    </xf>
    <xf borderId="44" fillId="3" fontId="4" numFmtId="0" xfId="0" applyAlignment="1" applyBorder="1" applyFont="1">
      <alignment horizontal="center" shrinkToFit="0" vertical="center" wrapText="1"/>
    </xf>
    <xf borderId="45" fillId="0" fontId="5" numFmtId="0" xfId="0" applyBorder="1" applyFont="1"/>
    <xf borderId="32" fillId="5" fontId="9" numFmtId="0" xfId="0" applyAlignment="1" applyBorder="1" applyFont="1">
      <alignment shrinkToFit="0" vertical="center" wrapText="1"/>
    </xf>
    <xf borderId="46" fillId="0" fontId="5" numFmtId="0" xfId="0" applyBorder="1" applyFont="1"/>
    <xf borderId="32" fillId="5" fontId="9" numFmtId="49" xfId="0" applyAlignment="1" applyBorder="1" applyFont="1" applyNumberFormat="1">
      <alignment horizontal="center" shrinkToFit="0" vertical="center" wrapText="1"/>
    </xf>
    <xf borderId="20" fillId="0" fontId="4" numFmtId="0" xfId="0" applyAlignment="1" applyBorder="1" applyFont="1">
      <alignment horizontal="left" shrinkToFit="0" vertical="center" wrapText="1"/>
    </xf>
    <xf borderId="20" fillId="5" fontId="9" numFmtId="3" xfId="0" applyAlignment="1" applyBorder="1" applyFont="1" applyNumberForma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20" fillId="0" fontId="11" numFmtId="0" xfId="0" applyAlignment="1" applyBorder="1" applyFont="1">
      <alignment horizontal="center" shrinkToFit="0" vertical="center" wrapText="1"/>
    </xf>
    <xf borderId="20" fillId="0" fontId="7" numFmtId="9" xfId="0" applyAlignment="1" applyBorder="1" applyFont="1" applyNumberFormat="1">
      <alignment horizontal="center" shrinkToFit="0" vertical="center" wrapText="1"/>
    </xf>
    <xf borderId="20" fillId="0" fontId="12" numFmtId="0" xfId="0" applyAlignment="1" applyBorder="1" applyFont="1">
      <alignment horizontal="center" shrinkToFit="0" vertical="center" wrapText="1"/>
    </xf>
    <xf borderId="20" fillId="0" fontId="12" numFmtId="0" xfId="0" applyAlignment="1" applyBorder="1" applyFont="1">
      <alignment horizontal="center" shrinkToFit="0" vertical="center" wrapText="0"/>
    </xf>
    <xf borderId="20" fillId="0" fontId="9" numFmtId="49" xfId="0" applyAlignment="1" applyBorder="1" applyFont="1" applyNumberFormat="1">
      <alignment horizontal="center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0" fillId="0" fontId="2" numFmtId="3" xfId="0" applyAlignment="1" applyFont="1" applyNumberFormat="1">
      <alignment horizontal="center" shrinkToFit="0" vertical="center" wrapText="0"/>
    </xf>
    <xf borderId="8" fillId="0" fontId="4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8" fillId="0" fontId="7" numFmtId="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3" numFmtId="3" xfId="0" applyAlignment="1" applyFont="1" applyNumberFormat="1">
      <alignment shrinkToFit="0" vertical="bottom" wrapText="0"/>
    </xf>
    <xf borderId="20" fillId="0" fontId="7" numFmtId="1" xfId="0" applyAlignment="1" applyBorder="1" applyFont="1" applyNumberFormat="1">
      <alignment horizontal="center" shrinkToFit="0" vertical="center" wrapText="1"/>
    </xf>
    <xf borderId="0" fillId="0" fontId="2" numFmtId="3" xfId="0" applyAlignment="1" applyFont="1" applyNumberFormat="1">
      <alignment shrinkToFit="0" vertical="bottom" wrapText="0"/>
    </xf>
    <xf borderId="8" fillId="0" fontId="7" numFmtId="1" xfId="0" applyAlignment="1" applyBorder="1" applyFont="1" applyNumberFormat="1">
      <alignment horizontal="center" shrinkToFit="0" vertical="center" wrapText="1"/>
    </xf>
    <xf borderId="20" fillId="0" fontId="9" numFmtId="1" xfId="0" applyAlignment="1" applyBorder="1" applyFont="1" applyNumberFormat="1">
      <alignment horizontal="center" shrinkToFit="0" vertical="center" wrapText="1"/>
    </xf>
    <xf borderId="20" fillId="0" fontId="11" numFmtId="1" xfId="0" applyAlignment="1" applyBorder="1" applyFont="1" applyNumberFormat="1">
      <alignment horizontal="center" shrinkToFit="0" vertical="center" wrapText="1"/>
    </xf>
    <xf borderId="32" fillId="2" fontId="9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shrinkToFit="0" vertical="center" wrapText="1"/>
    </xf>
    <xf borderId="18" fillId="0" fontId="7" numFmtId="1" xfId="0" applyAlignment="1" applyBorder="1" applyFont="1" applyNumberFormat="1">
      <alignment horizontal="center" shrinkToFit="0" vertical="center" wrapText="1"/>
    </xf>
    <xf borderId="20" fillId="0" fontId="7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0" fillId="0" fontId="2" numFmtId="1" xfId="0" applyAlignment="1" applyFont="1" applyNumberFormat="1">
      <alignment shrinkToFit="0" vertical="center" wrapText="0"/>
    </xf>
    <xf borderId="34" fillId="0" fontId="7" numFmtId="0" xfId="0" applyAlignment="1" applyBorder="1" applyFont="1">
      <alignment horizontal="left" shrinkToFit="0" vertical="center" wrapText="1"/>
    </xf>
    <xf borderId="20" fillId="0" fontId="2" numFmtId="0" xfId="0" applyAlignment="1" applyBorder="1" applyFont="1">
      <alignment shrinkToFit="0" vertical="center" wrapText="1"/>
    </xf>
    <xf borderId="20" fillId="5" fontId="9" numFmtId="1" xfId="0" applyAlignment="1" applyBorder="1" applyFont="1" applyNumberFormat="1">
      <alignment horizontal="center" shrinkToFit="0" vertical="center" wrapText="1"/>
    </xf>
    <xf borderId="18" fillId="0" fontId="7" numFmtId="0" xfId="0" applyAlignment="1" applyBorder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20" fillId="0" fontId="9" numFmtId="14" xfId="0" applyAlignment="1" applyBorder="1" applyFont="1" applyNumberFormat="1">
      <alignment horizontal="center" shrinkToFit="0" vertical="center" wrapText="1"/>
    </xf>
    <xf borderId="34" fillId="0" fontId="9" numFmtId="1" xfId="0" applyAlignment="1" applyBorder="1" applyFont="1" applyNumberFormat="1">
      <alignment horizontal="center" shrinkToFit="0" vertical="center" wrapText="1"/>
    </xf>
    <xf borderId="34" fillId="0" fontId="9" numFmtId="0" xfId="0" applyAlignment="1" applyBorder="1" applyFont="1">
      <alignment horizontal="center" shrinkToFit="0" vertical="center" wrapText="1"/>
    </xf>
    <xf borderId="47" fillId="0" fontId="5" numFmtId="0" xfId="0" applyBorder="1" applyFont="1"/>
    <xf borderId="18" fillId="0" fontId="9" numFmtId="1" xfId="0" applyAlignment="1" applyBorder="1" applyFont="1" applyNumberFormat="1">
      <alignment horizontal="center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bottom" wrapText="0"/>
    </xf>
    <xf borderId="48" fillId="6" fontId="15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40.29"/>
    <col customWidth="1" min="2" max="2" width="12.57"/>
    <col customWidth="1" min="3" max="3" width="39.71"/>
    <col customWidth="1" min="4" max="4" width="9.29"/>
    <col customWidth="1" min="5" max="5" width="26.71"/>
    <col customWidth="1" min="6" max="8" width="9.71"/>
    <col customWidth="1" min="9" max="9" width="29.43"/>
    <col customWidth="1" min="10" max="10" width="12.14"/>
    <col customWidth="1" min="11" max="11" width="32.57"/>
    <col customWidth="1" min="12" max="12" width="40.86"/>
    <col customWidth="1" min="13" max="19" width="11.43"/>
    <col customWidth="1" min="20" max="26" width="10.0"/>
  </cols>
  <sheetData>
    <row r="1" ht="19.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1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4" t="s">
        <v>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6" t="s">
        <v>4</v>
      </c>
      <c r="B5" s="8" t="s">
        <v>6</v>
      </c>
      <c r="C5" s="10"/>
      <c r="D5" s="10"/>
      <c r="E5" s="10"/>
      <c r="F5" s="10"/>
      <c r="G5" s="10"/>
      <c r="H5" s="1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4" t="s">
        <v>8</v>
      </c>
      <c r="B6" s="16" t="s">
        <v>10</v>
      </c>
      <c r="C6" s="18"/>
      <c r="D6" s="18"/>
      <c r="E6" s="18"/>
      <c r="F6" s="18"/>
      <c r="G6" s="18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75" customHeight="1">
      <c r="A7" s="6" t="s">
        <v>14</v>
      </c>
      <c r="B7" s="16" t="s">
        <v>15</v>
      </c>
      <c r="C7" s="18"/>
      <c r="D7" s="18"/>
      <c r="E7" s="18"/>
      <c r="F7" s="18"/>
      <c r="G7" s="18"/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3.25" customHeight="1">
      <c r="A8" s="6"/>
      <c r="B8" s="2"/>
      <c r="C8" s="23"/>
      <c r="D8" s="25"/>
      <c r="E8" s="26"/>
      <c r="F8" s="25"/>
      <c r="G8" s="26"/>
      <c r="H8" s="26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8" t="s">
        <v>19</v>
      </c>
      <c r="B9" s="30"/>
      <c r="C9" s="32" t="s">
        <v>23</v>
      </c>
      <c r="D9" s="34"/>
      <c r="E9" s="36" t="s">
        <v>28</v>
      </c>
      <c r="F9" s="37"/>
      <c r="G9" s="38"/>
      <c r="H9" s="39"/>
      <c r="I9" s="40" t="s">
        <v>29</v>
      </c>
      <c r="J9" s="17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6.0" customHeight="1">
      <c r="A10" s="42"/>
      <c r="B10" s="43"/>
      <c r="C10" s="26"/>
      <c r="D10" s="25"/>
      <c r="E10" s="44"/>
      <c r="F10" s="45"/>
      <c r="G10" s="44"/>
      <c r="H10" s="39"/>
      <c r="I10" s="25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7"/>
      <c r="B11" s="49"/>
      <c r="C11" s="32" t="s">
        <v>32</v>
      </c>
      <c r="D11" s="25"/>
      <c r="E11" s="40" t="s">
        <v>33</v>
      </c>
      <c r="F11" s="18"/>
      <c r="G11" s="17"/>
      <c r="H11" s="39"/>
      <c r="I11" s="40" t="s">
        <v>34</v>
      </c>
      <c r="J11" s="17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5.25" customHeight="1">
      <c r="A12" s="26"/>
      <c r="B12" s="26"/>
      <c r="C12" s="26"/>
      <c r="D12" s="25"/>
      <c r="E12" s="25"/>
      <c r="F12" s="25"/>
      <c r="G12" s="25"/>
      <c r="H12" s="25"/>
      <c r="I12" s="1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53"/>
      <c r="E13" s="2"/>
      <c r="F13" s="53"/>
      <c r="G13" s="2"/>
      <c r="H13" s="2"/>
      <c r="I13" s="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5" t="s">
        <v>37</v>
      </c>
      <c r="B14" s="56" t="s">
        <v>42</v>
      </c>
      <c r="C14" s="57" t="s">
        <v>45</v>
      </c>
      <c r="D14" s="57" t="s">
        <v>46</v>
      </c>
      <c r="E14" s="57" t="s">
        <v>47</v>
      </c>
      <c r="F14" s="7" t="s">
        <v>5</v>
      </c>
      <c r="G14" s="9"/>
      <c r="H14" s="11"/>
      <c r="I14" s="59" t="s">
        <v>48</v>
      </c>
      <c r="J14" s="56" t="s">
        <v>49</v>
      </c>
      <c r="K14" s="61" t="s">
        <v>50</v>
      </c>
      <c r="L14" s="63" t="s">
        <v>52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5.5" customHeight="1">
      <c r="A15" s="65"/>
      <c r="B15" s="67"/>
      <c r="C15" s="69"/>
      <c r="D15" s="69"/>
      <c r="E15" s="69"/>
      <c r="F15" s="70" t="s">
        <v>16</v>
      </c>
      <c r="G15" s="71" t="s">
        <v>17</v>
      </c>
      <c r="H15" s="72" t="s">
        <v>18</v>
      </c>
      <c r="I15" s="73"/>
      <c r="J15" s="67"/>
      <c r="K15" s="75"/>
      <c r="L15" s="7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2.5" customHeight="1">
      <c r="A16" s="77" t="s">
        <v>59</v>
      </c>
      <c r="B16" s="79">
        <v>10.0</v>
      </c>
      <c r="C16" s="80" t="s">
        <v>60</v>
      </c>
      <c r="D16" s="80" t="s">
        <v>63</v>
      </c>
      <c r="E16" s="80" t="s">
        <v>64</v>
      </c>
      <c r="F16" s="81">
        <v>0.0</v>
      </c>
      <c r="G16" s="80">
        <v>1.0</v>
      </c>
      <c r="H16" s="80">
        <v>2015.0</v>
      </c>
      <c r="I16" s="80" t="s">
        <v>65</v>
      </c>
      <c r="J16" s="82">
        <v>1.0</v>
      </c>
      <c r="K16" s="83" t="s">
        <v>66</v>
      </c>
      <c r="L16" s="84" t="s">
        <v>67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63.75" customHeight="1">
      <c r="A17" s="86" t="s">
        <v>69</v>
      </c>
      <c r="B17" s="88">
        <v>20.0</v>
      </c>
      <c r="C17" s="89" t="s">
        <v>71</v>
      </c>
      <c r="D17" s="89" t="s">
        <v>73</v>
      </c>
      <c r="E17" s="89" t="s">
        <v>74</v>
      </c>
      <c r="F17" s="90">
        <v>0.0</v>
      </c>
      <c r="G17" s="89">
        <v>62.0</v>
      </c>
      <c r="H17" s="89" t="s">
        <v>75</v>
      </c>
      <c r="I17" s="91" t="s">
        <v>76</v>
      </c>
      <c r="J17" s="92">
        <v>1.0</v>
      </c>
      <c r="K17" s="83" t="s">
        <v>77</v>
      </c>
      <c r="L17" s="84" t="s">
        <v>78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69.75" customHeight="1">
      <c r="A18" s="27"/>
      <c r="B18" s="27"/>
      <c r="C18" s="89" t="s">
        <v>79</v>
      </c>
      <c r="D18" s="89" t="s">
        <v>80</v>
      </c>
      <c r="E18" s="89" t="s">
        <v>81</v>
      </c>
      <c r="F18" s="90">
        <v>6.0</v>
      </c>
      <c r="G18" s="89">
        <v>8.0</v>
      </c>
      <c r="H18" s="89" t="s">
        <v>82</v>
      </c>
      <c r="I18" s="93" t="s">
        <v>53</v>
      </c>
      <c r="J18" s="92">
        <v>1.0</v>
      </c>
      <c r="K18" s="83" t="s">
        <v>83</v>
      </c>
      <c r="L18" s="83" t="s">
        <v>84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83.25" customHeight="1">
      <c r="A19" s="86" t="s">
        <v>87</v>
      </c>
      <c r="B19" s="88">
        <v>20.0</v>
      </c>
      <c r="C19" s="89" t="s">
        <v>88</v>
      </c>
      <c r="D19" s="89" t="s">
        <v>63</v>
      </c>
      <c r="E19" s="89" t="s">
        <v>89</v>
      </c>
      <c r="F19" s="81">
        <v>0.0</v>
      </c>
      <c r="G19" s="89">
        <v>2.0</v>
      </c>
      <c r="H19" s="89" t="s">
        <v>90</v>
      </c>
      <c r="I19" s="89" t="s">
        <v>91</v>
      </c>
      <c r="J19" s="82">
        <v>1.0</v>
      </c>
      <c r="K19" s="83" t="s">
        <v>92</v>
      </c>
      <c r="L19" s="83" t="s">
        <v>93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8.25" customHeight="1">
      <c r="A20" s="88" t="s">
        <v>96</v>
      </c>
      <c r="B20" s="88">
        <v>15.0</v>
      </c>
      <c r="C20" s="89" t="s">
        <v>97</v>
      </c>
      <c r="D20" s="80" t="s">
        <v>63</v>
      </c>
      <c r="E20" s="80" t="s">
        <v>98</v>
      </c>
      <c r="F20" s="95">
        <v>2.0</v>
      </c>
      <c r="G20" s="97">
        <v>4.0</v>
      </c>
      <c r="H20" s="89">
        <v>2017.0</v>
      </c>
      <c r="I20" s="89" t="s">
        <v>99</v>
      </c>
      <c r="J20" s="92">
        <v>1.0</v>
      </c>
      <c r="K20" s="80" t="s">
        <v>100</v>
      </c>
      <c r="L20" s="80" t="s">
        <v>101</v>
      </c>
      <c r="M20" s="5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8.25" customHeight="1">
      <c r="A21" s="54"/>
      <c r="B21" s="54"/>
      <c r="C21" s="54"/>
      <c r="D21" s="80" t="s">
        <v>63</v>
      </c>
      <c r="E21" s="89" t="s">
        <v>102</v>
      </c>
      <c r="F21" s="99">
        <v>8.0</v>
      </c>
      <c r="G21" s="97">
        <v>20.0</v>
      </c>
      <c r="H21" s="89">
        <v>2017.0</v>
      </c>
      <c r="I21" s="54"/>
      <c r="J21" s="92"/>
      <c r="K21" s="80" t="s">
        <v>104</v>
      </c>
      <c r="L21" s="80" t="s">
        <v>105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40.5" customHeight="1">
      <c r="A22" s="54"/>
      <c r="B22" s="54"/>
      <c r="C22" s="54"/>
      <c r="D22" s="80" t="s">
        <v>73</v>
      </c>
      <c r="E22" s="80" t="s">
        <v>106</v>
      </c>
      <c r="F22" s="95">
        <v>2.0</v>
      </c>
      <c r="G22" s="97">
        <v>8.0</v>
      </c>
      <c r="H22" s="89">
        <v>2017.0</v>
      </c>
      <c r="I22" s="54"/>
      <c r="J22" s="92">
        <f>3/8</f>
        <v>0.375</v>
      </c>
      <c r="K22" s="80" t="s">
        <v>107</v>
      </c>
      <c r="L22" s="80" t="s">
        <v>108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40.5" customHeight="1">
      <c r="A23" s="54"/>
      <c r="B23" s="54"/>
      <c r="C23" s="54"/>
      <c r="D23" s="80" t="s">
        <v>73</v>
      </c>
      <c r="E23" s="80" t="s">
        <v>109</v>
      </c>
      <c r="F23" s="95">
        <v>2.0</v>
      </c>
      <c r="G23" s="97">
        <v>4.0</v>
      </c>
      <c r="H23" s="89">
        <v>2017.0</v>
      </c>
      <c r="I23" s="54"/>
      <c r="J23" s="92">
        <v>1.0</v>
      </c>
      <c r="K23" s="80" t="s">
        <v>110</v>
      </c>
      <c r="L23" s="89" t="s">
        <v>111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40.5" customHeight="1">
      <c r="A24" s="27"/>
      <c r="B24" s="54"/>
      <c r="C24" s="54"/>
      <c r="D24" s="101" t="s">
        <v>73</v>
      </c>
      <c r="E24" s="80" t="s">
        <v>114</v>
      </c>
      <c r="F24" s="102">
        <v>3.0</v>
      </c>
      <c r="G24" s="97">
        <v>4.0</v>
      </c>
      <c r="H24" s="89">
        <v>2017.0</v>
      </c>
      <c r="I24" s="54"/>
      <c r="J24" s="92">
        <v>1.0</v>
      </c>
      <c r="K24" s="80" t="s">
        <v>116</v>
      </c>
      <c r="L24" s="89" t="s">
        <v>117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42.0" customHeight="1">
      <c r="A25" s="86" t="s">
        <v>118</v>
      </c>
      <c r="B25" s="89">
        <v>15.0</v>
      </c>
      <c r="C25" s="89" t="s">
        <v>119</v>
      </c>
      <c r="D25" s="89" t="s">
        <v>73</v>
      </c>
      <c r="E25" s="103" t="s">
        <v>120</v>
      </c>
      <c r="F25" s="95">
        <v>2.0</v>
      </c>
      <c r="G25" s="95">
        <v>15.0</v>
      </c>
      <c r="H25" s="89" t="s">
        <v>122</v>
      </c>
      <c r="I25" s="89" t="s">
        <v>91</v>
      </c>
      <c r="J25" s="82">
        <v>0.79</v>
      </c>
      <c r="K25" s="89" t="s">
        <v>123</v>
      </c>
      <c r="L25" s="104" t="s">
        <v>124</v>
      </c>
      <c r="M25" s="2"/>
      <c r="N25" s="2"/>
      <c r="O25" s="2"/>
      <c r="P25" s="105"/>
      <c r="Q25" s="2"/>
      <c r="R25" s="2"/>
      <c r="S25" s="2">
        <f>1000/15</f>
        <v>66.66666667</v>
      </c>
      <c r="T25" s="2"/>
      <c r="U25" s="2"/>
      <c r="V25" s="2"/>
      <c r="W25" s="2"/>
      <c r="X25" s="2"/>
      <c r="Y25" s="2"/>
      <c r="Z25" s="2"/>
    </row>
    <row r="26" ht="44.25" customHeight="1">
      <c r="A26" s="27"/>
      <c r="B26" s="27"/>
      <c r="C26" s="27"/>
      <c r="D26" s="27"/>
      <c r="E26" s="103" t="s">
        <v>126</v>
      </c>
      <c r="F26" s="95">
        <v>1.0</v>
      </c>
      <c r="G26" s="95">
        <v>5.0</v>
      </c>
      <c r="H26" s="27"/>
      <c r="I26" s="27"/>
      <c r="J26" s="82">
        <v>0.64</v>
      </c>
      <c r="K26" s="54"/>
      <c r="L26" s="27"/>
      <c r="M26" s="2"/>
      <c r="N26" s="2"/>
      <c r="O26" s="2"/>
      <c r="P26" s="105"/>
      <c r="Q26" s="2"/>
      <c r="R26" s="2"/>
      <c r="S26" s="2">
        <f>500/15</f>
        <v>33.33333333</v>
      </c>
      <c r="T26" s="2"/>
      <c r="U26" s="2"/>
      <c r="V26" s="2"/>
      <c r="W26" s="2"/>
      <c r="X26" s="2"/>
      <c r="Y26" s="2"/>
      <c r="Z26" s="2"/>
    </row>
    <row r="27" ht="69.75" customHeight="1">
      <c r="A27" s="106" t="s">
        <v>129</v>
      </c>
      <c r="B27" s="80">
        <v>10.0</v>
      </c>
      <c r="C27" s="80" t="s">
        <v>131</v>
      </c>
      <c r="D27" s="80" t="s">
        <v>73</v>
      </c>
      <c r="E27" s="80" t="s">
        <v>132</v>
      </c>
      <c r="F27" s="95">
        <v>1.0</v>
      </c>
      <c r="G27" s="97">
        <v>1.0</v>
      </c>
      <c r="H27" s="89">
        <v>2016.0</v>
      </c>
      <c r="I27" s="80" t="s">
        <v>133</v>
      </c>
      <c r="J27" s="92">
        <v>1.0</v>
      </c>
      <c r="K27" s="80" t="s">
        <v>134</v>
      </c>
      <c r="L27" s="107" t="s">
        <v>135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8.25" customHeight="1">
      <c r="A28" s="86" t="s">
        <v>136</v>
      </c>
      <c r="B28" s="89">
        <v>10.0</v>
      </c>
      <c r="C28" s="89" t="s">
        <v>137</v>
      </c>
      <c r="D28" s="80" t="s">
        <v>63</v>
      </c>
      <c r="E28" s="103" t="s">
        <v>138</v>
      </c>
      <c r="F28" s="80">
        <v>0.0</v>
      </c>
      <c r="G28" s="80">
        <v>6.0</v>
      </c>
      <c r="H28" s="80">
        <v>2017.0</v>
      </c>
      <c r="I28" s="89" t="s">
        <v>139</v>
      </c>
      <c r="J28" s="92">
        <f>10/6</f>
        <v>1.666666667</v>
      </c>
      <c r="K28" s="80" t="s">
        <v>140</v>
      </c>
      <c r="L28" s="80" t="s">
        <v>141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8.5" customHeight="1">
      <c r="A29" s="54"/>
      <c r="B29" s="54"/>
      <c r="C29" s="54"/>
      <c r="D29" s="80" t="s">
        <v>63</v>
      </c>
      <c r="E29" s="103" t="s">
        <v>142</v>
      </c>
      <c r="F29" s="80">
        <v>0.0</v>
      </c>
      <c r="G29" s="80">
        <v>6.0</v>
      </c>
      <c r="H29" s="80">
        <v>2017.0</v>
      </c>
      <c r="I29" s="54"/>
      <c r="J29" s="92">
        <v>1.6666666666666667</v>
      </c>
      <c r="K29" s="80" t="s">
        <v>143</v>
      </c>
      <c r="L29" s="80" t="s">
        <v>145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8.5" customHeight="1">
      <c r="A30" s="27"/>
      <c r="B30" s="27"/>
      <c r="C30" s="27"/>
      <c r="D30" s="101" t="s">
        <v>63</v>
      </c>
      <c r="E30" s="109" t="s">
        <v>147</v>
      </c>
      <c r="F30" s="101">
        <v>0.0</v>
      </c>
      <c r="G30" s="101">
        <v>6.0</v>
      </c>
      <c r="H30" s="101">
        <v>2017.0</v>
      </c>
      <c r="I30" s="27"/>
      <c r="J30" s="82">
        <v>0.5</v>
      </c>
      <c r="K30" s="80" t="s">
        <v>148</v>
      </c>
      <c r="L30" s="80" t="s">
        <v>145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53">
        <f>SUM(B16:B30)</f>
        <v>100</v>
      </c>
      <c r="C31" s="2"/>
      <c r="D31" s="53"/>
      <c r="E31" s="2"/>
      <c r="F31" s="5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45.0" customHeight="1">
      <c r="A32" s="2"/>
      <c r="B32" s="110" t="s">
        <v>149</v>
      </c>
      <c r="C32" s="2"/>
      <c r="D32" s="53"/>
      <c r="E32" s="2"/>
      <c r="F32" s="5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53"/>
      <c r="E33" s="2"/>
      <c r="F33" s="5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53"/>
      <c r="E34" s="2"/>
      <c r="F34" s="5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53"/>
      <c r="E35" s="2"/>
      <c r="F35" s="5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53"/>
      <c r="E36" s="2"/>
      <c r="F36" s="5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53"/>
      <c r="E37" s="2"/>
      <c r="F37" s="5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53"/>
      <c r="E38" s="2"/>
      <c r="F38" s="5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53"/>
      <c r="E39" s="2"/>
      <c r="F39" s="5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53"/>
      <c r="E40" s="2"/>
      <c r="F40" s="5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53"/>
      <c r="E41" s="2"/>
      <c r="F41" s="5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53"/>
      <c r="E42" s="2"/>
      <c r="F42" s="5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53"/>
      <c r="E43" s="2"/>
      <c r="F43" s="5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53"/>
      <c r="E44" s="2"/>
      <c r="F44" s="5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53"/>
      <c r="E45" s="2"/>
      <c r="F45" s="5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53"/>
      <c r="E46" s="2"/>
      <c r="F46" s="5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53"/>
      <c r="E47" s="2"/>
      <c r="F47" s="5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53"/>
      <c r="E48" s="2"/>
      <c r="F48" s="5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53"/>
      <c r="E49" s="2"/>
      <c r="F49" s="5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53"/>
      <c r="E50" s="2"/>
      <c r="F50" s="5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53"/>
      <c r="E51" s="2"/>
      <c r="F51" s="5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53"/>
      <c r="E52" s="2"/>
      <c r="F52" s="5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53"/>
      <c r="E53" s="2"/>
      <c r="F53" s="5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53"/>
      <c r="E54" s="2"/>
      <c r="F54" s="5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53"/>
      <c r="E55" s="2"/>
      <c r="F55" s="5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53"/>
      <c r="E56" s="2"/>
      <c r="F56" s="5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53"/>
      <c r="E57" s="2"/>
      <c r="F57" s="5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53"/>
      <c r="E58" s="2"/>
      <c r="F58" s="5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53"/>
      <c r="E59" s="2"/>
      <c r="F59" s="5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53"/>
      <c r="E60" s="2"/>
      <c r="F60" s="5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53"/>
      <c r="E61" s="2"/>
      <c r="F61" s="5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53"/>
      <c r="E62" s="2"/>
      <c r="F62" s="5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53"/>
      <c r="E63" s="2"/>
      <c r="F63" s="5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53"/>
      <c r="E64" s="2"/>
      <c r="F64" s="5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53"/>
      <c r="E65" s="2"/>
      <c r="F65" s="5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53"/>
      <c r="E66" s="2"/>
      <c r="F66" s="5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53"/>
      <c r="E67" s="2"/>
      <c r="F67" s="5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53"/>
      <c r="E68" s="2"/>
      <c r="F68" s="5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53"/>
      <c r="E69" s="2"/>
      <c r="F69" s="5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53"/>
      <c r="E70" s="2"/>
      <c r="F70" s="5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53"/>
      <c r="E71" s="2"/>
      <c r="F71" s="5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53"/>
      <c r="E72" s="2"/>
      <c r="F72" s="5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53"/>
      <c r="E73" s="2"/>
      <c r="F73" s="5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53"/>
      <c r="E74" s="2"/>
      <c r="F74" s="5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53"/>
      <c r="E75" s="2"/>
      <c r="F75" s="5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53"/>
      <c r="E76" s="2"/>
      <c r="F76" s="5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53"/>
      <c r="E77" s="2"/>
      <c r="F77" s="5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53"/>
      <c r="E78" s="2"/>
      <c r="F78" s="5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53"/>
      <c r="E79" s="2"/>
      <c r="F79" s="5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53"/>
      <c r="E80" s="2"/>
      <c r="F80" s="5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53"/>
      <c r="E81" s="2"/>
      <c r="F81" s="5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53"/>
      <c r="E82" s="2"/>
      <c r="F82" s="5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53"/>
      <c r="E83" s="2"/>
      <c r="F83" s="5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53"/>
      <c r="E84" s="2"/>
      <c r="F84" s="5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53"/>
      <c r="E85" s="2"/>
      <c r="F85" s="5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53"/>
      <c r="E86" s="2"/>
      <c r="F86" s="5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53"/>
      <c r="E87" s="2"/>
      <c r="F87" s="5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53"/>
      <c r="E88" s="2"/>
      <c r="F88" s="5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53"/>
      <c r="E89" s="2"/>
      <c r="F89" s="5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53"/>
      <c r="E90" s="2"/>
      <c r="F90" s="5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53"/>
      <c r="E91" s="2"/>
      <c r="F91" s="5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53"/>
      <c r="E92" s="2"/>
      <c r="F92" s="5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53"/>
      <c r="E93" s="2"/>
      <c r="F93" s="5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53"/>
      <c r="E94" s="2"/>
      <c r="F94" s="5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53"/>
      <c r="E95" s="2"/>
      <c r="F95" s="5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53"/>
      <c r="E96" s="2"/>
      <c r="F96" s="5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53"/>
      <c r="E97" s="2"/>
      <c r="F97" s="5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53"/>
      <c r="E98" s="2"/>
      <c r="F98" s="5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53"/>
      <c r="E99" s="2"/>
      <c r="F99" s="5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53"/>
      <c r="E100" s="2"/>
      <c r="F100" s="5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53"/>
      <c r="E101" s="2"/>
      <c r="F101" s="5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53"/>
      <c r="E102" s="2"/>
      <c r="F102" s="5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53"/>
      <c r="E103" s="2"/>
      <c r="F103" s="5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53"/>
      <c r="E104" s="2"/>
      <c r="F104" s="5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53"/>
      <c r="E105" s="2"/>
      <c r="F105" s="5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53"/>
      <c r="E106" s="2"/>
      <c r="F106" s="5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53"/>
      <c r="E107" s="2"/>
      <c r="F107" s="5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53"/>
      <c r="E108" s="2"/>
      <c r="F108" s="5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53"/>
      <c r="E109" s="2"/>
      <c r="F109" s="5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53"/>
      <c r="E110" s="2"/>
      <c r="F110" s="5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53"/>
      <c r="E111" s="2"/>
      <c r="F111" s="5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53"/>
      <c r="E112" s="2"/>
      <c r="F112" s="5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53"/>
      <c r="E113" s="2"/>
      <c r="F113" s="5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53"/>
      <c r="E114" s="2"/>
      <c r="F114" s="5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53"/>
      <c r="E115" s="2"/>
      <c r="F115" s="5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53"/>
      <c r="E116" s="2"/>
      <c r="F116" s="5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53"/>
      <c r="E117" s="2"/>
      <c r="F117" s="5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53"/>
      <c r="E118" s="2"/>
      <c r="F118" s="5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53"/>
      <c r="E119" s="2"/>
      <c r="F119" s="5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53"/>
      <c r="E120" s="2"/>
      <c r="F120" s="5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53"/>
      <c r="E121" s="2"/>
      <c r="F121" s="5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53"/>
      <c r="E122" s="2"/>
      <c r="F122" s="5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53"/>
      <c r="E123" s="2"/>
      <c r="F123" s="5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53"/>
      <c r="E124" s="2"/>
      <c r="F124" s="5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53"/>
      <c r="E125" s="2"/>
      <c r="F125" s="5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53"/>
      <c r="E126" s="2"/>
      <c r="F126" s="5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53"/>
      <c r="E127" s="2"/>
      <c r="F127" s="5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53"/>
      <c r="E128" s="2"/>
      <c r="F128" s="5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53"/>
      <c r="E129" s="2"/>
      <c r="F129" s="5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53"/>
      <c r="E130" s="2"/>
      <c r="F130" s="5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53"/>
      <c r="E131" s="2"/>
      <c r="F131" s="5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53"/>
      <c r="E132" s="2"/>
      <c r="F132" s="5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53"/>
      <c r="E133" s="2"/>
      <c r="F133" s="5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53"/>
      <c r="E134" s="2"/>
      <c r="F134" s="5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53"/>
      <c r="E135" s="2"/>
      <c r="F135" s="5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53"/>
      <c r="E136" s="2"/>
      <c r="F136" s="5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53"/>
      <c r="E137" s="2"/>
      <c r="F137" s="5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53"/>
      <c r="E138" s="2"/>
      <c r="F138" s="5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53"/>
      <c r="E139" s="2"/>
      <c r="F139" s="5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53"/>
      <c r="E140" s="2"/>
      <c r="F140" s="5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53"/>
      <c r="E141" s="2"/>
      <c r="F141" s="5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53"/>
      <c r="E142" s="2"/>
      <c r="F142" s="5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53"/>
      <c r="E143" s="2"/>
      <c r="F143" s="5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53"/>
      <c r="E144" s="2"/>
      <c r="F144" s="5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53"/>
      <c r="E145" s="2"/>
      <c r="F145" s="5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53"/>
      <c r="E146" s="2"/>
      <c r="F146" s="5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53"/>
      <c r="E147" s="2"/>
      <c r="F147" s="5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53"/>
      <c r="E148" s="2"/>
      <c r="F148" s="5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53"/>
      <c r="E149" s="2"/>
      <c r="F149" s="5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53"/>
      <c r="E150" s="2"/>
      <c r="F150" s="5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53"/>
      <c r="E151" s="2"/>
      <c r="F151" s="5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53"/>
      <c r="E152" s="2"/>
      <c r="F152" s="5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53"/>
      <c r="E153" s="2"/>
      <c r="F153" s="5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53"/>
      <c r="E154" s="2"/>
      <c r="F154" s="5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53"/>
      <c r="E155" s="2"/>
      <c r="F155" s="5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53"/>
      <c r="E156" s="2"/>
      <c r="F156" s="5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53"/>
      <c r="E157" s="2"/>
      <c r="F157" s="5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53"/>
      <c r="E158" s="2"/>
      <c r="F158" s="5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53"/>
      <c r="E159" s="2"/>
      <c r="F159" s="5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53"/>
      <c r="E160" s="2"/>
      <c r="F160" s="5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53"/>
      <c r="E161" s="2"/>
      <c r="F161" s="5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53"/>
      <c r="E162" s="2"/>
      <c r="F162" s="5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53"/>
      <c r="E163" s="2"/>
      <c r="F163" s="5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53"/>
      <c r="E164" s="2"/>
      <c r="F164" s="5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53"/>
      <c r="E165" s="2"/>
      <c r="F165" s="5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53"/>
      <c r="E166" s="2"/>
      <c r="F166" s="5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53"/>
      <c r="E167" s="2"/>
      <c r="F167" s="5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53"/>
      <c r="E168" s="2"/>
      <c r="F168" s="5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53"/>
      <c r="E169" s="2"/>
      <c r="F169" s="5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53"/>
      <c r="E170" s="2"/>
      <c r="F170" s="5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53"/>
      <c r="E171" s="2"/>
      <c r="F171" s="5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53"/>
      <c r="E172" s="2"/>
      <c r="F172" s="5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53"/>
      <c r="E173" s="2"/>
      <c r="F173" s="5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53"/>
      <c r="E174" s="2"/>
      <c r="F174" s="5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53"/>
      <c r="E175" s="2"/>
      <c r="F175" s="5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53"/>
      <c r="E176" s="2"/>
      <c r="F176" s="5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53"/>
      <c r="E177" s="2"/>
      <c r="F177" s="5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53"/>
      <c r="E178" s="2"/>
      <c r="F178" s="5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53"/>
      <c r="E179" s="2"/>
      <c r="F179" s="5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53"/>
      <c r="E180" s="2"/>
      <c r="F180" s="5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53"/>
      <c r="E181" s="2"/>
      <c r="F181" s="5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53"/>
      <c r="E182" s="2"/>
      <c r="F182" s="5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53"/>
      <c r="E183" s="2"/>
      <c r="F183" s="5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53"/>
      <c r="E184" s="2"/>
      <c r="F184" s="5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53"/>
      <c r="E185" s="2"/>
      <c r="F185" s="5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53"/>
      <c r="E186" s="2"/>
      <c r="F186" s="5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53"/>
      <c r="E187" s="2"/>
      <c r="F187" s="5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53"/>
      <c r="E188" s="2"/>
      <c r="F188" s="5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53"/>
      <c r="E189" s="2"/>
      <c r="F189" s="5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53"/>
      <c r="E190" s="2"/>
      <c r="F190" s="5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53"/>
      <c r="E191" s="2"/>
      <c r="F191" s="5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53"/>
      <c r="E192" s="2"/>
      <c r="F192" s="5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53"/>
      <c r="E193" s="2"/>
      <c r="F193" s="5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53"/>
      <c r="E194" s="2"/>
      <c r="F194" s="5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53"/>
      <c r="E195" s="2"/>
      <c r="F195" s="5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53"/>
      <c r="E196" s="2"/>
      <c r="F196" s="5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53"/>
      <c r="E197" s="2"/>
      <c r="F197" s="5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53"/>
      <c r="E198" s="2"/>
      <c r="F198" s="5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53"/>
      <c r="E199" s="2"/>
      <c r="F199" s="5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53"/>
      <c r="E200" s="2"/>
      <c r="F200" s="5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53"/>
      <c r="E201" s="2"/>
      <c r="F201" s="5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53"/>
      <c r="E202" s="2"/>
      <c r="F202" s="5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53"/>
      <c r="E203" s="2"/>
      <c r="F203" s="5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53"/>
      <c r="E204" s="2"/>
      <c r="F204" s="5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53"/>
      <c r="E205" s="2"/>
      <c r="F205" s="5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53"/>
      <c r="E206" s="2"/>
      <c r="F206" s="5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53"/>
      <c r="E207" s="2"/>
      <c r="F207" s="5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53"/>
      <c r="E208" s="2"/>
      <c r="F208" s="5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53"/>
      <c r="E209" s="2"/>
      <c r="F209" s="5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53"/>
      <c r="E210" s="2"/>
      <c r="F210" s="5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53"/>
      <c r="E211" s="2"/>
      <c r="F211" s="5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53"/>
      <c r="E212" s="2"/>
      <c r="F212" s="5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53"/>
      <c r="E213" s="2"/>
      <c r="F213" s="5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53"/>
      <c r="E214" s="2"/>
      <c r="F214" s="5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53"/>
      <c r="E215" s="2"/>
      <c r="F215" s="5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53"/>
      <c r="E216" s="2"/>
      <c r="F216" s="5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53"/>
      <c r="E217" s="2"/>
      <c r="F217" s="5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53"/>
      <c r="E218" s="2"/>
      <c r="F218" s="5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53"/>
      <c r="E219" s="2"/>
      <c r="F219" s="5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53"/>
      <c r="E220" s="2"/>
      <c r="F220" s="5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53"/>
      <c r="E221" s="2"/>
      <c r="F221" s="5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53"/>
      <c r="E222" s="2"/>
      <c r="F222" s="5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53"/>
      <c r="E223" s="2"/>
      <c r="F223" s="5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53"/>
      <c r="E224" s="2"/>
      <c r="F224" s="5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53"/>
      <c r="E225" s="2"/>
      <c r="F225" s="5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53"/>
      <c r="E226" s="2"/>
      <c r="F226" s="5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53"/>
      <c r="E227" s="2"/>
      <c r="F227" s="5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53"/>
      <c r="E228" s="2"/>
      <c r="F228" s="5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53"/>
      <c r="E229" s="2"/>
      <c r="F229" s="5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53"/>
      <c r="E230" s="2"/>
      <c r="F230" s="5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53"/>
      <c r="E231" s="2"/>
      <c r="F231" s="5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53"/>
      <c r="E232" s="2"/>
      <c r="F232" s="5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53"/>
      <c r="E233" s="2"/>
      <c r="F233" s="5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53"/>
      <c r="E234" s="2"/>
      <c r="F234" s="5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53"/>
      <c r="E235" s="2"/>
      <c r="F235" s="5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53"/>
      <c r="E236" s="2"/>
      <c r="F236" s="5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53"/>
      <c r="E237" s="2"/>
      <c r="F237" s="5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53"/>
      <c r="E238" s="2"/>
      <c r="F238" s="5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53"/>
      <c r="E239" s="2"/>
      <c r="F239" s="5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53"/>
      <c r="E240" s="2"/>
      <c r="F240" s="5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53"/>
      <c r="E241" s="2"/>
      <c r="F241" s="5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53"/>
      <c r="E242" s="2"/>
      <c r="F242" s="5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53"/>
      <c r="E243" s="2"/>
      <c r="F243" s="5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53"/>
      <c r="E244" s="2"/>
      <c r="F244" s="5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53"/>
      <c r="E245" s="2"/>
      <c r="F245" s="5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53"/>
      <c r="E246" s="2"/>
      <c r="F246" s="5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53"/>
      <c r="E247" s="2"/>
      <c r="F247" s="5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53"/>
      <c r="E248" s="2"/>
      <c r="F248" s="5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53"/>
      <c r="E249" s="2"/>
      <c r="F249" s="5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53"/>
      <c r="E250" s="2"/>
      <c r="F250" s="5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53"/>
      <c r="E251" s="2"/>
      <c r="F251" s="5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53"/>
      <c r="E252" s="2"/>
      <c r="F252" s="5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53"/>
      <c r="E253" s="2"/>
      <c r="F253" s="5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53"/>
      <c r="E254" s="2"/>
      <c r="F254" s="5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53"/>
      <c r="E255" s="2"/>
      <c r="F255" s="5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53"/>
      <c r="E256" s="2"/>
      <c r="F256" s="5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53"/>
      <c r="E257" s="2"/>
      <c r="F257" s="5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53"/>
      <c r="E258" s="2"/>
      <c r="F258" s="5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53"/>
      <c r="E259" s="2"/>
      <c r="F259" s="5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53"/>
      <c r="E260" s="2"/>
      <c r="F260" s="5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53"/>
      <c r="E261" s="2"/>
      <c r="F261" s="5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53"/>
      <c r="E262" s="2"/>
      <c r="F262" s="5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53"/>
      <c r="E263" s="2"/>
      <c r="F263" s="5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53"/>
      <c r="E264" s="2"/>
      <c r="F264" s="5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53"/>
      <c r="E265" s="2"/>
      <c r="F265" s="5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53"/>
      <c r="E266" s="2"/>
      <c r="F266" s="5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53"/>
      <c r="E267" s="2"/>
      <c r="F267" s="5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53"/>
      <c r="E268" s="2"/>
      <c r="F268" s="5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53"/>
      <c r="E269" s="2"/>
      <c r="F269" s="5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53"/>
      <c r="E270" s="2"/>
      <c r="F270" s="5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53"/>
      <c r="E271" s="2"/>
      <c r="F271" s="5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53"/>
      <c r="E272" s="2"/>
      <c r="F272" s="5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53"/>
      <c r="E273" s="2"/>
      <c r="F273" s="5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53"/>
      <c r="E274" s="2"/>
      <c r="F274" s="5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53"/>
      <c r="E275" s="2"/>
      <c r="F275" s="5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53"/>
      <c r="E276" s="2"/>
      <c r="F276" s="5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53"/>
      <c r="E277" s="2"/>
      <c r="F277" s="5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53"/>
      <c r="E278" s="2"/>
      <c r="F278" s="5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53"/>
      <c r="E279" s="2"/>
      <c r="F279" s="5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53"/>
      <c r="E280" s="2"/>
      <c r="F280" s="5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53"/>
      <c r="E281" s="2"/>
      <c r="F281" s="5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53"/>
      <c r="E282" s="2"/>
      <c r="F282" s="5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53"/>
      <c r="E283" s="2"/>
      <c r="F283" s="5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53"/>
      <c r="E284" s="2"/>
      <c r="F284" s="5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53"/>
      <c r="E285" s="2"/>
      <c r="F285" s="5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53"/>
      <c r="E286" s="2"/>
      <c r="F286" s="5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53"/>
      <c r="E287" s="2"/>
      <c r="F287" s="5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53"/>
      <c r="E288" s="2"/>
      <c r="F288" s="5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53"/>
      <c r="E289" s="2"/>
      <c r="F289" s="5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53"/>
      <c r="E290" s="2"/>
      <c r="F290" s="5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53"/>
      <c r="E291" s="2"/>
      <c r="F291" s="5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53"/>
      <c r="E292" s="2"/>
      <c r="F292" s="5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53"/>
      <c r="E293" s="2"/>
      <c r="F293" s="5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53"/>
      <c r="E294" s="2"/>
      <c r="F294" s="5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53"/>
      <c r="E295" s="2"/>
      <c r="F295" s="5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53"/>
      <c r="E296" s="2"/>
      <c r="F296" s="5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53"/>
      <c r="E297" s="2"/>
      <c r="F297" s="5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53"/>
      <c r="E298" s="2"/>
      <c r="F298" s="5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53"/>
      <c r="E299" s="2"/>
      <c r="F299" s="5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53"/>
      <c r="E300" s="2"/>
      <c r="F300" s="5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53"/>
      <c r="E301" s="2"/>
      <c r="F301" s="5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53"/>
      <c r="E302" s="2"/>
      <c r="F302" s="5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53"/>
      <c r="E303" s="2"/>
      <c r="F303" s="5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53"/>
      <c r="E304" s="2"/>
      <c r="F304" s="5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53"/>
      <c r="E305" s="2"/>
      <c r="F305" s="5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53"/>
      <c r="E306" s="2"/>
      <c r="F306" s="5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53"/>
      <c r="E307" s="2"/>
      <c r="F307" s="5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53"/>
      <c r="E308" s="2"/>
      <c r="F308" s="5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53"/>
      <c r="E309" s="2"/>
      <c r="F309" s="5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53"/>
      <c r="E310" s="2"/>
      <c r="F310" s="5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53"/>
      <c r="E311" s="2"/>
      <c r="F311" s="5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53"/>
      <c r="E312" s="2"/>
      <c r="F312" s="5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53"/>
      <c r="E313" s="2"/>
      <c r="F313" s="5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53"/>
      <c r="E314" s="2"/>
      <c r="F314" s="5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53"/>
      <c r="E315" s="2"/>
      <c r="F315" s="5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53"/>
      <c r="E316" s="2"/>
      <c r="F316" s="5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53"/>
      <c r="E317" s="2"/>
      <c r="F317" s="5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53"/>
      <c r="E318" s="2"/>
      <c r="F318" s="5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53"/>
      <c r="E319" s="2"/>
      <c r="F319" s="5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53"/>
      <c r="E320" s="2"/>
      <c r="F320" s="5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53"/>
      <c r="E321" s="2"/>
      <c r="F321" s="5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53"/>
      <c r="E322" s="2"/>
      <c r="F322" s="5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53"/>
      <c r="E323" s="2"/>
      <c r="F323" s="5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53"/>
      <c r="E324" s="2"/>
      <c r="F324" s="5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53"/>
      <c r="E325" s="2"/>
      <c r="F325" s="5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53"/>
      <c r="E326" s="2"/>
      <c r="F326" s="5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53"/>
      <c r="E327" s="2"/>
      <c r="F327" s="5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53"/>
      <c r="E328" s="2"/>
      <c r="F328" s="5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53"/>
      <c r="E329" s="2"/>
      <c r="F329" s="5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53"/>
      <c r="E330" s="2"/>
      <c r="F330" s="5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53"/>
      <c r="E331" s="2"/>
      <c r="F331" s="5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53"/>
      <c r="E332" s="2"/>
      <c r="F332" s="5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53"/>
      <c r="E333" s="2"/>
      <c r="F333" s="5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53"/>
      <c r="E334" s="2"/>
      <c r="F334" s="5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53"/>
      <c r="E335" s="2"/>
      <c r="F335" s="5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53"/>
      <c r="E336" s="2"/>
      <c r="F336" s="5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53"/>
      <c r="E337" s="2"/>
      <c r="F337" s="5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53"/>
      <c r="E338" s="2"/>
      <c r="F338" s="5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53"/>
      <c r="E339" s="2"/>
      <c r="F339" s="5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53"/>
      <c r="E340" s="2"/>
      <c r="F340" s="5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53"/>
      <c r="E341" s="2"/>
      <c r="F341" s="5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53"/>
      <c r="E342" s="2"/>
      <c r="F342" s="5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53"/>
      <c r="E343" s="2"/>
      <c r="F343" s="5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53"/>
      <c r="E344" s="2"/>
      <c r="F344" s="5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53"/>
      <c r="E345" s="2"/>
      <c r="F345" s="5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53"/>
      <c r="E346" s="2"/>
      <c r="F346" s="5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53"/>
      <c r="E347" s="2"/>
      <c r="F347" s="5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53"/>
      <c r="E348" s="2"/>
      <c r="F348" s="5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53"/>
      <c r="E349" s="2"/>
      <c r="F349" s="5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53"/>
      <c r="E350" s="2"/>
      <c r="F350" s="5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53"/>
      <c r="E351" s="2"/>
      <c r="F351" s="5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53"/>
      <c r="E352" s="2"/>
      <c r="F352" s="5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53"/>
      <c r="E353" s="2"/>
      <c r="F353" s="5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53"/>
      <c r="E354" s="2"/>
      <c r="F354" s="5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53"/>
      <c r="E355" s="2"/>
      <c r="F355" s="5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53"/>
      <c r="E356" s="2"/>
      <c r="F356" s="5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53"/>
      <c r="E357" s="2"/>
      <c r="F357" s="5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53"/>
      <c r="E358" s="2"/>
      <c r="F358" s="5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53"/>
      <c r="E359" s="2"/>
      <c r="F359" s="5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53"/>
      <c r="E360" s="2"/>
      <c r="F360" s="5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53"/>
      <c r="E361" s="2"/>
      <c r="F361" s="5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53"/>
      <c r="E362" s="2"/>
      <c r="F362" s="5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53"/>
      <c r="E363" s="2"/>
      <c r="F363" s="5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53"/>
      <c r="E364" s="2"/>
      <c r="F364" s="5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53"/>
      <c r="E365" s="2"/>
      <c r="F365" s="5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53"/>
      <c r="E366" s="2"/>
      <c r="F366" s="5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53"/>
      <c r="E367" s="2"/>
      <c r="F367" s="5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53"/>
      <c r="E368" s="2"/>
      <c r="F368" s="5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53"/>
      <c r="E369" s="2"/>
      <c r="F369" s="5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53"/>
      <c r="E370" s="2"/>
      <c r="F370" s="5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53"/>
      <c r="E371" s="2"/>
      <c r="F371" s="5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53"/>
      <c r="E372" s="2"/>
      <c r="F372" s="5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53"/>
      <c r="E373" s="2"/>
      <c r="F373" s="5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53"/>
      <c r="E374" s="2"/>
      <c r="F374" s="5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53"/>
      <c r="E375" s="2"/>
      <c r="F375" s="5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53"/>
      <c r="E376" s="2"/>
      <c r="F376" s="5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53"/>
      <c r="E377" s="2"/>
      <c r="F377" s="5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53"/>
      <c r="E378" s="2"/>
      <c r="F378" s="5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53"/>
      <c r="E379" s="2"/>
      <c r="F379" s="5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53"/>
      <c r="E380" s="2"/>
      <c r="F380" s="5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53"/>
      <c r="E381" s="2"/>
      <c r="F381" s="5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53"/>
      <c r="E382" s="2"/>
      <c r="F382" s="5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53"/>
      <c r="E383" s="2"/>
      <c r="F383" s="5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53"/>
      <c r="E384" s="2"/>
      <c r="F384" s="5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53"/>
      <c r="E385" s="2"/>
      <c r="F385" s="5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53"/>
      <c r="E386" s="2"/>
      <c r="F386" s="5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53"/>
      <c r="E387" s="2"/>
      <c r="F387" s="5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53"/>
      <c r="E388" s="2"/>
      <c r="F388" s="5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53"/>
      <c r="E389" s="2"/>
      <c r="F389" s="5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53"/>
      <c r="E390" s="2"/>
      <c r="F390" s="5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53"/>
      <c r="E391" s="2"/>
      <c r="F391" s="5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53"/>
      <c r="E392" s="2"/>
      <c r="F392" s="5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53"/>
      <c r="E393" s="2"/>
      <c r="F393" s="5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53"/>
      <c r="E394" s="2"/>
      <c r="F394" s="5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53"/>
      <c r="E395" s="2"/>
      <c r="F395" s="5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53"/>
      <c r="E396" s="2"/>
      <c r="F396" s="5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53"/>
      <c r="E397" s="2"/>
      <c r="F397" s="5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53"/>
      <c r="E398" s="2"/>
      <c r="F398" s="5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53"/>
      <c r="E399" s="2"/>
      <c r="F399" s="5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53"/>
      <c r="E400" s="2"/>
      <c r="F400" s="5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53"/>
      <c r="E401" s="2"/>
      <c r="F401" s="5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53"/>
      <c r="E402" s="2"/>
      <c r="F402" s="5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53"/>
      <c r="E403" s="2"/>
      <c r="F403" s="5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53"/>
      <c r="E404" s="2"/>
      <c r="F404" s="5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53"/>
      <c r="E405" s="2"/>
      <c r="F405" s="5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53"/>
      <c r="E406" s="2"/>
      <c r="F406" s="5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53"/>
      <c r="E407" s="2"/>
      <c r="F407" s="5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53"/>
      <c r="E408" s="2"/>
      <c r="F408" s="5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53"/>
      <c r="E409" s="2"/>
      <c r="F409" s="5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53"/>
      <c r="E410" s="2"/>
      <c r="F410" s="5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53"/>
      <c r="E411" s="2"/>
      <c r="F411" s="5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53"/>
      <c r="E412" s="2"/>
      <c r="F412" s="5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53"/>
      <c r="E413" s="2"/>
      <c r="F413" s="5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53"/>
      <c r="E414" s="2"/>
      <c r="F414" s="5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53"/>
      <c r="E415" s="2"/>
      <c r="F415" s="5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53"/>
      <c r="E416" s="2"/>
      <c r="F416" s="5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53"/>
      <c r="E417" s="2"/>
      <c r="F417" s="5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53"/>
      <c r="E418" s="2"/>
      <c r="F418" s="5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53"/>
      <c r="E419" s="2"/>
      <c r="F419" s="5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53"/>
      <c r="E420" s="2"/>
      <c r="F420" s="5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53"/>
      <c r="E421" s="2"/>
      <c r="F421" s="5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53"/>
      <c r="E422" s="2"/>
      <c r="F422" s="5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53"/>
      <c r="E423" s="2"/>
      <c r="F423" s="5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53"/>
      <c r="E424" s="2"/>
      <c r="F424" s="5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53"/>
      <c r="E425" s="2"/>
      <c r="F425" s="5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53"/>
      <c r="E426" s="2"/>
      <c r="F426" s="5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53"/>
      <c r="E427" s="2"/>
      <c r="F427" s="5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53"/>
      <c r="E428" s="2"/>
      <c r="F428" s="5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53"/>
      <c r="E429" s="2"/>
      <c r="F429" s="5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53"/>
      <c r="E430" s="2"/>
      <c r="F430" s="5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53"/>
      <c r="E431" s="2"/>
      <c r="F431" s="5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53"/>
      <c r="E432" s="2"/>
      <c r="F432" s="5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53"/>
      <c r="E433" s="2"/>
      <c r="F433" s="5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53"/>
      <c r="E434" s="2"/>
      <c r="F434" s="5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53"/>
      <c r="E435" s="2"/>
      <c r="F435" s="5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53"/>
      <c r="E436" s="2"/>
      <c r="F436" s="5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53"/>
      <c r="E437" s="2"/>
      <c r="F437" s="5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53"/>
      <c r="E438" s="2"/>
      <c r="F438" s="5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53"/>
      <c r="E439" s="2"/>
      <c r="F439" s="5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53"/>
      <c r="E440" s="2"/>
      <c r="F440" s="5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53"/>
      <c r="E441" s="2"/>
      <c r="F441" s="5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53"/>
      <c r="E442" s="2"/>
      <c r="F442" s="5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53"/>
      <c r="E443" s="2"/>
      <c r="F443" s="5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53"/>
      <c r="E444" s="2"/>
      <c r="F444" s="5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53"/>
      <c r="E445" s="2"/>
      <c r="F445" s="5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53"/>
      <c r="E446" s="2"/>
      <c r="F446" s="5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53"/>
      <c r="E447" s="2"/>
      <c r="F447" s="5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53"/>
      <c r="E448" s="2"/>
      <c r="F448" s="5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53"/>
      <c r="E449" s="2"/>
      <c r="F449" s="5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53"/>
      <c r="E450" s="2"/>
      <c r="F450" s="5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53"/>
      <c r="E451" s="2"/>
      <c r="F451" s="5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53"/>
      <c r="E452" s="2"/>
      <c r="F452" s="5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53"/>
      <c r="E453" s="2"/>
      <c r="F453" s="5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53"/>
      <c r="E454" s="2"/>
      <c r="F454" s="5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53"/>
      <c r="E455" s="2"/>
      <c r="F455" s="5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53"/>
      <c r="E456" s="2"/>
      <c r="F456" s="5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53"/>
      <c r="E457" s="2"/>
      <c r="F457" s="5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53"/>
      <c r="E458" s="2"/>
      <c r="F458" s="5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53"/>
      <c r="E459" s="2"/>
      <c r="F459" s="5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53"/>
      <c r="E460" s="2"/>
      <c r="F460" s="5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53"/>
      <c r="E461" s="2"/>
      <c r="F461" s="5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53"/>
      <c r="E462" s="2"/>
      <c r="F462" s="5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53"/>
      <c r="E463" s="2"/>
      <c r="F463" s="5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53"/>
      <c r="E464" s="2"/>
      <c r="F464" s="5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53"/>
      <c r="E465" s="2"/>
      <c r="F465" s="5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53"/>
      <c r="E466" s="2"/>
      <c r="F466" s="5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53"/>
      <c r="E467" s="2"/>
      <c r="F467" s="5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53"/>
      <c r="E468" s="2"/>
      <c r="F468" s="5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53"/>
      <c r="E469" s="2"/>
      <c r="F469" s="5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53"/>
      <c r="E470" s="2"/>
      <c r="F470" s="5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53"/>
      <c r="E471" s="2"/>
      <c r="F471" s="5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53"/>
      <c r="E472" s="2"/>
      <c r="F472" s="5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53"/>
      <c r="E473" s="2"/>
      <c r="F473" s="5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53"/>
      <c r="E474" s="2"/>
      <c r="F474" s="5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53"/>
      <c r="E475" s="2"/>
      <c r="F475" s="5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53"/>
      <c r="E476" s="2"/>
      <c r="F476" s="5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53"/>
      <c r="E477" s="2"/>
      <c r="F477" s="5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53"/>
      <c r="E478" s="2"/>
      <c r="F478" s="5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53"/>
      <c r="E479" s="2"/>
      <c r="F479" s="5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53"/>
      <c r="E480" s="2"/>
      <c r="F480" s="5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53"/>
      <c r="E481" s="2"/>
      <c r="F481" s="5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53"/>
      <c r="E482" s="2"/>
      <c r="F482" s="5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53"/>
      <c r="E483" s="2"/>
      <c r="F483" s="5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53"/>
      <c r="E484" s="2"/>
      <c r="F484" s="5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53"/>
      <c r="E485" s="2"/>
      <c r="F485" s="5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53"/>
      <c r="E486" s="2"/>
      <c r="F486" s="5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53"/>
      <c r="E487" s="2"/>
      <c r="F487" s="5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53"/>
      <c r="E488" s="2"/>
      <c r="F488" s="5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53"/>
      <c r="E489" s="2"/>
      <c r="F489" s="5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53"/>
      <c r="E490" s="2"/>
      <c r="F490" s="5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53"/>
      <c r="E491" s="2"/>
      <c r="F491" s="5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53"/>
      <c r="E492" s="2"/>
      <c r="F492" s="5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53"/>
      <c r="E493" s="2"/>
      <c r="F493" s="5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53"/>
      <c r="E494" s="2"/>
      <c r="F494" s="5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53"/>
      <c r="E495" s="2"/>
      <c r="F495" s="5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53"/>
      <c r="E496" s="2"/>
      <c r="F496" s="5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53"/>
      <c r="E497" s="2"/>
      <c r="F497" s="5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53"/>
      <c r="E498" s="2"/>
      <c r="F498" s="5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53"/>
      <c r="E499" s="2"/>
      <c r="F499" s="5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53"/>
      <c r="E500" s="2"/>
      <c r="F500" s="5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53"/>
      <c r="E501" s="2"/>
      <c r="F501" s="5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53"/>
      <c r="E502" s="2"/>
      <c r="F502" s="5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53"/>
      <c r="E503" s="2"/>
      <c r="F503" s="5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53"/>
      <c r="E504" s="2"/>
      <c r="F504" s="5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53"/>
      <c r="E505" s="2"/>
      <c r="F505" s="5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53"/>
      <c r="E506" s="2"/>
      <c r="F506" s="5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53"/>
      <c r="E507" s="2"/>
      <c r="F507" s="5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53"/>
      <c r="E508" s="2"/>
      <c r="F508" s="5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53"/>
      <c r="E509" s="2"/>
      <c r="F509" s="5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53"/>
      <c r="E510" s="2"/>
      <c r="F510" s="5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53"/>
      <c r="E511" s="2"/>
      <c r="F511" s="5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53"/>
      <c r="E512" s="2"/>
      <c r="F512" s="5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53"/>
      <c r="E513" s="2"/>
      <c r="F513" s="5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53"/>
      <c r="E514" s="2"/>
      <c r="F514" s="5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53"/>
      <c r="E515" s="2"/>
      <c r="F515" s="5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53"/>
      <c r="E516" s="2"/>
      <c r="F516" s="5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53"/>
      <c r="E517" s="2"/>
      <c r="F517" s="5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53"/>
      <c r="E518" s="2"/>
      <c r="F518" s="5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53"/>
      <c r="E519" s="2"/>
      <c r="F519" s="5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53"/>
      <c r="E520" s="2"/>
      <c r="F520" s="5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53"/>
      <c r="E521" s="2"/>
      <c r="F521" s="5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53"/>
      <c r="E522" s="2"/>
      <c r="F522" s="5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53"/>
      <c r="E523" s="2"/>
      <c r="F523" s="5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53"/>
      <c r="E524" s="2"/>
      <c r="F524" s="5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53"/>
      <c r="E525" s="2"/>
      <c r="F525" s="5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53"/>
      <c r="E526" s="2"/>
      <c r="F526" s="5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53"/>
      <c r="E527" s="2"/>
      <c r="F527" s="5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53"/>
      <c r="E528" s="2"/>
      <c r="F528" s="5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53"/>
      <c r="E529" s="2"/>
      <c r="F529" s="5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53"/>
      <c r="E530" s="2"/>
      <c r="F530" s="5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53"/>
      <c r="E531" s="2"/>
      <c r="F531" s="5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53"/>
      <c r="E532" s="2"/>
      <c r="F532" s="5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53"/>
      <c r="E533" s="2"/>
      <c r="F533" s="5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53"/>
      <c r="E534" s="2"/>
      <c r="F534" s="5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53"/>
      <c r="E535" s="2"/>
      <c r="F535" s="5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53"/>
      <c r="E536" s="2"/>
      <c r="F536" s="5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53"/>
      <c r="E537" s="2"/>
      <c r="F537" s="5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53"/>
      <c r="E538" s="2"/>
      <c r="F538" s="5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53"/>
      <c r="E539" s="2"/>
      <c r="F539" s="5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53"/>
      <c r="E540" s="2"/>
      <c r="F540" s="5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53"/>
      <c r="E541" s="2"/>
      <c r="F541" s="5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53"/>
      <c r="E542" s="2"/>
      <c r="F542" s="5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53"/>
      <c r="E543" s="2"/>
      <c r="F543" s="5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53"/>
      <c r="E544" s="2"/>
      <c r="F544" s="5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53"/>
      <c r="E545" s="2"/>
      <c r="F545" s="5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53"/>
      <c r="E546" s="2"/>
      <c r="F546" s="5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53"/>
      <c r="E547" s="2"/>
      <c r="F547" s="5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53"/>
      <c r="E548" s="2"/>
      <c r="F548" s="5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53"/>
      <c r="E549" s="2"/>
      <c r="F549" s="5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53"/>
      <c r="E550" s="2"/>
      <c r="F550" s="5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53"/>
      <c r="E551" s="2"/>
      <c r="F551" s="5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53"/>
      <c r="E552" s="2"/>
      <c r="F552" s="5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53"/>
      <c r="E553" s="2"/>
      <c r="F553" s="5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53"/>
      <c r="E554" s="2"/>
      <c r="F554" s="5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53"/>
      <c r="E555" s="2"/>
      <c r="F555" s="5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53"/>
      <c r="E556" s="2"/>
      <c r="F556" s="5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53"/>
      <c r="E557" s="2"/>
      <c r="F557" s="5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53"/>
      <c r="E558" s="2"/>
      <c r="F558" s="5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53"/>
      <c r="E559" s="2"/>
      <c r="F559" s="5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53"/>
      <c r="E560" s="2"/>
      <c r="F560" s="5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53"/>
      <c r="E561" s="2"/>
      <c r="F561" s="5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53"/>
      <c r="E562" s="2"/>
      <c r="F562" s="5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53"/>
      <c r="E563" s="2"/>
      <c r="F563" s="5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53"/>
      <c r="E564" s="2"/>
      <c r="F564" s="5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53"/>
      <c r="E565" s="2"/>
      <c r="F565" s="5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53"/>
      <c r="E566" s="2"/>
      <c r="F566" s="5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53"/>
      <c r="E567" s="2"/>
      <c r="F567" s="5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53"/>
      <c r="E568" s="2"/>
      <c r="F568" s="5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53"/>
      <c r="E569" s="2"/>
      <c r="F569" s="5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53"/>
      <c r="E570" s="2"/>
      <c r="F570" s="5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53"/>
      <c r="E571" s="2"/>
      <c r="F571" s="5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53"/>
      <c r="E572" s="2"/>
      <c r="F572" s="5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53"/>
      <c r="E573" s="2"/>
      <c r="F573" s="5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53"/>
      <c r="E574" s="2"/>
      <c r="F574" s="5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53"/>
      <c r="E575" s="2"/>
      <c r="F575" s="5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53"/>
      <c r="E576" s="2"/>
      <c r="F576" s="5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53"/>
      <c r="E577" s="2"/>
      <c r="F577" s="5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53"/>
      <c r="E578" s="2"/>
      <c r="F578" s="5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53"/>
      <c r="E579" s="2"/>
      <c r="F579" s="5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53"/>
      <c r="E580" s="2"/>
      <c r="F580" s="5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53"/>
      <c r="E581" s="2"/>
      <c r="F581" s="5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53"/>
      <c r="E582" s="2"/>
      <c r="F582" s="5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53"/>
      <c r="E583" s="2"/>
      <c r="F583" s="5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53"/>
      <c r="E584" s="2"/>
      <c r="F584" s="5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53"/>
      <c r="E585" s="2"/>
      <c r="F585" s="5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53"/>
      <c r="E586" s="2"/>
      <c r="F586" s="5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53"/>
      <c r="E587" s="2"/>
      <c r="F587" s="5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53"/>
      <c r="E588" s="2"/>
      <c r="F588" s="5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53"/>
      <c r="E589" s="2"/>
      <c r="F589" s="5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53"/>
      <c r="E590" s="2"/>
      <c r="F590" s="5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53"/>
      <c r="E591" s="2"/>
      <c r="F591" s="5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53"/>
      <c r="E592" s="2"/>
      <c r="F592" s="5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53"/>
      <c r="E593" s="2"/>
      <c r="F593" s="5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53"/>
      <c r="E594" s="2"/>
      <c r="F594" s="5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53"/>
      <c r="E595" s="2"/>
      <c r="F595" s="5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53"/>
      <c r="E596" s="2"/>
      <c r="F596" s="5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53"/>
      <c r="E597" s="2"/>
      <c r="F597" s="5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53"/>
      <c r="E598" s="2"/>
      <c r="F598" s="5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53"/>
      <c r="E599" s="2"/>
      <c r="F599" s="5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53"/>
      <c r="E600" s="2"/>
      <c r="F600" s="5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53"/>
      <c r="E601" s="2"/>
      <c r="F601" s="5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53"/>
      <c r="E602" s="2"/>
      <c r="F602" s="5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53"/>
      <c r="E603" s="2"/>
      <c r="F603" s="5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53"/>
      <c r="E604" s="2"/>
      <c r="F604" s="5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53"/>
      <c r="E605" s="2"/>
      <c r="F605" s="5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53"/>
      <c r="E606" s="2"/>
      <c r="F606" s="5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53"/>
      <c r="E607" s="2"/>
      <c r="F607" s="5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53"/>
      <c r="E608" s="2"/>
      <c r="F608" s="5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53"/>
      <c r="E609" s="2"/>
      <c r="F609" s="5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53"/>
      <c r="E610" s="2"/>
      <c r="F610" s="5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53"/>
      <c r="E611" s="2"/>
      <c r="F611" s="5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53"/>
      <c r="E612" s="2"/>
      <c r="F612" s="5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53"/>
      <c r="E613" s="2"/>
      <c r="F613" s="5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53"/>
      <c r="E614" s="2"/>
      <c r="F614" s="5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53"/>
      <c r="E615" s="2"/>
      <c r="F615" s="5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53"/>
      <c r="E616" s="2"/>
      <c r="F616" s="5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53"/>
      <c r="E617" s="2"/>
      <c r="F617" s="5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53"/>
      <c r="E618" s="2"/>
      <c r="F618" s="5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53"/>
      <c r="E619" s="2"/>
      <c r="F619" s="5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53"/>
      <c r="E620" s="2"/>
      <c r="F620" s="5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53"/>
      <c r="E621" s="2"/>
      <c r="F621" s="5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53"/>
      <c r="E622" s="2"/>
      <c r="F622" s="5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53"/>
      <c r="E623" s="2"/>
      <c r="F623" s="5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53"/>
      <c r="E624" s="2"/>
      <c r="F624" s="5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53"/>
      <c r="E625" s="2"/>
      <c r="F625" s="5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53"/>
      <c r="E626" s="2"/>
      <c r="F626" s="5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53"/>
      <c r="E627" s="2"/>
      <c r="F627" s="5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53"/>
      <c r="E628" s="2"/>
      <c r="F628" s="5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53"/>
      <c r="E629" s="2"/>
      <c r="F629" s="5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53"/>
      <c r="E630" s="2"/>
      <c r="F630" s="5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53"/>
      <c r="E631" s="2"/>
      <c r="F631" s="5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53"/>
      <c r="E632" s="2"/>
      <c r="F632" s="5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53"/>
      <c r="E633" s="2"/>
      <c r="F633" s="5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53"/>
      <c r="E634" s="2"/>
      <c r="F634" s="5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53"/>
      <c r="E635" s="2"/>
      <c r="F635" s="5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53"/>
      <c r="E636" s="2"/>
      <c r="F636" s="5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53"/>
      <c r="E637" s="2"/>
      <c r="F637" s="5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53"/>
      <c r="E638" s="2"/>
      <c r="F638" s="5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53"/>
      <c r="E639" s="2"/>
      <c r="F639" s="5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53"/>
      <c r="E640" s="2"/>
      <c r="F640" s="5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53"/>
      <c r="E641" s="2"/>
      <c r="F641" s="5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53"/>
      <c r="E642" s="2"/>
      <c r="F642" s="5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53"/>
      <c r="E643" s="2"/>
      <c r="F643" s="5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53"/>
      <c r="E644" s="2"/>
      <c r="F644" s="5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53"/>
      <c r="E645" s="2"/>
      <c r="F645" s="5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53"/>
      <c r="E646" s="2"/>
      <c r="F646" s="5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53"/>
      <c r="E647" s="2"/>
      <c r="F647" s="5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53"/>
      <c r="E648" s="2"/>
      <c r="F648" s="5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53"/>
      <c r="E649" s="2"/>
      <c r="F649" s="5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53"/>
      <c r="E650" s="2"/>
      <c r="F650" s="5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53"/>
      <c r="E651" s="2"/>
      <c r="F651" s="5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53"/>
      <c r="E652" s="2"/>
      <c r="F652" s="5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53"/>
      <c r="E653" s="2"/>
      <c r="F653" s="5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53"/>
      <c r="E654" s="2"/>
      <c r="F654" s="5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53"/>
      <c r="E655" s="2"/>
      <c r="F655" s="5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53"/>
      <c r="E656" s="2"/>
      <c r="F656" s="5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53"/>
      <c r="E657" s="2"/>
      <c r="F657" s="5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53"/>
      <c r="E658" s="2"/>
      <c r="F658" s="5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53"/>
      <c r="E659" s="2"/>
      <c r="F659" s="5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53"/>
      <c r="E660" s="2"/>
      <c r="F660" s="5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53"/>
      <c r="E661" s="2"/>
      <c r="F661" s="5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53"/>
      <c r="E662" s="2"/>
      <c r="F662" s="5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53"/>
      <c r="E663" s="2"/>
      <c r="F663" s="5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53"/>
      <c r="E664" s="2"/>
      <c r="F664" s="5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53"/>
      <c r="E665" s="2"/>
      <c r="F665" s="5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53"/>
      <c r="E666" s="2"/>
      <c r="F666" s="5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53"/>
      <c r="E667" s="2"/>
      <c r="F667" s="5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53"/>
      <c r="E668" s="2"/>
      <c r="F668" s="5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53"/>
      <c r="E669" s="2"/>
      <c r="F669" s="5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53"/>
      <c r="E670" s="2"/>
      <c r="F670" s="5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53"/>
      <c r="E671" s="2"/>
      <c r="F671" s="5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53"/>
      <c r="E672" s="2"/>
      <c r="F672" s="5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53"/>
      <c r="E673" s="2"/>
      <c r="F673" s="5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53"/>
      <c r="E674" s="2"/>
      <c r="F674" s="5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53"/>
      <c r="E675" s="2"/>
      <c r="F675" s="5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53"/>
      <c r="E676" s="2"/>
      <c r="F676" s="5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53"/>
      <c r="E677" s="2"/>
      <c r="F677" s="5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53"/>
      <c r="E678" s="2"/>
      <c r="F678" s="5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53"/>
      <c r="E679" s="2"/>
      <c r="F679" s="5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53"/>
      <c r="E680" s="2"/>
      <c r="F680" s="5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53"/>
      <c r="E681" s="2"/>
      <c r="F681" s="5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53"/>
      <c r="E682" s="2"/>
      <c r="F682" s="5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53"/>
      <c r="E683" s="2"/>
      <c r="F683" s="5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53"/>
      <c r="E684" s="2"/>
      <c r="F684" s="5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53"/>
      <c r="E685" s="2"/>
      <c r="F685" s="5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53"/>
      <c r="E686" s="2"/>
      <c r="F686" s="5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53"/>
      <c r="E687" s="2"/>
      <c r="F687" s="5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53"/>
      <c r="E688" s="2"/>
      <c r="F688" s="5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53"/>
      <c r="E689" s="2"/>
      <c r="F689" s="5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53"/>
      <c r="E690" s="2"/>
      <c r="F690" s="5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53"/>
      <c r="E691" s="2"/>
      <c r="F691" s="5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53"/>
      <c r="E692" s="2"/>
      <c r="F692" s="5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53"/>
      <c r="E693" s="2"/>
      <c r="F693" s="5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53"/>
      <c r="E694" s="2"/>
      <c r="F694" s="5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53"/>
      <c r="E695" s="2"/>
      <c r="F695" s="5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53"/>
      <c r="E696" s="2"/>
      <c r="F696" s="5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53"/>
      <c r="E697" s="2"/>
      <c r="F697" s="5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53"/>
      <c r="E698" s="2"/>
      <c r="F698" s="5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53"/>
      <c r="E699" s="2"/>
      <c r="F699" s="5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53"/>
      <c r="E700" s="2"/>
      <c r="F700" s="5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53"/>
      <c r="E701" s="2"/>
      <c r="F701" s="5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53"/>
      <c r="E702" s="2"/>
      <c r="F702" s="5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53"/>
      <c r="E703" s="2"/>
      <c r="F703" s="5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53"/>
      <c r="E704" s="2"/>
      <c r="F704" s="5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53"/>
      <c r="E705" s="2"/>
      <c r="F705" s="5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53"/>
      <c r="E706" s="2"/>
      <c r="F706" s="5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53"/>
      <c r="E707" s="2"/>
      <c r="F707" s="5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53"/>
      <c r="E708" s="2"/>
      <c r="F708" s="5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53"/>
      <c r="E709" s="2"/>
      <c r="F709" s="5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53"/>
      <c r="E710" s="2"/>
      <c r="F710" s="5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53"/>
      <c r="E711" s="2"/>
      <c r="F711" s="5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53"/>
      <c r="E712" s="2"/>
      <c r="F712" s="5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53"/>
      <c r="E713" s="2"/>
      <c r="F713" s="5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53"/>
      <c r="E714" s="2"/>
      <c r="F714" s="5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53"/>
      <c r="E715" s="2"/>
      <c r="F715" s="5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53"/>
      <c r="E716" s="2"/>
      <c r="F716" s="5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53"/>
      <c r="E717" s="2"/>
      <c r="F717" s="5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53"/>
      <c r="E718" s="2"/>
      <c r="F718" s="5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53"/>
      <c r="E719" s="2"/>
      <c r="F719" s="5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53"/>
      <c r="E720" s="2"/>
      <c r="F720" s="5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53"/>
      <c r="E721" s="2"/>
      <c r="F721" s="5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53"/>
      <c r="E722" s="2"/>
      <c r="F722" s="5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53"/>
      <c r="E723" s="2"/>
      <c r="F723" s="5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53"/>
      <c r="E724" s="2"/>
      <c r="F724" s="5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53"/>
      <c r="E725" s="2"/>
      <c r="F725" s="5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53"/>
      <c r="E726" s="2"/>
      <c r="F726" s="5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53"/>
      <c r="E727" s="2"/>
      <c r="F727" s="5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53"/>
      <c r="E728" s="2"/>
      <c r="F728" s="5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53"/>
      <c r="E729" s="2"/>
      <c r="F729" s="5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53"/>
      <c r="E730" s="2"/>
      <c r="F730" s="5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53"/>
      <c r="E731" s="2"/>
      <c r="F731" s="5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53"/>
      <c r="E732" s="2"/>
      <c r="F732" s="5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53"/>
      <c r="E733" s="2"/>
      <c r="F733" s="5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53"/>
      <c r="E734" s="2"/>
      <c r="F734" s="5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53"/>
      <c r="E735" s="2"/>
      <c r="F735" s="5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53"/>
      <c r="E736" s="2"/>
      <c r="F736" s="5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53"/>
      <c r="E737" s="2"/>
      <c r="F737" s="5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53"/>
      <c r="E738" s="2"/>
      <c r="F738" s="5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53"/>
      <c r="E739" s="2"/>
      <c r="F739" s="5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53"/>
      <c r="E740" s="2"/>
      <c r="F740" s="5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53"/>
      <c r="E741" s="2"/>
      <c r="F741" s="5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53"/>
      <c r="E742" s="2"/>
      <c r="F742" s="5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53"/>
      <c r="E743" s="2"/>
      <c r="F743" s="5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53"/>
      <c r="E744" s="2"/>
      <c r="F744" s="5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53"/>
      <c r="E745" s="2"/>
      <c r="F745" s="5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53"/>
      <c r="E746" s="2"/>
      <c r="F746" s="5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53"/>
      <c r="E747" s="2"/>
      <c r="F747" s="5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53"/>
      <c r="E748" s="2"/>
      <c r="F748" s="5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53"/>
      <c r="E749" s="2"/>
      <c r="F749" s="5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53"/>
      <c r="E750" s="2"/>
      <c r="F750" s="5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53"/>
      <c r="E751" s="2"/>
      <c r="F751" s="5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53"/>
      <c r="E752" s="2"/>
      <c r="F752" s="5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53"/>
      <c r="E753" s="2"/>
      <c r="F753" s="5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53"/>
      <c r="E754" s="2"/>
      <c r="F754" s="5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53"/>
      <c r="E755" s="2"/>
      <c r="F755" s="5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53"/>
      <c r="E756" s="2"/>
      <c r="F756" s="5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53"/>
      <c r="E757" s="2"/>
      <c r="F757" s="5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53"/>
      <c r="E758" s="2"/>
      <c r="F758" s="5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53"/>
      <c r="E759" s="2"/>
      <c r="F759" s="5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53"/>
      <c r="E760" s="2"/>
      <c r="F760" s="5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53"/>
      <c r="E761" s="2"/>
      <c r="F761" s="5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53"/>
      <c r="E762" s="2"/>
      <c r="F762" s="5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53"/>
      <c r="E763" s="2"/>
      <c r="F763" s="5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53"/>
      <c r="E764" s="2"/>
      <c r="F764" s="5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53"/>
      <c r="E765" s="2"/>
      <c r="F765" s="5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53"/>
      <c r="E766" s="2"/>
      <c r="F766" s="5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53"/>
      <c r="E767" s="2"/>
      <c r="F767" s="5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53"/>
      <c r="E768" s="2"/>
      <c r="F768" s="5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53"/>
      <c r="E769" s="2"/>
      <c r="F769" s="5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53"/>
      <c r="E770" s="2"/>
      <c r="F770" s="5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53"/>
      <c r="E771" s="2"/>
      <c r="F771" s="5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53"/>
      <c r="E772" s="2"/>
      <c r="F772" s="5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53"/>
      <c r="E773" s="2"/>
      <c r="F773" s="5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53"/>
      <c r="E774" s="2"/>
      <c r="F774" s="5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53"/>
      <c r="E775" s="2"/>
      <c r="F775" s="5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53"/>
      <c r="E776" s="2"/>
      <c r="F776" s="5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53"/>
      <c r="E777" s="2"/>
      <c r="F777" s="5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53"/>
      <c r="E778" s="2"/>
      <c r="F778" s="5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53"/>
      <c r="E779" s="2"/>
      <c r="F779" s="5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53"/>
      <c r="E780" s="2"/>
      <c r="F780" s="5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53"/>
      <c r="E781" s="2"/>
      <c r="F781" s="5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53"/>
      <c r="E782" s="2"/>
      <c r="F782" s="5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53"/>
      <c r="E783" s="2"/>
      <c r="F783" s="5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53"/>
      <c r="E784" s="2"/>
      <c r="F784" s="5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53"/>
      <c r="E785" s="2"/>
      <c r="F785" s="5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53"/>
      <c r="E786" s="2"/>
      <c r="F786" s="5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53"/>
      <c r="E787" s="2"/>
      <c r="F787" s="5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53"/>
      <c r="E788" s="2"/>
      <c r="F788" s="5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53"/>
      <c r="E789" s="2"/>
      <c r="F789" s="5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53"/>
      <c r="E790" s="2"/>
      <c r="F790" s="5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53"/>
      <c r="E791" s="2"/>
      <c r="F791" s="5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53"/>
      <c r="E792" s="2"/>
      <c r="F792" s="5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53"/>
      <c r="E793" s="2"/>
      <c r="F793" s="5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53"/>
      <c r="E794" s="2"/>
      <c r="F794" s="5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53"/>
      <c r="E795" s="2"/>
      <c r="F795" s="5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53"/>
      <c r="E796" s="2"/>
      <c r="F796" s="5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53"/>
      <c r="E797" s="2"/>
      <c r="F797" s="5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53"/>
      <c r="E798" s="2"/>
      <c r="F798" s="5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53"/>
      <c r="E799" s="2"/>
      <c r="F799" s="5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53"/>
      <c r="E800" s="2"/>
      <c r="F800" s="5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53"/>
      <c r="E801" s="2"/>
      <c r="F801" s="5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53"/>
      <c r="E802" s="2"/>
      <c r="F802" s="5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53"/>
      <c r="E803" s="2"/>
      <c r="F803" s="5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53"/>
      <c r="E804" s="2"/>
      <c r="F804" s="5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53"/>
      <c r="E805" s="2"/>
      <c r="F805" s="5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53"/>
      <c r="E806" s="2"/>
      <c r="F806" s="5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53"/>
      <c r="E807" s="2"/>
      <c r="F807" s="5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53"/>
      <c r="E808" s="2"/>
      <c r="F808" s="5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53"/>
      <c r="E809" s="2"/>
      <c r="F809" s="5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53"/>
      <c r="E810" s="2"/>
      <c r="F810" s="5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53"/>
      <c r="E811" s="2"/>
      <c r="F811" s="5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53"/>
      <c r="E812" s="2"/>
      <c r="F812" s="5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53"/>
      <c r="E813" s="2"/>
      <c r="F813" s="5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53"/>
      <c r="E814" s="2"/>
      <c r="F814" s="5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53"/>
      <c r="E815" s="2"/>
      <c r="F815" s="5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53"/>
      <c r="E816" s="2"/>
      <c r="F816" s="5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53"/>
      <c r="E817" s="2"/>
      <c r="F817" s="5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53"/>
      <c r="E818" s="2"/>
      <c r="F818" s="5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53"/>
      <c r="E819" s="2"/>
      <c r="F819" s="5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53"/>
      <c r="E820" s="2"/>
      <c r="F820" s="5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53"/>
      <c r="E821" s="2"/>
      <c r="F821" s="5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53"/>
      <c r="E822" s="2"/>
      <c r="F822" s="5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53"/>
      <c r="E823" s="2"/>
      <c r="F823" s="5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53"/>
      <c r="E824" s="2"/>
      <c r="F824" s="5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53"/>
      <c r="E825" s="2"/>
      <c r="F825" s="5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53"/>
      <c r="E826" s="2"/>
      <c r="F826" s="5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53"/>
      <c r="E827" s="2"/>
      <c r="F827" s="5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53"/>
      <c r="E828" s="2"/>
      <c r="F828" s="5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53"/>
      <c r="E829" s="2"/>
      <c r="F829" s="5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53"/>
      <c r="E830" s="2"/>
      <c r="F830" s="5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53"/>
      <c r="E831" s="2"/>
      <c r="F831" s="5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53"/>
      <c r="E832" s="2"/>
      <c r="F832" s="5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53"/>
      <c r="E833" s="2"/>
      <c r="F833" s="5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53"/>
      <c r="E834" s="2"/>
      <c r="F834" s="5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53"/>
      <c r="E835" s="2"/>
      <c r="F835" s="5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53"/>
      <c r="E836" s="2"/>
      <c r="F836" s="5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53"/>
      <c r="E837" s="2"/>
      <c r="F837" s="5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53"/>
      <c r="E838" s="2"/>
      <c r="F838" s="5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53"/>
      <c r="E839" s="2"/>
      <c r="F839" s="5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53"/>
      <c r="E840" s="2"/>
      <c r="F840" s="5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53"/>
      <c r="E841" s="2"/>
      <c r="F841" s="5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53"/>
      <c r="E842" s="2"/>
      <c r="F842" s="5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53"/>
      <c r="E843" s="2"/>
      <c r="F843" s="5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53"/>
      <c r="E844" s="2"/>
      <c r="F844" s="5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53"/>
      <c r="E845" s="2"/>
      <c r="F845" s="5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53"/>
      <c r="E846" s="2"/>
      <c r="F846" s="5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53"/>
      <c r="E847" s="2"/>
      <c r="F847" s="5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53"/>
      <c r="E848" s="2"/>
      <c r="F848" s="5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53"/>
      <c r="E849" s="2"/>
      <c r="F849" s="5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53"/>
      <c r="E850" s="2"/>
      <c r="F850" s="5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53"/>
      <c r="E851" s="2"/>
      <c r="F851" s="5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53"/>
      <c r="E852" s="2"/>
      <c r="F852" s="5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53"/>
      <c r="E853" s="2"/>
      <c r="F853" s="5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53"/>
      <c r="E854" s="2"/>
      <c r="F854" s="5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53"/>
      <c r="E855" s="2"/>
      <c r="F855" s="5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53"/>
      <c r="E856" s="2"/>
      <c r="F856" s="5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53"/>
      <c r="E857" s="2"/>
      <c r="F857" s="5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53"/>
      <c r="E858" s="2"/>
      <c r="F858" s="5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53"/>
      <c r="E859" s="2"/>
      <c r="F859" s="5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53"/>
      <c r="E860" s="2"/>
      <c r="F860" s="5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53"/>
      <c r="E861" s="2"/>
      <c r="F861" s="5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53"/>
      <c r="E862" s="2"/>
      <c r="F862" s="5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53"/>
      <c r="E863" s="2"/>
      <c r="F863" s="5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53"/>
      <c r="E864" s="2"/>
      <c r="F864" s="5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53"/>
      <c r="E865" s="2"/>
      <c r="F865" s="5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53"/>
      <c r="E866" s="2"/>
      <c r="F866" s="5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53"/>
      <c r="E867" s="2"/>
      <c r="F867" s="5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53"/>
      <c r="E868" s="2"/>
      <c r="F868" s="5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53"/>
      <c r="E869" s="2"/>
      <c r="F869" s="5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53"/>
      <c r="E870" s="2"/>
      <c r="F870" s="5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53"/>
      <c r="E871" s="2"/>
      <c r="F871" s="5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53"/>
      <c r="E872" s="2"/>
      <c r="F872" s="5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53"/>
      <c r="E873" s="2"/>
      <c r="F873" s="5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53"/>
      <c r="E874" s="2"/>
      <c r="F874" s="5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53"/>
      <c r="E875" s="2"/>
      <c r="F875" s="5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53"/>
      <c r="E876" s="2"/>
      <c r="F876" s="5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53"/>
      <c r="E877" s="2"/>
      <c r="F877" s="5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53"/>
      <c r="E878" s="2"/>
      <c r="F878" s="5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53"/>
      <c r="E879" s="2"/>
      <c r="F879" s="5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53"/>
      <c r="E880" s="2"/>
      <c r="F880" s="5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53"/>
      <c r="E881" s="2"/>
      <c r="F881" s="5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53"/>
      <c r="E882" s="2"/>
      <c r="F882" s="5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53"/>
      <c r="E883" s="2"/>
      <c r="F883" s="5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53"/>
      <c r="E884" s="2"/>
      <c r="F884" s="5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53"/>
      <c r="E885" s="2"/>
      <c r="F885" s="5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53"/>
      <c r="E886" s="2"/>
      <c r="F886" s="5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53"/>
      <c r="E887" s="2"/>
      <c r="F887" s="5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53"/>
      <c r="E888" s="2"/>
      <c r="F888" s="5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53"/>
      <c r="E889" s="2"/>
      <c r="F889" s="5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53"/>
      <c r="E890" s="2"/>
      <c r="F890" s="5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53"/>
      <c r="E891" s="2"/>
      <c r="F891" s="5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53"/>
      <c r="E892" s="2"/>
      <c r="F892" s="5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53"/>
      <c r="E893" s="2"/>
      <c r="F893" s="5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53"/>
      <c r="E894" s="2"/>
      <c r="F894" s="5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53"/>
      <c r="E895" s="2"/>
      <c r="F895" s="5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53"/>
      <c r="E896" s="2"/>
      <c r="F896" s="5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53"/>
      <c r="E897" s="2"/>
      <c r="F897" s="5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53"/>
      <c r="E898" s="2"/>
      <c r="F898" s="5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53"/>
      <c r="E899" s="2"/>
      <c r="F899" s="5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53"/>
      <c r="E900" s="2"/>
      <c r="F900" s="5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53"/>
      <c r="E901" s="2"/>
      <c r="F901" s="5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53"/>
      <c r="E902" s="2"/>
      <c r="F902" s="5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53"/>
      <c r="E903" s="2"/>
      <c r="F903" s="5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53"/>
      <c r="E904" s="2"/>
      <c r="F904" s="5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53"/>
      <c r="E905" s="2"/>
      <c r="F905" s="5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53"/>
      <c r="E906" s="2"/>
      <c r="F906" s="5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53"/>
      <c r="E907" s="2"/>
      <c r="F907" s="5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53"/>
      <c r="E908" s="2"/>
      <c r="F908" s="5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53"/>
      <c r="E909" s="2"/>
      <c r="F909" s="5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53"/>
      <c r="E910" s="2"/>
      <c r="F910" s="5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53"/>
      <c r="E911" s="2"/>
      <c r="F911" s="5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53"/>
      <c r="E912" s="2"/>
      <c r="F912" s="5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53"/>
      <c r="E913" s="2"/>
      <c r="F913" s="5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53"/>
      <c r="E914" s="2"/>
      <c r="F914" s="5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53"/>
      <c r="E915" s="2"/>
      <c r="F915" s="5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53"/>
      <c r="E916" s="2"/>
      <c r="F916" s="5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53"/>
      <c r="E917" s="2"/>
      <c r="F917" s="5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53"/>
      <c r="E918" s="2"/>
      <c r="F918" s="5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53"/>
      <c r="E919" s="2"/>
      <c r="F919" s="5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53"/>
      <c r="E920" s="2"/>
      <c r="F920" s="5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53"/>
      <c r="E921" s="2"/>
      <c r="F921" s="5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53"/>
      <c r="E922" s="2"/>
      <c r="F922" s="5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53"/>
      <c r="E923" s="2"/>
      <c r="F923" s="5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53"/>
      <c r="E924" s="2"/>
      <c r="F924" s="5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53"/>
      <c r="E925" s="2"/>
      <c r="F925" s="5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53"/>
      <c r="E926" s="2"/>
      <c r="F926" s="5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53"/>
      <c r="E927" s="2"/>
      <c r="F927" s="5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53"/>
      <c r="E928" s="2"/>
      <c r="F928" s="5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53"/>
      <c r="E929" s="2"/>
      <c r="F929" s="5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53"/>
      <c r="E930" s="2"/>
      <c r="F930" s="5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53"/>
      <c r="E931" s="2"/>
      <c r="F931" s="5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53"/>
      <c r="E932" s="2"/>
      <c r="F932" s="5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53"/>
      <c r="E933" s="2"/>
      <c r="F933" s="5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53"/>
      <c r="E934" s="2"/>
      <c r="F934" s="5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53"/>
      <c r="E935" s="2"/>
      <c r="F935" s="5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53"/>
      <c r="E936" s="2"/>
      <c r="F936" s="5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53"/>
      <c r="E937" s="2"/>
      <c r="F937" s="5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53"/>
      <c r="E938" s="2"/>
      <c r="F938" s="5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53"/>
      <c r="E939" s="2"/>
      <c r="F939" s="5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53"/>
      <c r="E940" s="2"/>
      <c r="F940" s="5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53"/>
      <c r="E941" s="2"/>
      <c r="F941" s="5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53"/>
      <c r="E942" s="2"/>
      <c r="F942" s="5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53"/>
      <c r="E943" s="2"/>
      <c r="F943" s="5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53"/>
      <c r="E944" s="2"/>
      <c r="F944" s="5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53"/>
      <c r="E945" s="2"/>
      <c r="F945" s="5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53"/>
      <c r="E946" s="2"/>
      <c r="F946" s="5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53"/>
      <c r="E947" s="2"/>
      <c r="F947" s="5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53"/>
      <c r="E948" s="2"/>
      <c r="F948" s="5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53"/>
      <c r="E949" s="2"/>
      <c r="F949" s="5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53"/>
      <c r="E950" s="2"/>
      <c r="F950" s="5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53"/>
      <c r="E951" s="2"/>
      <c r="F951" s="5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53"/>
      <c r="E952" s="2"/>
      <c r="F952" s="5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53"/>
      <c r="E953" s="2"/>
      <c r="F953" s="5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53"/>
      <c r="E954" s="2"/>
      <c r="F954" s="5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53"/>
      <c r="E955" s="2"/>
      <c r="F955" s="5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53"/>
      <c r="E956" s="2"/>
      <c r="F956" s="5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53"/>
      <c r="E957" s="2"/>
      <c r="F957" s="5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53"/>
      <c r="E958" s="2"/>
      <c r="F958" s="5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53"/>
      <c r="E959" s="2"/>
      <c r="F959" s="5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53"/>
      <c r="E960" s="2"/>
      <c r="F960" s="5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53"/>
      <c r="E961" s="2"/>
      <c r="F961" s="5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53"/>
      <c r="E962" s="2"/>
      <c r="F962" s="5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53"/>
      <c r="E963" s="2"/>
      <c r="F963" s="5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53"/>
      <c r="E964" s="2"/>
      <c r="F964" s="5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53"/>
      <c r="E965" s="2"/>
      <c r="F965" s="5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53"/>
      <c r="E966" s="2"/>
      <c r="F966" s="5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53"/>
      <c r="E967" s="2"/>
      <c r="F967" s="5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53"/>
      <c r="E968" s="2"/>
      <c r="F968" s="5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53"/>
      <c r="E969" s="2"/>
      <c r="F969" s="5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53"/>
      <c r="E970" s="2"/>
      <c r="F970" s="5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53"/>
      <c r="E971" s="2"/>
      <c r="F971" s="5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53"/>
      <c r="E972" s="2"/>
      <c r="F972" s="5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53"/>
      <c r="E973" s="2"/>
      <c r="F973" s="5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53"/>
      <c r="E974" s="2"/>
      <c r="F974" s="5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53"/>
      <c r="E975" s="2"/>
      <c r="F975" s="5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53"/>
      <c r="E976" s="2"/>
      <c r="F976" s="5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53"/>
      <c r="E977" s="2"/>
      <c r="F977" s="5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53"/>
      <c r="E978" s="2"/>
      <c r="F978" s="5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53"/>
      <c r="E979" s="2"/>
      <c r="F979" s="5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53"/>
      <c r="E980" s="2"/>
      <c r="F980" s="5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53"/>
      <c r="E981" s="2"/>
      <c r="F981" s="5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53"/>
      <c r="E982" s="2"/>
      <c r="F982" s="5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53"/>
      <c r="E983" s="2"/>
      <c r="F983" s="5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53"/>
      <c r="E984" s="2"/>
      <c r="F984" s="5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53"/>
      <c r="E985" s="2"/>
      <c r="F985" s="5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53"/>
      <c r="E986" s="2"/>
      <c r="F986" s="5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53"/>
      <c r="E987" s="2"/>
      <c r="F987" s="5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53"/>
      <c r="E988" s="2"/>
      <c r="F988" s="5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53"/>
      <c r="E989" s="2"/>
      <c r="F989" s="5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53"/>
      <c r="E990" s="2"/>
      <c r="F990" s="5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53"/>
      <c r="E991" s="2"/>
      <c r="F991" s="5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53"/>
      <c r="E992" s="2"/>
      <c r="F992" s="5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53"/>
      <c r="E993" s="2"/>
      <c r="F993" s="5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53"/>
      <c r="E994" s="2"/>
      <c r="F994" s="5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53"/>
      <c r="E995" s="2"/>
      <c r="F995" s="5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53"/>
      <c r="E996" s="2"/>
      <c r="F996" s="5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53"/>
      <c r="E997" s="2"/>
      <c r="F997" s="5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53"/>
      <c r="E998" s="2"/>
      <c r="F998" s="5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53"/>
      <c r="E999" s="2"/>
      <c r="F999" s="5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53"/>
      <c r="E1000" s="2"/>
      <c r="F1000" s="5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9">
    <mergeCell ref="J14:J15"/>
    <mergeCell ref="I9:J9"/>
    <mergeCell ref="I11:J11"/>
    <mergeCell ref="D14:D15"/>
    <mergeCell ref="E14:E15"/>
    <mergeCell ref="K14:K15"/>
    <mergeCell ref="I14:I15"/>
    <mergeCell ref="B6:H6"/>
    <mergeCell ref="B5:H5"/>
    <mergeCell ref="C14:C15"/>
    <mergeCell ref="B7:H7"/>
    <mergeCell ref="F14:H14"/>
    <mergeCell ref="B17:B18"/>
    <mergeCell ref="A17:A18"/>
    <mergeCell ref="B20:B24"/>
    <mergeCell ref="C20:C24"/>
    <mergeCell ref="A14:A15"/>
    <mergeCell ref="C25:C26"/>
    <mergeCell ref="D25:D26"/>
    <mergeCell ref="B25:B26"/>
    <mergeCell ref="A20:A24"/>
    <mergeCell ref="A25:A26"/>
    <mergeCell ref="B28:B30"/>
    <mergeCell ref="A28:A30"/>
    <mergeCell ref="C28:C30"/>
    <mergeCell ref="I25:I26"/>
    <mergeCell ref="H25:H26"/>
    <mergeCell ref="I20:I24"/>
    <mergeCell ref="I28:I30"/>
    <mergeCell ref="K25:K26"/>
    <mergeCell ref="L25:L26"/>
    <mergeCell ref="E9:G9"/>
    <mergeCell ref="E11:G11"/>
    <mergeCell ref="L14:L15"/>
    <mergeCell ref="B14:B15"/>
    <mergeCell ref="A9:B11"/>
    <mergeCell ref="A1:L1"/>
    <mergeCell ref="A2:L2"/>
    <mergeCell ref="A3:L3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6" width="10.0"/>
  </cols>
  <sheetData>
    <row r="1">
      <c r="A1" t="str">
        <f>IF(#REF!,"AAAAAD94LgA=",0)</f>
        <v>#REF!</v>
      </c>
      <c r="B1" t="str">
        <f>AND(#REF!,"AAAAAD94LgE=")</f>
        <v>#REF!</v>
      </c>
      <c r="C1" t="str">
        <f>AND(#REF!,"AAAAAD94LgI=")</f>
        <v>#REF!</v>
      </c>
      <c r="D1" t="str">
        <f>AND(#REF!,"AAAAAD94LgM=")</f>
        <v>#REF!</v>
      </c>
      <c r="E1" t="str">
        <f>AND(#REF!,"AAAAAD94LgQ=")</f>
        <v>#REF!</v>
      </c>
      <c r="F1" t="str">
        <f>AND(#REF!,"AAAAAD94LgU=")</f>
        <v>#REF!</v>
      </c>
      <c r="G1" t="str">
        <f>AND(#REF!,"AAAAAD94LgY=")</f>
        <v>#REF!</v>
      </c>
      <c r="H1" t="str">
        <f>AND(#REF!,"AAAAAD94Lgc=")</f>
        <v>#REF!</v>
      </c>
      <c r="I1" t="str">
        <f>AND(#REF!,"AAAAAD94Lgg=")</f>
        <v>#REF!</v>
      </c>
      <c r="J1" t="str">
        <f>AND(#REF!,"AAAAAD94Lgk=")</f>
        <v>#REF!</v>
      </c>
      <c r="K1" t="str">
        <f>AND(#REF!,"AAAAAD94Lgo=")</f>
        <v>#REF!</v>
      </c>
      <c r="L1" t="str">
        <f>AND(#REF!,"AAAAAD94Lgs=")</f>
        <v>#REF!</v>
      </c>
      <c r="M1" t="str">
        <f>AND(#REF!,"AAAAAD94Lgw=")</f>
        <v>#REF!</v>
      </c>
      <c r="N1" t="str">
        <f>AND(#REF!,"AAAAAD94Lg0=")</f>
        <v>#REF!</v>
      </c>
      <c r="O1" t="str">
        <f>AND(#REF!,"AAAAAD94Lg4=")</f>
        <v>#REF!</v>
      </c>
      <c r="P1" t="str">
        <f>AND(#REF!,"AAAAAD94Lg8=")</f>
        <v>#REF!</v>
      </c>
      <c r="Q1" t="str">
        <f>AND(#REF!,"AAAAAD94LhA=")</f>
        <v>#REF!</v>
      </c>
      <c r="R1" t="str">
        <f>AND(#REF!,"AAAAAD94LhE=")</f>
        <v>#REF!</v>
      </c>
      <c r="S1" t="str">
        <f>AND(#REF!,"AAAAAD94LhI=")</f>
        <v>#REF!</v>
      </c>
      <c r="T1" t="str">
        <f>AND(#REF!,"AAAAAD94LhM=")</f>
        <v>#REF!</v>
      </c>
      <c r="U1" t="str">
        <f>AND(#REF!,"AAAAAD94LhQ=")</f>
        <v>#REF!</v>
      </c>
      <c r="V1" t="str">
        <f>AND(#REF!,"AAAAAD94LhU=")</f>
        <v>#REF!</v>
      </c>
      <c r="W1" t="str">
        <f>AND(#REF!,"AAAAAD94LhY=")</f>
        <v>#REF!</v>
      </c>
      <c r="X1" t="str">
        <f>AND(#REF!,"AAAAAD94Lhc=")</f>
        <v>#REF!</v>
      </c>
      <c r="Y1" t="str">
        <f>AND(#REF!,"AAAAAD94Lhg=")</f>
        <v>#REF!</v>
      </c>
      <c r="Z1" t="str">
        <f>AND(#REF!,"AAAAAD94Lhk=")</f>
        <v>#REF!</v>
      </c>
      <c r="AA1" t="str">
        <f>AND(#REF!,"AAAAAD94Lho=")</f>
        <v>#REF!</v>
      </c>
      <c r="AB1" t="str">
        <f>AND(#REF!,"AAAAAD94Lhs=")</f>
        <v>#REF!</v>
      </c>
      <c r="AC1" t="str">
        <f>AND(#REF!,"AAAAAD94Lhw=")</f>
        <v>#REF!</v>
      </c>
      <c r="AD1" t="str">
        <f>AND(#REF!,"AAAAAD94Lh0=")</f>
        <v>#REF!</v>
      </c>
      <c r="AE1" t="str">
        <f>AND(#REF!,"AAAAAD94Lh4=")</f>
        <v>#REF!</v>
      </c>
      <c r="AF1" t="str">
        <f>AND(#REF!,"AAAAAD94Lh8=")</f>
        <v>#REF!</v>
      </c>
      <c r="AG1" t="str">
        <f>AND(#REF!,"AAAAAD94LiA=")</f>
        <v>#REF!</v>
      </c>
      <c r="AH1" t="str">
        <f>AND(#REF!,"AAAAAD94LiE=")</f>
        <v>#REF!</v>
      </c>
      <c r="AI1" t="str">
        <f>AND(#REF!,"AAAAAD94LiI=")</f>
        <v>#REF!</v>
      </c>
      <c r="AJ1" t="str">
        <f>AND(#REF!,"AAAAAD94LiM=")</f>
        <v>#REF!</v>
      </c>
      <c r="AK1" t="str">
        <f>AND(#REF!,"AAAAAD94LiQ=")</f>
        <v>#REF!</v>
      </c>
      <c r="AL1" t="str">
        <f>AND(#REF!,"AAAAAD94LiU=")</f>
        <v>#REF!</v>
      </c>
      <c r="AM1" t="str">
        <f>AND(#REF!,"AAAAAD94LiY=")</f>
        <v>#REF!</v>
      </c>
      <c r="AN1" t="str">
        <f>AND(#REF!,"AAAAAD94Lic=")</f>
        <v>#REF!</v>
      </c>
      <c r="AO1" t="str">
        <f>AND(#REF!,"AAAAAD94Lig=")</f>
        <v>#REF!</v>
      </c>
      <c r="AP1" t="str">
        <f>AND(#REF!,"AAAAAD94Lik=")</f>
        <v>#REF!</v>
      </c>
      <c r="AQ1" t="str">
        <f>AND(#REF!,"AAAAAD94Lio=")</f>
        <v>#REF!</v>
      </c>
      <c r="AR1" t="str">
        <f>AND(#REF!,"AAAAAD94Lis=")</f>
        <v>#REF!</v>
      </c>
      <c r="AS1" t="str">
        <f>AND(#REF!,"AAAAAD94Liw=")</f>
        <v>#REF!</v>
      </c>
      <c r="AT1" t="str">
        <f>AND(#REF!,"AAAAAD94Li0=")</f>
        <v>#REF!</v>
      </c>
      <c r="AU1" t="str">
        <f>AND(#REF!,"AAAAAD94Li4=")</f>
        <v>#REF!</v>
      </c>
      <c r="AV1" t="str">
        <f>AND(#REF!,"AAAAAD94Li8=")</f>
        <v>#REF!</v>
      </c>
      <c r="AW1" t="str">
        <f>AND(#REF!,"AAAAAD94LjA=")</f>
        <v>#REF!</v>
      </c>
      <c r="AX1" t="str">
        <f>AND(#REF!,"AAAAAD94LjE=")</f>
        <v>#REF!</v>
      </c>
      <c r="AY1" t="str">
        <f>AND(#REF!,"AAAAAD94LjI=")</f>
        <v>#REF!</v>
      </c>
      <c r="AZ1" t="str">
        <f>AND(#REF!,"AAAAAD94LjM=")</f>
        <v>#REF!</v>
      </c>
      <c r="BA1" t="str">
        <f>AND(#REF!,"AAAAAD94LjQ=")</f>
        <v>#REF!</v>
      </c>
      <c r="BB1" t="str">
        <f>AND(#REF!,"AAAAAD94LjU=")</f>
        <v>#REF!</v>
      </c>
      <c r="BC1" t="str">
        <f>AND(#REF!,"AAAAAD94LjY=")</f>
        <v>#REF!</v>
      </c>
      <c r="BD1" t="str">
        <f>AND(#REF!,"AAAAAD94Ljc=")</f>
        <v>#REF!</v>
      </c>
      <c r="BE1" t="str">
        <f>AND(#REF!,"AAAAAD94Ljg=")</f>
        <v>#REF!</v>
      </c>
      <c r="BF1" t="str">
        <f>AND(#REF!,"AAAAAD94Ljk=")</f>
        <v>#REF!</v>
      </c>
      <c r="BG1" t="str">
        <f>AND(#REF!,"AAAAAD94Ljo=")</f>
        <v>#REF!</v>
      </c>
      <c r="BH1" t="str">
        <f>AND(#REF!,"AAAAAD94Ljs=")</f>
        <v>#REF!</v>
      </c>
      <c r="BI1" t="str">
        <f>AND(#REF!,"AAAAAD94Ljw=")</f>
        <v>#REF!</v>
      </c>
      <c r="BJ1" t="str">
        <f>AND(#REF!,"AAAAAD94Lj0=")</f>
        <v>#REF!</v>
      </c>
      <c r="BK1" t="str">
        <f>AND(#REF!,"AAAAAD94Lj4=")</f>
        <v>#REF!</v>
      </c>
      <c r="BL1" t="str">
        <f>AND(#REF!,"AAAAAD94Lj8=")</f>
        <v>#REF!</v>
      </c>
      <c r="BM1" t="str">
        <f>AND(#REF!,"AAAAAD94LkA=")</f>
        <v>#REF!</v>
      </c>
      <c r="BN1" t="str">
        <f>AND(#REF!,"AAAAAD94LkE=")</f>
        <v>#REF!</v>
      </c>
      <c r="BO1" t="str">
        <f>AND(#REF!,"AAAAAD94LkI=")</f>
        <v>#REF!</v>
      </c>
      <c r="BP1" t="str">
        <f>AND(#REF!,"AAAAAD94LkM=")</f>
        <v>#REF!</v>
      </c>
      <c r="BQ1" t="str">
        <f>AND(#REF!,"AAAAAD94LkQ=")</f>
        <v>#REF!</v>
      </c>
      <c r="BR1" t="str">
        <f>AND(#REF!,"AAAAAD94LkU=")</f>
        <v>#REF!</v>
      </c>
      <c r="BS1" t="str">
        <f>AND(#REF!,"AAAAAD94LkY=")</f>
        <v>#REF!</v>
      </c>
      <c r="BT1" t="str">
        <f>AND(#REF!,"AAAAAD94Lkc=")</f>
        <v>#REF!</v>
      </c>
      <c r="BU1" t="str">
        <f>AND(#REF!,"AAAAAD94Lkg=")</f>
        <v>#REF!</v>
      </c>
      <c r="BV1" t="str">
        <f>AND(#REF!,"AAAAAD94Lkk=")</f>
        <v>#REF!</v>
      </c>
      <c r="BW1" t="str">
        <f>AND(#REF!,"AAAAAD94Lko=")</f>
        <v>#REF!</v>
      </c>
      <c r="BX1" t="str">
        <f>AND(#REF!,"AAAAAD94Lks=")</f>
        <v>#REF!</v>
      </c>
      <c r="BY1" t="str">
        <f>IF(#REF!,"AAAAAD94Lkw=",0)</f>
        <v>#REF!</v>
      </c>
      <c r="BZ1" t="str">
        <f>AND(#REF!,"AAAAAD94Lk0=")</f>
        <v>#REF!</v>
      </c>
      <c r="CA1" t="str">
        <f>AND(#REF!,"AAAAAD94Lk4=")</f>
        <v>#REF!</v>
      </c>
      <c r="CB1" t="str">
        <f>AND(#REF!,"AAAAAD94Lk8=")</f>
        <v>#REF!</v>
      </c>
      <c r="CC1" t="str">
        <f>AND(#REF!,"AAAAAD94LlA=")</f>
        <v>#REF!</v>
      </c>
      <c r="CD1" t="str">
        <f>AND(#REF!,"AAAAAD94LlE=")</f>
        <v>#REF!</v>
      </c>
      <c r="CE1" t="str">
        <f>AND(#REF!,"AAAAAD94LlI=")</f>
        <v>#REF!</v>
      </c>
      <c r="CF1" t="str">
        <f>AND(#REF!,"AAAAAD94LlM=")</f>
        <v>#REF!</v>
      </c>
      <c r="CG1" t="str">
        <f>AND(#REF!,"AAAAAD94LlQ=")</f>
        <v>#REF!</v>
      </c>
      <c r="CH1" t="str">
        <f>AND(#REF!,"AAAAAD94LlU=")</f>
        <v>#REF!</v>
      </c>
      <c r="CI1" t="str">
        <f>AND(#REF!,"AAAAAD94LlY=")</f>
        <v>#REF!</v>
      </c>
      <c r="CJ1" t="str">
        <f>AND(#REF!,"AAAAAD94Llc=")</f>
        <v>#REF!</v>
      </c>
      <c r="CK1" t="str">
        <f>AND(#REF!,"AAAAAD94Llg=")</f>
        <v>#REF!</v>
      </c>
      <c r="CL1" t="str">
        <f>AND(#REF!,"AAAAAD94Llk=")</f>
        <v>#REF!</v>
      </c>
      <c r="CM1" t="str">
        <f>AND(#REF!,"AAAAAD94Llo=")</f>
        <v>#REF!</v>
      </c>
      <c r="CN1" t="str">
        <f>AND(#REF!,"AAAAAD94Lls=")</f>
        <v>#REF!</v>
      </c>
      <c r="CO1" t="str">
        <f>AND(#REF!,"AAAAAD94Llw=")</f>
        <v>#REF!</v>
      </c>
      <c r="CP1" t="str">
        <f>AND(#REF!,"AAAAAD94Ll0=")</f>
        <v>#REF!</v>
      </c>
      <c r="CQ1" t="str">
        <f>AND(#REF!,"AAAAAD94Ll4=")</f>
        <v>#REF!</v>
      </c>
      <c r="CR1" t="str">
        <f>AND(#REF!,"AAAAAD94Ll8=")</f>
        <v>#REF!</v>
      </c>
      <c r="CS1" t="str">
        <f>AND(#REF!,"AAAAAD94LmA=")</f>
        <v>#REF!</v>
      </c>
      <c r="CT1" t="str">
        <f>AND(#REF!,"AAAAAD94LmE=")</f>
        <v>#REF!</v>
      </c>
      <c r="CU1" t="str">
        <f>AND(#REF!,"AAAAAD94LmI=")</f>
        <v>#REF!</v>
      </c>
      <c r="CV1" t="str">
        <f>AND(#REF!,"AAAAAD94LmM=")</f>
        <v>#REF!</v>
      </c>
      <c r="CW1" t="str">
        <f>AND(#REF!,"AAAAAD94LmQ=")</f>
        <v>#REF!</v>
      </c>
      <c r="CX1" t="str">
        <f>AND(#REF!,"AAAAAD94LmU=")</f>
        <v>#REF!</v>
      </c>
      <c r="CY1" t="str">
        <f>AND(#REF!,"AAAAAD94LmY=")</f>
        <v>#REF!</v>
      </c>
      <c r="CZ1" t="str">
        <f>AND(#REF!,"AAAAAD94Lmc=")</f>
        <v>#REF!</v>
      </c>
      <c r="DA1" t="str">
        <f>AND(#REF!,"AAAAAD94Lmg=")</f>
        <v>#REF!</v>
      </c>
      <c r="DB1" t="str">
        <f>AND(#REF!,"AAAAAD94Lmk=")</f>
        <v>#REF!</v>
      </c>
      <c r="DC1" t="str">
        <f>AND(#REF!,"AAAAAD94Lmo=")</f>
        <v>#REF!</v>
      </c>
      <c r="DD1" t="str">
        <f>AND(#REF!,"AAAAAD94Lms=")</f>
        <v>#REF!</v>
      </c>
      <c r="DE1" t="str">
        <f>AND(#REF!,"AAAAAD94Lmw=")</f>
        <v>#REF!</v>
      </c>
      <c r="DF1" t="str">
        <f>AND(#REF!,"AAAAAD94Lm0=")</f>
        <v>#REF!</v>
      </c>
      <c r="DG1" t="str">
        <f>AND(#REF!,"AAAAAD94Lm4=")</f>
        <v>#REF!</v>
      </c>
      <c r="DH1" t="str">
        <f>AND(#REF!,"AAAAAD94Lm8=")</f>
        <v>#REF!</v>
      </c>
      <c r="DI1" t="str">
        <f>AND(#REF!,"AAAAAD94LnA=")</f>
        <v>#REF!</v>
      </c>
      <c r="DJ1" t="str">
        <f>AND(#REF!,"AAAAAD94LnE=")</f>
        <v>#REF!</v>
      </c>
      <c r="DK1" t="str">
        <f>AND(#REF!,"AAAAAD94LnI=")</f>
        <v>#REF!</v>
      </c>
      <c r="DL1" t="str">
        <f>AND(#REF!,"AAAAAD94LnM=")</f>
        <v>#REF!</v>
      </c>
      <c r="DM1" t="str">
        <f>AND(#REF!,"AAAAAD94LnQ=")</f>
        <v>#REF!</v>
      </c>
      <c r="DN1" t="str">
        <f>AND(#REF!,"AAAAAD94LnU=")</f>
        <v>#REF!</v>
      </c>
      <c r="DO1" t="str">
        <f>AND(#REF!,"AAAAAD94LnY=")</f>
        <v>#REF!</v>
      </c>
      <c r="DP1" t="str">
        <f>AND(#REF!,"AAAAAD94Lnc=")</f>
        <v>#REF!</v>
      </c>
      <c r="DQ1" t="str">
        <f>AND(#REF!,"AAAAAD94Lng=")</f>
        <v>#REF!</v>
      </c>
      <c r="DR1" t="str">
        <f>AND(#REF!,"AAAAAD94Lnk=")</f>
        <v>#REF!</v>
      </c>
      <c r="DS1" t="str">
        <f>AND(#REF!,"AAAAAD94Lno=")</f>
        <v>#REF!</v>
      </c>
      <c r="DT1" t="str">
        <f>AND(#REF!,"AAAAAD94Lns=")</f>
        <v>#REF!</v>
      </c>
      <c r="DU1" t="str">
        <f>AND(#REF!,"AAAAAD94Lnw=")</f>
        <v>#REF!</v>
      </c>
      <c r="DV1" t="str">
        <f>AND(#REF!,"AAAAAD94Ln0=")</f>
        <v>#REF!</v>
      </c>
      <c r="DW1" t="str">
        <f>AND(#REF!,"AAAAAD94Ln4=")</f>
        <v>#REF!</v>
      </c>
      <c r="DX1" t="str">
        <f>AND(#REF!,"AAAAAD94Ln8=")</f>
        <v>#REF!</v>
      </c>
      <c r="DY1" t="str">
        <f>AND(#REF!,"AAAAAD94LoA=")</f>
        <v>#REF!</v>
      </c>
      <c r="DZ1" t="str">
        <f>AND(#REF!,"AAAAAD94LoE=")</f>
        <v>#REF!</v>
      </c>
      <c r="EA1" t="str">
        <f>AND(#REF!,"AAAAAD94LoI=")</f>
        <v>#REF!</v>
      </c>
      <c r="EB1" t="str">
        <f>AND(#REF!,"AAAAAD94LoM=")</f>
        <v>#REF!</v>
      </c>
      <c r="EC1" t="str">
        <f>AND(#REF!,"AAAAAD94LoQ=")</f>
        <v>#REF!</v>
      </c>
      <c r="ED1" t="str">
        <f>AND(#REF!,"AAAAAD94LoU=")</f>
        <v>#REF!</v>
      </c>
      <c r="EE1" t="str">
        <f>AND(#REF!,"AAAAAD94LoY=")</f>
        <v>#REF!</v>
      </c>
      <c r="EF1" t="str">
        <f>AND(#REF!,"AAAAAD94Loc=")</f>
        <v>#REF!</v>
      </c>
      <c r="EG1" t="str">
        <f>AND(#REF!,"AAAAAD94Log=")</f>
        <v>#REF!</v>
      </c>
      <c r="EH1" t="str">
        <f>AND(#REF!,"AAAAAD94Lok=")</f>
        <v>#REF!</v>
      </c>
      <c r="EI1" t="str">
        <f>AND(#REF!,"AAAAAD94Loo=")</f>
        <v>#REF!</v>
      </c>
      <c r="EJ1" t="str">
        <f>AND(#REF!,"AAAAAD94Los=")</f>
        <v>#REF!</v>
      </c>
      <c r="EK1" t="str">
        <f>AND(#REF!,"AAAAAD94Low=")</f>
        <v>#REF!</v>
      </c>
      <c r="EL1" t="str">
        <f>AND(#REF!,"AAAAAD94Lo0=")</f>
        <v>#REF!</v>
      </c>
      <c r="EM1" t="str">
        <f>AND(#REF!,"AAAAAD94Lo4=")</f>
        <v>#REF!</v>
      </c>
      <c r="EN1" t="str">
        <f>AND(#REF!,"AAAAAD94Lo8=")</f>
        <v>#REF!</v>
      </c>
      <c r="EO1" t="str">
        <f>AND(#REF!,"AAAAAD94LpA=")</f>
        <v>#REF!</v>
      </c>
      <c r="EP1" t="str">
        <f>AND(#REF!,"AAAAAD94LpE=")</f>
        <v>#REF!</v>
      </c>
      <c r="EQ1" t="str">
        <f>AND(#REF!,"AAAAAD94LpI=")</f>
        <v>#REF!</v>
      </c>
      <c r="ER1" t="str">
        <f>AND(#REF!,"AAAAAD94LpM=")</f>
        <v>#REF!</v>
      </c>
      <c r="ES1" t="str">
        <f>AND(#REF!,"AAAAAD94LpQ=")</f>
        <v>#REF!</v>
      </c>
      <c r="ET1" t="str">
        <f>AND(#REF!,"AAAAAD94LpU=")</f>
        <v>#REF!</v>
      </c>
      <c r="EU1" t="str">
        <f>AND(#REF!,"AAAAAD94LpY=")</f>
        <v>#REF!</v>
      </c>
      <c r="EV1" t="str">
        <f>AND(#REF!,"AAAAAD94Lpc=")</f>
        <v>#REF!</v>
      </c>
      <c r="EW1" t="str">
        <f>IF(#REF!,"AAAAAD94Lpg=",0)</f>
        <v>#REF!</v>
      </c>
      <c r="EX1" t="str">
        <f>AND(#REF!,"AAAAAD94Lpk=")</f>
        <v>#REF!</v>
      </c>
      <c r="EY1" t="str">
        <f>AND(#REF!,"AAAAAD94Lpo=")</f>
        <v>#REF!</v>
      </c>
      <c r="EZ1" t="str">
        <f>AND(#REF!,"AAAAAD94Lps=")</f>
        <v>#REF!</v>
      </c>
      <c r="FA1" t="str">
        <f>AND(#REF!,"AAAAAD94Lpw=")</f>
        <v>#REF!</v>
      </c>
      <c r="FB1" t="str">
        <f>AND(#REF!,"AAAAAD94Lp0=")</f>
        <v>#REF!</v>
      </c>
      <c r="FC1" t="str">
        <f>AND(#REF!,"AAAAAD94Lp4=")</f>
        <v>#REF!</v>
      </c>
      <c r="FD1" t="str">
        <f>AND(#REF!,"AAAAAD94Lp8=")</f>
        <v>#REF!</v>
      </c>
      <c r="FE1" t="str">
        <f>AND(#REF!,"AAAAAD94LqA=")</f>
        <v>#REF!</v>
      </c>
      <c r="FF1" t="str">
        <f>AND(#REF!,"AAAAAD94LqE=")</f>
        <v>#REF!</v>
      </c>
      <c r="FG1" t="str">
        <f>AND(#REF!,"AAAAAD94LqI=")</f>
        <v>#REF!</v>
      </c>
      <c r="FH1" t="str">
        <f>AND(#REF!,"AAAAAD94LqM=")</f>
        <v>#REF!</v>
      </c>
      <c r="FI1" t="str">
        <f>AND(#REF!,"AAAAAD94LqQ=")</f>
        <v>#REF!</v>
      </c>
      <c r="FJ1" t="str">
        <f>AND(#REF!,"AAAAAD94LqU=")</f>
        <v>#REF!</v>
      </c>
      <c r="FK1" t="str">
        <f>AND(#REF!,"AAAAAD94LqY=")</f>
        <v>#REF!</v>
      </c>
      <c r="FL1" t="str">
        <f>AND(#REF!,"AAAAAD94Lqc=")</f>
        <v>#REF!</v>
      </c>
      <c r="FM1" t="str">
        <f>AND(#REF!,"AAAAAD94Lqg=")</f>
        <v>#REF!</v>
      </c>
      <c r="FN1" t="str">
        <f>AND(#REF!,"AAAAAD94Lqk=")</f>
        <v>#REF!</v>
      </c>
      <c r="FO1" t="str">
        <f>AND(#REF!,"AAAAAD94Lqo=")</f>
        <v>#REF!</v>
      </c>
      <c r="FP1" t="str">
        <f>AND(#REF!,"AAAAAD94Lqs=")</f>
        <v>#REF!</v>
      </c>
      <c r="FQ1" t="str">
        <f>AND(#REF!,"AAAAAD94Lqw=")</f>
        <v>#REF!</v>
      </c>
      <c r="FR1" t="str">
        <f>AND(#REF!,"AAAAAD94Lq0=")</f>
        <v>#REF!</v>
      </c>
      <c r="FS1" t="str">
        <f>AND(#REF!,"AAAAAD94Lq4=")</f>
        <v>#REF!</v>
      </c>
      <c r="FT1" t="str">
        <f>AND(#REF!,"AAAAAD94Lq8=")</f>
        <v>#REF!</v>
      </c>
      <c r="FU1" t="str">
        <f>AND(#REF!,"AAAAAD94LrA=")</f>
        <v>#REF!</v>
      </c>
      <c r="FV1" t="str">
        <f>AND(#REF!,"AAAAAD94LrE=")</f>
        <v>#REF!</v>
      </c>
      <c r="FW1" t="str">
        <f>AND(#REF!,"AAAAAD94LrI=")</f>
        <v>#REF!</v>
      </c>
      <c r="FX1" t="str">
        <f>AND(#REF!,"AAAAAD94LrM=")</f>
        <v>#REF!</v>
      </c>
      <c r="FY1" t="str">
        <f>AND(#REF!,"AAAAAD94LrQ=")</f>
        <v>#REF!</v>
      </c>
      <c r="FZ1" t="str">
        <f>AND(#REF!,"AAAAAD94LrU=")</f>
        <v>#REF!</v>
      </c>
      <c r="GA1" t="str">
        <f>AND(#REF!,"AAAAAD94LrY=")</f>
        <v>#REF!</v>
      </c>
      <c r="GB1" t="str">
        <f>AND(#REF!,"AAAAAD94Lrc=")</f>
        <v>#REF!</v>
      </c>
      <c r="GC1" t="str">
        <f>AND(#REF!,"AAAAAD94Lrg=")</f>
        <v>#REF!</v>
      </c>
      <c r="GD1" t="str">
        <f>AND(#REF!,"AAAAAD94Lrk=")</f>
        <v>#REF!</v>
      </c>
      <c r="GE1" t="str">
        <f>AND(#REF!,"AAAAAD94Lro=")</f>
        <v>#REF!</v>
      </c>
      <c r="GF1" t="str">
        <f>AND(#REF!,"AAAAAD94Lrs=")</f>
        <v>#REF!</v>
      </c>
      <c r="GG1" t="str">
        <f>AND(#REF!,"AAAAAD94Lrw=")</f>
        <v>#REF!</v>
      </c>
      <c r="GH1" t="str">
        <f>AND(#REF!,"AAAAAD94Lr0=")</f>
        <v>#REF!</v>
      </c>
      <c r="GI1" t="str">
        <f>AND(#REF!,"AAAAAD94Lr4=")</f>
        <v>#REF!</v>
      </c>
      <c r="GJ1" t="str">
        <f>AND(#REF!,"AAAAAD94Lr8=")</f>
        <v>#REF!</v>
      </c>
      <c r="GK1" t="str">
        <f>AND(#REF!,"AAAAAD94LsA=")</f>
        <v>#REF!</v>
      </c>
      <c r="GL1" t="str">
        <f>AND(#REF!,"AAAAAD94LsE=")</f>
        <v>#REF!</v>
      </c>
      <c r="GM1" t="str">
        <f>AND(#REF!,"AAAAAD94LsI=")</f>
        <v>#REF!</v>
      </c>
      <c r="GN1" t="str">
        <f>AND(#REF!,"AAAAAD94LsM=")</f>
        <v>#REF!</v>
      </c>
      <c r="GO1" t="str">
        <f>AND(#REF!,"AAAAAD94LsQ=")</f>
        <v>#REF!</v>
      </c>
      <c r="GP1" t="str">
        <f>AND(#REF!,"AAAAAD94LsU=")</f>
        <v>#REF!</v>
      </c>
      <c r="GQ1" t="str">
        <f>AND(#REF!,"AAAAAD94LsY=")</f>
        <v>#REF!</v>
      </c>
      <c r="GR1" t="str">
        <f>AND(#REF!,"AAAAAD94Lsc=")</f>
        <v>#REF!</v>
      </c>
      <c r="GS1" t="str">
        <f>AND(#REF!,"AAAAAD94Lsg=")</f>
        <v>#REF!</v>
      </c>
      <c r="GT1" t="str">
        <f>AND(#REF!,"AAAAAD94Lsk=")</f>
        <v>#REF!</v>
      </c>
      <c r="GU1" t="str">
        <f>AND(#REF!,"AAAAAD94Lso=")</f>
        <v>#REF!</v>
      </c>
      <c r="GV1" t="str">
        <f>AND(#REF!,"AAAAAD94Lss=")</f>
        <v>#REF!</v>
      </c>
      <c r="GW1" t="str">
        <f>AND(#REF!,"AAAAAD94Lsw=")</f>
        <v>#REF!</v>
      </c>
      <c r="GX1" t="str">
        <f>AND(#REF!,"AAAAAD94Ls0=")</f>
        <v>#REF!</v>
      </c>
      <c r="GY1" t="str">
        <f>AND(#REF!,"AAAAAD94Ls4=")</f>
        <v>#REF!</v>
      </c>
      <c r="GZ1" t="str">
        <f>AND(#REF!,"AAAAAD94Ls8=")</f>
        <v>#REF!</v>
      </c>
      <c r="HA1" t="str">
        <f>AND(#REF!,"AAAAAD94LtA=")</f>
        <v>#REF!</v>
      </c>
      <c r="HB1" t="str">
        <f>AND(#REF!,"AAAAAD94LtE=")</f>
        <v>#REF!</v>
      </c>
      <c r="HC1" t="str">
        <f>AND(#REF!,"AAAAAD94LtI=")</f>
        <v>#REF!</v>
      </c>
      <c r="HD1" t="str">
        <f>AND(#REF!,"AAAAAD94LtM=")</f>
        <v>#REF!</v>
      </c>
      <c r="HE1" t="str">
        <f>AND(#REF!,"AAAAAD94LtQ=")</f>
        <v>#REF!</v>
      </c>
      <c r="HF1" t="str">
        <f>AND(#REF!,"AAAAAD94LtU=")</f>
        <v>#REF!</v>
      </c>
      <c r="HG1" t="str">
        <f>AND(#REF!,"AAAAAD94LtY=")</f>
        <v>#REF!</v>
      </c>
      <c r="HH1" t="str">
        <f>AND(#REF!,"AAAAAD94Ltc=")</f>
        <v>#REF!</v>
      </c>
      <c r="HI1" t="str">
        <f>AND(#REF!,"AAAAAD94Ltg=")</f>
        <v>#REF!</v>
      </c>
      <c r="HJ1" t="str">
        <f>AND(#REF!,"AAAAAD94Ltk=")</f>
        <v>#REF!</v>
      </c>
      <c r="HK1" t="str">
        <f>AND(#REF!,"AAAAAD94Lto=")</f>
        <v>#REF!</v>
      </c>
      <c r="HL1" t="str">
        <f>AND(#REF!,"AAAAAD94Lts=")</f>
        <v>#REF!</v>
      </c>
      <c r="HM1" t="str">
        <f>AND(#REF!,"AAAAAD94Ltw=")</f>
        <v>#REF!</v>
      </c>
      <c r="HN1" t="str">
        <f>AND(#REF!,"AAAAAD94Lt0=")</f>
        <v>#REF!</v>
      </c>
      <c r="HO1" t="str">
        <f>AND(#REF!,"AAAAAD94Lt4=")</f>
        <v>#REF!</v>
      </c>
      <c r="HP1" t="str">
        <f>AND(#REF!,"AAAAAD94Lt8=")</f>
        <v>#REF!</v>
      </c>
      <c r="HQ1" t="str">
        <f>AND(#REF!,"AAAAAD94LuA=")</f>
        <v>#REF!</v>
      </c>
      <c r="HR1" t="str">
        <f>AND(#REF!,"AAAAAD94LuE=")</f>
        <v>#REF!</v>
      </c>
      <c r="HS1" t="str">
        <f>AND(#REF!,"AAAAAD94LuI=")</f>
        <v>#REF!</v>
      </c>
      <c r="HT1" t="str">
        <f>AND(#REF!,"AAAAAD94LuM=")</f>
        <v>#REF!</v>
      </c>
      <c r="HU1" t="str">
        <f>IF(#REF!,"AAAAAD94LuQ=",0)</f>
        <v>#REF!</v>
      </c>
      <c r="HV1" t="str">
        <f>AND(#REF!,"AAAAAD94LuU=")</f>
        <v>#REF!</v>
      </c>
      <c r="HW1" t="str">
        <f>AND(#REF!,"AAAAAD94LuY=")</f>
        <v>#REF!</v>
      </c>
      <c r="HX1" t="str">
        <f>AND(#REF!,"AAAAAD94Luc=")</f>
        <v>#REF!</v>
      </c>
      <c r="HY1" t="str">
        <f>AND(#REF!,"AAAAAD94Lug=")</f>
        <v>#REF!</v>
      </c>
      <c r="HZ1" t="str">
        <f>AND(#REF!,"AAAAAD94Luk=")</f>
        <v>#REF!</v>
      </c>
      <c r="IA1" t="str">
        <f>AND(#REF!,"AAAAAD94Luo=")</f>
        <v>#REF!</v>
      </c>
      <c r="IB1" t="str">
        <f>AND(#REF!,"AAAAAD94Lus=")</f>
        <v>#REF!</v>
      </c>
      <c r="IC1" t="str">
        <f>AND(#REF!,"AAAAAD94Luw=")</f>
        <v>#REF!</v>
      </c>
      <c r="ID1" t="str">
        <f>AND(#REF!,"AAAAAD94Lu0=")</f>
        <v>#REF!</v>
      </c>
      <c r="IE1" t="str">
        <f>AND(#REF!,"AAAAAD94Lu4=")</f>
        <v>#REF!</v>
      </c>
      <c r="IF1" t="str">
        <f>AND(#REF!,"AAAAAD94Lu8=")</f>
        <v>#REF!</v>
      </c>
      <c r="IG1" t="str">
        <f>AND(#REF!,"AAAAAD94LvA=")</f>
        <v>#REF!</v>
      </c>
      <c r="IH1" t="str">
        <f>AND(#REF!,"AAAAAD94LvE=")</f>
        <v>#REF!</v>
      </c>
      <c r="II1" t="str">
        <f>AND(#REF!,"AAAAAD94LvI=")</f>
        <v>#REF!</v>
      </c>
      <c r="IJ1" t="str">
        <f>AND(#REF!,"AAAAAD94LvM=")</f>
        <v>#REF!</v>
      </c>
      <c r="IK1" t="str">
        <f>AND(#REF!,"AAAAAD94LvQ=")</f>
        <v>#REF!</v>
      </c>
      <c r="IL1" t="str">
        <f>AND(#REF!,"AAAAAD94LvU=")</f>
        <v>#REF!</v>
      </c>
      <c r="IM1" t="str">
        <f>AND(#REF!,"AAAAAD94LvY=")</f>
        <v>#REF!</v>
      </c>
      <c r="IN1" t="str">
        <f>AND(#REF!,"AAAAAD94Lvc=")</f>
        <v>#REF!</v>
      </c>
      <c r="IO1" t="str">
        <f>AND(#REF!,"AAAAAD94Lvg=")</f>
        <v>#REF!</v>
      </c>
      <c r="IP1" t="str">
        <f>AND(#REF!,"AAAAAD94Lvk=")</f>
        <v>#REF!</v>
      </c>
      <c r="IQ1" t="str">
        <f>AND(#REF!,"AAAAAD94Lvo=")</f>
        <v>#REF!</v>
      </c>
      <c r="IR1" t="str">
        <f>AND(#REF!,"AAAAAD94Lvs=")</f>
        <v>#REF!</v>
      </c>
      <c r="IS1" t="str">
        <f>AND(#REF!,"AAAAAD94Lvw=")</f>
        <v>#REF!</v>
      </c>
      <c r="IT1" t="str">
        <f>AND(#REF!,"AAAAAD94Lv0=")</f>
        <v>#REF!</v>
      </c>
      <c r="IU1" t="str">
        <f>AND(#REF!,"AAAAAD94Lv4=")</f>
        <v>#REF!</v>
      </c>
      <c r="IV1" t="str">
        <f>AND(#REF!,"AAAAAD94Lv8=")</f>
        <v>#REF!</v>
      </c>
    </row>
    <row r="2">
      <c r="A2" t="str">
        <f>AND(#REF!,"AAAAAH97/QA=")</f>
        <v>#REF!</v>
      </c>
      <c r="B2" t="str">
        <f>AND(#REF!,"AAAAAH97/QE=")</f>
        <v>#REF!</v>
      </c>
      <c r="C2" t="str">
        <f>AND(#REF!,"AAAAAH97/QI=")</f>
        <v>#REF!</v>
      </c>
      <c r="D2" t="str">
        <f>AND(#REF!,"AAAAAH97/QM=")</f>
        <v>#REF!</v>
      </c>
      <c r="E2" t="str">
        <f>AND(#REF!,"AAAAAH97/QQ=")</f>
        <v>#REF!</v>
      </c>
      <c r="F2" t="str">
        <f>AND(#REF!,"AAAAAH97/QU=")</f>
        <v>#REF!</v>
      </c>
      <c r="G2" t="str">
        <f>AND(#REF!,"AAAAAH97/QY=")</f>
        <v>#REF!</v>
      </c>
      <c r="H2" t="str">
        <f>AND(#REF!,"AAAAAH97/Qc=")</f>
        <v>#REF!</v>
      </c>
      <c r="I2" t="str">
        <f>AND(#REF!,"AAAAAH97/Qg=")</f>
        <v>#REF!</v>
      </c>
      <c r="J2" t="str">
        <f>AND(#REF!,"AAAAAH97/Qk=")</f>
        <v>#REF!</v>
      </c>
      <c r="K2" t="str">
        <f>AND(#REF!,"AAAAAH97/Qo=")</f>
        <v>#REF!</v>
      </c>
      <c r="L2" t="str">
        <f>AND(#REF!,"AAAAAH97/Qs=")</f>
        <v>#REF!</v>
      </c>
      <c r="M2" t="str">
        <f>AND(#REF!,"AAAAAH97/Qw=")</f>
        <v>#REF!</v>
      </c>
      <c r="N2" t="str">
        <f>AND(#REF!,"AAAAAH97/Q0=")</f>
        <v>#REF!</v>
      </c>
      <c r="O2" t="str">
        <f>AND(#REF!,"AAAAAH97/Q4=")</f>
        <v>#REF!</v>
      </c>
      <c r="P2" t="str">
        <f>AND(#REF!,"AAAAAH97/Q8=")</f>
        <v>#REF!</v>
      </c>
      <c r="Q2" t="str">
        <f>AND(#REF!,"AAAAAH97/RA=")</f>
        <v>#REF!</v>
      </c>
      <c r="R2" t="str">
        <f>AND(#REF!,"AAAAAH97/RE=")</f>
        <v>#REF!</v>
      </c>
      <c r="S2" t="str">
        <f>AND(#REF!,"AAAAAH97/RI=")</f>
        <v>#REF!</v>
      </c>
      <c r="T2" t="str">
        <f>AND(#REF!,"AAAAAH97/RM=")</f>
        <v>#REF!</v>
      </c>
      <c r="U2" t="str">
        <f>AND(#REF!,"AAAAAH97/RQ=")</f>
        <v>#REF!</v>
      </c>
      <c r="V2" t="str">
        <f>AND(#REF!,"AAAAAH97/RU=")</f>
        <v>#REF!</v>
      </c>
      <c r="W2" t="str">
        <f>AND(#REF!,"AAAAAH97/RY=")</f>
        <v>#REF!</v>
      </c>
      <c r="X2" t="str">
        <f>AND(#REF!,"AAAAAH97/Rc=")</f>
        <v>#REF!</v>
      </c>
      <c r="Y2" t="str">
        <f>AND(#REF!,"AAAAAH97/Rg=")</f>
        <v>#REF!</v>
      </c>
      <c r="Z2" t="str">
        <f>AND(#REF!,"AAAAAH97/Rk=")</f>
        <v>#REF!</v>
      </c>
      <c r="AA2" t="str">
        <f>AND(#REF!,"AAAAAH97/Ro=")</f>
        <v>#REF!</v>
      </c>
      <c r="AB2" t="str">
        <f>AND(#REF!,"AAAAAH97/Rs=")</f>
        <v>#REF!</v>
      </c>
      <c r="AC2" t="str">
        <f>AND(#REF!,"AAAAAH97/Rw=")</f>
        <v>#REF!</v>
      </c>
      <c r="AD2" t="str">
        <f>AND(#REF!,"AAAAAH97/R0=")</f>
        <v>#REF!</v>
      </c>
      <c r="AE2" t="str">
        <f>AND(#REF!,"AAAAAH97/R4=")</f>
        <v>#REF!</v>
      </c>
      <c r="AF2" t="str">
        <f>AND(#REF!,"AAAAAH97/R8=")</f>
        <v>#REF!</v>
      </c>
      <c r="AG2" t="str">
        <f>AND(#REF!,"AAAAAH97/SA=")</f>
        <v>#REF!</v>
      </c>
      <c r="AH2" t="str">
        <f>AND(#REF!,"AAAAAH97/SE=")</f>
        <v>#REF!</v>
      </c>
      <c r="AI2" t="str">
        <f>AND(#REF!,"AAAAAH97/SI=")</f>
        <v>#REF!</v>
      </c>
      <c r="AJ2" t="str">
        <f>AND(#REF!,"AAAAAH97/SM=")</f>
        <v>#REF!</v>
      </c>
      <c r="AK2" t="str">
        <f>AND(#REF!,"AAAAAH97/SQ=")</f>
        <v>#REF!</v>
      </c>
      <c r="AL2" t="str">
        <f>AND(#REF!,"AAAAAH97/SU=")</f>
        <v>#REF!</v>
      </c>
      <c r="AM2" t="str">
        <f>AND(#REF!,"AAAAAH97/SY=")</f>
        <v>#REF!</v>
      </c>
      <c r="AN2" t="str">
        <f>AND(#REF!,"AAAAAH97/Sc=")</f>
        <v>#REF!</v>
      </c>
      <c r="AO2" t="str">
        <f>AND(#REF!,"AAAAAH97/Sg=")</f>
        <v>#REF!</v>
      </c>
      <c r="AP2" t="str">
        <f>AND(#REF!,"AAAAAH97/Sk=")</f>
        <v>#REF!</v>
      </c>
      <c r="AQ2" t="str">
        <f>AND(#REF!,"AAAAAH97/So=")</f>
        <v>#REF!</v>
      </c>
      <c r="AR2" t="str">
        <f>AND(#REF!,"AAAAAH97/Ss=")</f>
        <v>#REF!</v>
      </c>
      <c r="AS2" t="str">
        <f>AND(#REF!,"AAAAAH97/Sw=")</f>
        <v>#REF!</v>
      </c>
      <c r="AT2" t="str">
        <f>AND(#REF!,"AAAAAH97/S0=")</f>
        <v>#REF!</v>
      </c>
      <c r="AU2" t="str">
        <f>AND(#REF!,"AAAAAH97/S4=")</f>
        <v>#REF!</v>
      </c>
      <c r="AV2" t="str">
        <f>AND(#REF!,"AAAAAH97/S8=")</f>
        <v>#REF!</v>
      </c>
      <c r="AW2" t="str">
        <f>IF(#REF!,"AAAAAH97/TA=",0)</f>
        <v>#REF!</v>
      </c>
      <c r="AX2" t="str">
        <f>AND(#REF!,"AAAAAH97/TE=")</f>
        <v>#REF!</v>
      </c>
      <c r="AY2" t="str">
        <f>AND(#REF!,"AAAAAH97/TI=")</f>
        <v>#REF!</v>
      </c>
      <c r="AZ2" t="str">
        <f>AND(#REF!,"AAAAAH97/TM=")</f>
        <v>#REF!</v>
      </c>
      <c r="BA2" t="str">
        <f>AND(#REF!,"AAAAAH97/TQ=")</f>
        <v>#REF!</v>
      </c>
      <c r="BB2" t="str">
        <f>AND(#REF!,"AAAAAH97/TU=")</f>
        <v>#REF!</v>
      </c>
      <c r="BC2" t="str">
        <f>AND(#REF!,"AAAAAH97/TY=")</f>
        <v>#REF!</v>
      </c>
      <c r="BD2" t="str">
        <f>AND(#REF!,"AAAAAH97/Tc=")</f>
        <v>#REF!</v>
      </c>
      <c r="BE2" t="str">
        <f>AND(#REF!,"AAAAAH97/Tg=")</f>
        <v>#REF!</v>
      </c>
      <c r="BF2" t="str">
        <f>AND(#REF!,"AAAAAH97/Tk=")</f>
        <v>#REF!</v>
      </c>
      <c r="BG2" t="str">
        <f>AND(#REF!,"AAAAAH97/To=")</f>
        <v>#REF!</v>
      </c>
      <c r="BH2" t="str">
        <f>AND(#REF!,"AAAAAH97/Ts=")</f>
        <v>#REF!</v>
      </c>
      <c r="BI2" t="str">
        <f>AND(#REF!,"AAAAAH97/Tw=")</f>
        <v>#REF!</v>
      </c>
      <c r="BJ2" t="str">
        <f>AND(#REF!,"AAAAAH97/T0=")</f>
        <v>#REF!</v>
      </c>
      <c r="BK2" t="str">
        <f>AND(#REF!,"AAAAAH97/T4=")</f>
        <v>#REF!</v>
      </c>
      <c r="BL2" t="str">
        <f>AND(#REF!,"AAAAAH97/T8=")</f>
        <v>#REF!</v>
      </c>
      <c r="BM2" t="str">
        <f>AND(#REF!,"AAAAAH97/UA=")</f>
        <v>#REF!</v>
      </c>
      <c r="BN2" t="str">
        <f>AND(#REF!,"AAAAAH97/UE=")</f>
        <v>#REF!</v>
      </c>
      <c r="BO2" t="str">
        <f>AND(#REF!,"AAAAAH97/UI=")</f>
        <v>#REF!</v>
      </c>
      <c r="BP2" t="str">
        <f>AND(#REF!,"AAAAAH97/UM=")</f>
        <v>#REF!</v>
      </c>
      <c r="BQ2" t="str">
        <f>AND(#REF!,"AAAAAH97/UQ=")</f>
        <v>#REF!</v>
      </c>
      <c r="BR2" t="str">
        <f>AND(#REF!,"AAAAAH97/UU=")</f>
        <v>#REF!</v>
      </c>
      <c r="BS2" t="str">
        <f>AND(#REF!,"AAAAAH97/UY=")</f>
        <v>#REF!</v>
      </c>
      <c r="BT2" t="str">
        <f>AND(#REF!,"AAAAAH97/Uc=")</f>
        <v>#REF!</v>
      </c>
      <c r="BU2" t="str">
        <f>AND(#REF!,"AAAAAH97/Ug=")</f>
        <v>#REF!</v>
      </c>
      <c r="BV2" t="str">
        <f>AND(#REF!,"AAAAAH97/Uk=")</f>
        <v>#REF!</v>
      </c>
      <c r="BW2" t="str">
        <f>AND(#REF!,"AAAAAH97/Uo=")</f>
        <v>#REF!</v>
      </c>
      <c r="BX2" t="str">
        <f>AND(#REF!,"AAAAAH97/Us=")</f>
        <v>#REF!</v>
      </c>
      <c r="BY2" t="str">
        <f>AND(#REF!,"AAAAAH97/Uw=")</f>
        <v>#REF!</v>
      </c>
      <c r="BZ2" t="str">
        <f>AND(#REF!,"AAAAAH97/U0=")</f>
        <v>#REF!</v>
      </c>
      <c r="CA2" t="str">
        <f>AND(#REF!,"AAAAAH97/U4=")</f>
        <v>#REF!</v>
      </c>
      <c r="CB2" t="str">
        <f>AND(#REF!,"AAAAAH97/U8=")</f>
        <v>#REF!</v>
      </c>
      <c r="CC2" t="str">
        <f>AND(#REF!,"AAAAAH97/VA=")</f>
        <v>#REF!</v>
      </c>
      <c r="CD2" t="str">
        <f>AND(#REF!,"AAAAAH97/VE=")</f>
        <v>#REF!</v>
      </c>
      <c r="CE2" t="str">
        <f>AND(#REF!,"AAAAAH97/VI=")</f>
        <v>#REF!</v>
      </c>
      <c r="CF2" t="str">
        <f>AND(#REF!,"AAAAAH97/VM=")</f>
        <v>#REF!</v>
      </c>
      <c r="CG2" t="str">
        <f>AND(#REF!,"AAAAAH97/VQ=")</f>
        <v>#REF!</v>
      </c>
      <c r="CH2" t="str">
        <f>AND(#REF!,"AAAAAH97/VU=")</f>
        <v>#REF!</v>
      </c>
      <c r="CI2" t="str">
        <f>AND(#REF!,"AAAAAH97/VY=")</f>
        <v>#REF!</v>
      </c>
      <c r="CJ2" t="str">
        <f>AND(#REF!,"AAAAAH97/Vc=")</f>
        <v>#REF!</v>
      </c>
      <c r="CK2" t="str">
        <f>AND(#REF!,"AAAAAH97/Vg=")</f>
        <v>#REF!</v>
      </c>
      <c r="CL2" t="str">
        <f>AND(#REF!,"AAAAAH97/Vk=")</f>
        <v>#REF!</v>
      </c>
      <c r="CM2" t="str">
        <f>AND(#REF!,"AAAAAH97/Vo=")</f>
        <v>#REF!</v>
      </c>
      <c r="CN2" t="str">
        <f>AND(#REF!,"AAAAAH97/Vs=")</f>
        <v>#REF!</v>
      </c>
      <c r="CO2" t="str">
        <f>AND(#REF!,"AAAAAH97/Vw=")</f>
        <v>#REF!</v>
      </c>
      <c r="CP2" t="str">
        <f>AND(#REF!,"AAAAAH97/V0=")</f>
        <v>#REF!</v>
      </c>
      <c r="CQ2" t="str">
        <f>AND(#REF!,"AAAAAH97/V4=")</f>
        <v>#REF!</v>
      </c>
      <c r="CR2" t="str">
        <f>AND(#REF!,"AAAAAH97/V8=")</f>
        <v>#REF!</v>
      </c>
      <c r="CS2" t="str">
        <f>AND(#REF!,"AAAAAH97/WA=")</f>
        <v>#REF!</v>
      </c>
      <c r="CT2" t="str">
        <f>AND(#REF!,"AAAAAH97/WE=")</f>
        <v>#REF!</v>
      </c>
      <c r="CU2" t="str">
        <f>AND(#REF!,"AAAAAH97/WI=")</f>
        <v>#REF!</v>
      </c>
      <c r="CV2" t="str">
        <f>AND(#REF!,"AAAAAH97/WM=")</f>
        <v>#REF!</v>
      </c>
      <c r="CW2" t="str">
        <f>AND(#REF!,"AAAAAH97/WQ=")</f>
        <v>#REF!</v>
      </c>
      <c r="CX2" t="str">
        <f>AND(#REF!,"AAAAAH97/WU=")</f>
        <v>#REF!</v>
      </c>
      <c r="CY2" t="str">
        <f>AND(#REF!,"AAAAAH97/WY=")</f>
        <v>#REF!</v>
      </c>
      <c r="CZ2" t="str">
        <f>AND(#REF!,"AAAAAH97/Wc=")</f>
        <v>#REF!</v>
      </c>
      <c r="DA2" t="str">
        <f>AND(#REF!,"AAAAAH97/Wg=")</f>
        <v>#REF!</v>
      </c>
      <c r="DB2" t="str">
        <f>AND(#REF!,"AAAAAH97/Wk=")</f>
        <v>#REF!</v>
      </c>
      <c r="DC2" t="str">
        <f>AND(#REF!,"AAAAAH97/Wo=")</f>
        <v>#REF!</v>
      </c>
      <c r="DD2" t="str">
        <f>AND(#REF!,"AAAAAH97/Ws=")</f>
        <v>#REF!</v>
      </c>
      <c r="DE2" t="str">
        <f>AND(#REF!,"AAAAAH97/Ww=")</f>
        <v>#REF!</v>
      </c>
      <c r="DF2" t="str">
        <f>AND(#REF!,"AAAAAH97/W0=")</f>
        <v>#REF!</v>
      </c>
      <c r="DG2" t="str">
        <f>AND(#REF!,"AAAAAH97/W4=")</f>
        <v>#REF!</v>
      </c>
      <c r="DH2" t="str">
        <f>AND(#REF!,"AAAAAH97/W8=")</f>
        <v>#REF!</v>
      </c>
      <c r="DI2" t="str">
        <f>AND(#REF!,"AAAAAH97/XA=")</f>
        <v>#REF!</v>
      </c>
      <c r="DJ2" t="str">
        <f>AND(#REF!,"AAAAAH97/XE=")</f>
        <v>#REF!</v>
      </c>
      <c r="DK2" t="str">
        <f>AND(#REF!,"AAAAAH97/XI=")</f>
        <v>#REF!</v>
      </c>
      <c r="DL2" t="str">
        <f>AND(#REF!,"AAAAAH97/XM=")</f>
        <v>#REF!</v>
      </c>
      <c r="DM2" t="str">
        <f>AND(#REF!,"AAAAAH97/XQ=")</f>
        <v>#REF!</v>
      </c>
      <c r="DN2" t="str">
        <f>AND(#REF!,"AAAAAH97/XU=")</f>
        <v>#REF!</v>
      </c>
      <c r="DO2" t="str">
        <f>AND(#REF!,"AAAAAH97/XY=")</f>
        <v>#REF!</v>
      </c>
      <c r="DP2" t="str">
        <f>AND(#REF!,"AAAAAH97/Xc=")</f>
        <v>#REF!</v>
      </c>
      <c r="DQ2" t="str">
        <f>AND(#REF!,"AAAAAH97/Xg=")</f>
        <v>#REF!</v>
      </c>
      <c r="DR2" t="str">
        <f>AND(#REF!,"AAAAAH97/Xk=")</f>
        <v>#REF!</v>
      </c>
      <c r="DS2" t="str">
        <f>AND(#REF!,"AAAAAH97/Xo=")</f>
        <v>#REF!</v>
      </c>
      <c r="DT2" t="str">
        <f>AND(#REF!,"AAAAAH97/Xs=")</f>
        <v>#REF!</v>
      </c>
      <c r="DU2" t="str">
        <f>IF(#REF!,"AAAAAH97/Xw=",0)</f>
        <v>#REF!</v>
      </c>
      <c r="DV2" t="str">
        <f>AND(#REF!,"AAAAAH97/X0=")</f>
        <v>#REF!</v>
      </c>
      <c r="DW2" t="str">
        <f>AND(#REF!,"AAAAAH97/X4=")</f>
        <v>#REF!</v>
      </c>
      <c r="DX2" t="str">
        <f>AND(#REF!,"AAAAAH97/X8=")</f>
        <v>#REF!</v>
      </c>
      <c r="DY2" t="str">
        <f>AND(#REF!,"AAAAAH97/YA=")</f>
        <v>#REF!</v>
      </c>
      <c r="DZ2" t="str">
        <f>AND(#REF!,"AAAAAH97/YE=")</f>
        <v>#REF!</v>
      </c>
      <c r="EA2" t="str">
        <f>AND(#REF!,"AAAAAH97/YI=")</f>
        <v>#REF!</v>
      </c>
      <c r="EB2" t="str">
        <f>AND(#REF!,"AAAAAH97/YM=")</f>
        <v>#REF!</v>
      </c>
      <c r="EC2" t="str">
        <f>AND(#REF!,"AAAAAH97/YQ=")</f>
        <v>#REF!</v>
      </c>
      <c r="ED2" t="str">
        <f>AND(#REF!,"AAAAAH97/YU=")</f>
        <v>#REF!</v>
      </c>
      <c r="EE2" t="str">
        <f>AND(#REF!,"AAAAAH97/YY=")</f>
        <v>#REF!</v>
      </c>
      <c r="EF2" t="str">
        <f>AND(#REF!,"AAAAAH97/Yc=")</f>
        <v>#REF!</v>
      </c>
      <c r="EG2" t="str">
        <f>AND(#REF!,"AAAAAH97/Yg=")</f>
        <v>#REF!</v>
      </c>
      <c r="EH2" t="str">
        <f>AND(#REF!,"AAAAAH97/Yk=")</f>
        <v>#REF!</v>
      </c>
      <c r="EI2" t="str">
        <f>AND(#REF!,"AAAAAH97/Yo=")</f>
        <v>#REF!</v>
      </c>
      <c r="EJ2" t="str">
        <f>AND(#REF!,"AAAAAH97/Ys=")</f>
        <v>#REF!</v>
      </c>
      <c r="EK2" t="str">
        <f>AND(#REF!,"AAAAAH97/Yw=")</f>
        <v>#REF!</v>
      </c>
      <c r="EL2" t="str">
        <f>AND(#REF!,"AAAAAH97/Y0=")</f>
        <v>#REF!</v>
      </c>
      <c r="EM2" t="str">
        <f>AND(#REF!,"AAAAAH97/Y4=")</f>
        <v>#REF!</v>
      </c>
      <c r="EN2" t="str">
        <f>AND(#REF!,"AAAAAH97/Y8=")</f>
        <v>#REF!</v>
      </c>
      <c r="EO2" t="str">
        <f>AND(#REF!,"AAAAAH97/ZA=")</f>
        <v>#REF!</v>
      </c>
      <c r="EP2" t="str">
        <f>AND(#REF!,"AAAAAH97/ZE=")</f>
        <v>#REF!</v>
      </c>
      <c r="EQ2" t="str">
        <f>AND(#REF!,"AAAAAH97/ZI=")</f>
        <v>#REF!</v>
      </c>
      <c r="ER2" t="str">
        <f>AND(#REF!,"AAAAAH97/ZM=")</f>
        <v>#REF!</v>
      </c>
      <c r="ES2" t="str">
        <f>AND(#REF!,"AAAAAH97/ZQ=")</f>
        <v>#REF!</v>
      </c>
      <c r="ET2" t="str">
        <f>AND(#REF!,"AAAAAH97/ZU=")</f>
        <v>#REF!</v>
      </c>
      <c r="EU2" t="str">
        <f>AND(#REF!,"AAAAAH97/ZY=")</f>
        <v>#REF!</v>
      </c>
      <c r="EV2" t="str">
        <f>AND(#REF!,"AAAAAH97/Zc=")</f>
        <v>#REF!</v>
      </c>
      <c r="EW2" t="str">
        <f>AND(#REF!,"AAAAAH97/Zg=")</f>
        <v>#REF!</v>
      </c>
      <c r="EX2" t="str">
        <f>AND(#REF!,"AAAAAH97/Zk=")</f>
        <v>#REF!</v>
      </c>
      <c r="EY2" t="str">
        <f>AND(#REF!,"AAAAAH97/Zo=")</f>
        <v>#REF!</v>
      </c>
      <c r="EZ2" t="str">
        <f>AND(#REF!,"AAAAAH97/Zs=")</f>
        <v>#REF!</v>
      </c>
      <c r="FA2" t="str">
        <f>AND(#REF!,"AAAAAH97/Zw=")</f>
        <v>#REF!</v>
      </c>
      <c r="FB2" t="str">
        <f>AND(#REF!,"AAAAAH97/Z0=")</f>
        <v>#REF!</v>
      </c>
      <c r="FC2" t="str">
        <f>AND(#REF!,"AAAAAH97/Z4=")</f>
        <v>#REF!</v>
      </c>
      <c r="FD2" t="str">
        <f>AND(#REF!,"AAAAAH97/Z8=")</f>
        <v>#REF!</v>
      </c>
      <c r="FE2" t="str">
        <f>AND(#REF!,"AAAAAH97/aA=")</f>
        <v>#REF!</v>
      </c>
      <c r="FF2" t="str">
        <f>AND(#REF!,"AAAAAH97/aE=")</f>
        <v>#REF!</v>
      </c>
      <c r="FG2" t="str">
        <f>AND(#REF!,"AAAAAH97/aI=")</f>
        <v>#REF!</v>
      </c>
      <c r="FH2" t="str">
        <f>AND(#REF!,"AAAAAH97/aM=")</f>
        <v>#REF!</v>
      </c>
      <c r="FI2" t="str">
        <f>AND(#REF!,"AAAAAH97/aQ=")</f>
        <v>#REF!</v>
      </c>
      <c r="FJ2" t="str">
        <f>AND(#REF!,"AAAAAH97/aU=")</f>
        <v>#REF!</v>
      </c>
      <c r="FK2" t="str">
        <f>AND(#REF!,"AAAAAH97/aY=")</f>
        <v>#REF!</v>
      </c>
      <c r="FL2" t="str">
        <f>AND(#REF!,"AAAAAH97/ac=")</f>
        <v>#REF!</v>
      </c>
      <c r="FM2" t="str">
        <f>AND(#REF!,"AAAAAH97/ag=")</f>
        <v>#REF!</v>
      </c>
      <c r="FN2" t="str">
        <f>AND(#REF!,"AAAAAH97/ak=")</f>
        <v>#REF!</v>
      </c>
      <c r="FO2" t="str">
        <f>AND(#REF!,"AAAAAH97/ao=")</f>
        <v>#REF!</v>
      </c>
      <c r="FP2" t="str">
        <f>AND(#REF!,"AAAAAH97/as=")</f>
        <v>#REF!</v>
      </c>
      <c r="FQ2" t="str">
        <f>AND(#REF!,"AAAAAH97/aw=")</f>
        <v>#REF!</v>
      </c>
      <c r="FR2" t="str">
        <f>AND(#REF!,"AAAAAH97/a0=")</f>
        <v>#REF!</v>
      </c>
      <c r="FS2" t="str">
        <f>AND(#REF!,"AAAAAH97/a4=")</f>
        <v>#REF!</v>
      </c>
      <c r="FT2" t="str">
        <f>AND(#REF!,"AAAAAH97/a8=")</f>
        <v>#REF!</v>
      </c>
      <c r="FU2" t="str">
        <f>AND(#REF!,"AAAAAH97/bA=")</f>
        <v>#REF!</v>
      </c>
      <c r="FV2" t="str">
        <f>AND(#REF!,"AAAAAH97/bE=")</f>
        <v>#REF!</v>
      </c>
      <c r="FW2" t="str">
        <f>AND(#REF!,"AAAAAH97/bI=")</f>
        <v>#REF!</v>
      </c>
      <c r="FX2" t="str">
        <f>AND(#REF!,"AAAAAH97/bM=")</f>
        <v>#REF!</v>
      </c>
      <c r="FY2" t="str">
        <f>AND(#REF!,"AAAAAH97/bQ=")</f>
        <v>#REF!</v>
      </c>
      <c r="FZ2" t="str">
        <f>AND(#REF!,"AAAAAH97/bU=")</f>
        <v>#REF!</v>
      </c>
      <c r="GA2" t="str">
        <f>AND(#REF!,"AAAAAH97/bY=")</f>
        <v>#REF!</v>
      </c>
      <c r="GB2" t="str">
        <f>AND(#REF!,"AAAAAH97/bc=")</f>
        <v>#REF!</v>
      </c>
      <c r="GC2" t="str">
        <f>AND(#REF!,"AAAAAH97/bg=")</f>
        <v>#REF!</v>
      </c>
      <c r="GD2" t="str">
        <f>AND(#REF!,"AAAAAH97/bk=")</f>
        <v>#REF!</v>
      </c>
      <c r="GE2" t="str">
        <f>AND(#REF!,"AAAAAH97/bo=")</f>
        <v>#REF!</v>
      </c>
      <c r="GF2" t="str">
        <f>AND(#REF!,"AAAAAH97/bs=")</f>
        <v>#REF!</v>
      </c>
      <c r="GG2" t="str">
        <f>AND(#REF!,"AAAAAH97/bw=")</f>
        <v>#REF!</v>
      </c>
      <c r="GH2" t="str">
        <f>AND(#REF!,"AAAAAH97/b0=")</f>
        <v>#REF!</v>
      </c>
      <c r="GI2" t="str">
        <f>AND(#REF!,"AAAAAH97/b4=")</f>
        <v>#REF!</v>
      </c>
      <c r="GJ2" t="str">
        <f>AND(#REF!,"AAAAAH97/b8=")</f>
        <v>#REF!</v>
      </c>
      <c r="GK2" t="str">
        <f>AND(#REF!,"AAAAAH97/cA=")</f>
        <v>#REF!</v>
      </c>
      <c r="GL2" t="str">
        <f>AND(#REF!,"AAAAAH97/cE=")</f>
        <v>#REF!</v>
      </c>
      <c r="GM2" t="str">
        <f>AND(#REF!,"AAAAAH97/cI=")</f>
        <v>#REF!</v>
      </c>
      <c r="GN2" t="str">
        <f>AND(#REF!,"AAAAAH97/cM=")</f>
        <v>#REF!</v>
      </c>
      <c r="GO2" t="str">
        <f>AND(#REF!,"AAAAAH97/cQ=")</f>
        <v>#REF!</v>
      </c>
      <c r="GP2" t="str">
        <f>AND(#REF!,"AAAAAH97/cU=")</f>
        <v>#REF!</v>
      </c>
      <c r="GQ2" t="str">
        <f>AND(#REF!,"AAAAAH97/cY=")</f>
        <v>#REF!</v>
      </c>
      <c r="GR2" t="str">
        <f>AND(#REF!,"AAAAAH97/cc=")</f>
        <v>#REF!</v>
      </c>
      <c r="GS2" t="str">
        <f>IF(#REF!,"AAAAAH97/cg=",0)</f>
        <v>#REF!</v>
      </c>
      <c r="GT2" t="str">
        <f>AND(#REF!,"AAAAAH97/ck=")</f>
        <v>#REF!</v>
      </c>
      <c r="GU2" t="str">
        <f>AND(#REF!,"AAAAAH97/co=")</f>
        <v>#REF!</v>
      </c>
      <c r="GV2" t="str">
        <f>AND(#REF!,"AAAAAH97/cs=")</f>
        <v>#REF!</v>
      </c>
      <c r="GW2" t="str">
        <f>AND(#REF!,"AAAAAH97/cw=")</f>
        <v>#REF!</v>
      </c>
      <c r="GX2" t="str">
        <f>AND(#REF!,"AAAAAH97/c0=")</f>
        <v>#REF!</v>
      </c>
      <c r="GY2" t="str">
        <f>AND(#REF!,"AAAAAH97/c4=")</f>
        <v>#REF!</v>
      </c>
      <c r="GZ2" t="str">
        <f>AND(#REF!,"AAAAAH97/c8=")</f>
        <v>#REF!</v>
      </c>
      <c r="HA2" t="str">
        <f>AND(#REF!,"AAAAAH97/dA=")</f>
        <v>#REF!</v>
      </c>
      <c r="HB2" t="str">
        <f>AND(#REF!,"AAAAAH97/dE=")</f>
        <v>#REF!</v>
      </c>
      <c r="HC2" t="str">
        <f>AND(#REF!,"AAAAAH97/dI=")</f>
        <v>#REF!</v>
      </c>
      <c r="HD2" t="str">
        <f>AND(#REF!,"AAAAAH97/dM=")</f>
        <v>#REF!</v>
      </c>
      <c r="HE2" t="str">
        <f>AND(#REF!,"AAAAAH97/dQ=")</f>
        <v>#REF!</v>
      </c>
      <c r="HF2" t="str">
        <f>AND(#REF!,"AAAAAH97/dU=")</f>
        <v>#REF!</v>
      </c>
      <c r="HG2" t="str">
        <f>AND(#REF!,"AAAAAH97/dY=")</f>
        <v>#REF!</v>
      </c>
      <c r="HH2" t="str">
        <f>AND(#REF!,"AAAAAH97/dc=")</f>
        <v>#REF!</v>
      </c>
      <c r="HI2" t="str">
        <f>AND(#REF!,"AAAAAH97/dg=")</f>
        <v>#REF!</v>
      </c>
      <c r="HJ2" t="str">
        <f>AND(#REF!,"AAAAAH97/dk=")</f>
        <v>#REF!</v>
      </c>
      <c r="HK2" t="str">
        <f>AND(#REF!,"AAAAAH97/do=")</f>
        <v>#REF!</v>
      </c>
      <c r="HL2" t="str">
        <f>AND(#REF!,"AAAAAH97/ds=")</f>
        <v>#REF!</v>
      </c>
      <c r="HM2" t="str">
        <f>AND(#REF!,"AAAAAH97/dw=")</f>
        <v>#REF!</v>
      </c>
      <c r="HN2" t="str">
        <f>AND(#REF!,"AAAAAH97/d0=")</f>
        <v>#REF!</v>
      </c>
      <c r="HO2" t="str">
        <f>AND(#REF!,"AAAAAH97/d4=")</f>
        <v>#REF!</v>
      </c>
      <c r="HP2" t="str">
        <f>AND(#REF!,"AAAAAH97/d8=")</f>
        <v>#REF!</v>
      </c>
      <c r="HQ2" t="str">
        <f>AND(#REF!,"AAAAAH97/eA=")</f>
        <v>#REF!</v>
      </c>
      <c r="HR2" t="str">
        <f>AND(#REF!,"AAAAAH97/eE=")</f>
        <v>#REF!</v>
      </c>
      <c r="HS2" t="str">
        <f>AND(#REF!,"AAAAAH97/eI=")</f>
        <v>#REF!</v>
      </c>
      <c r="HT2" t="str">
        <f>AND(#REF!,"AAAAAH97/eM=")</f>
        <v>#REF!</v>
      </c>
      <c r="HU2" t="str">
        <f>AND(#REF!,"AAAAAH97/eQ=")</f>
        <v>#REF!</v>
      </c>
      <c r="HV2" t="str">
        <f>AND(#REF!,"AAAAAH97/eU=")</f>
        <v>#REF!</v>
      </c>
      <c r="HW2" t="str">
        <f>AND(#REF!,"AAAAAH97/eY=")</f>
        <v>#REF!</v>
      </c>
      <c r="HX2" t="str">
        <f>AND(#REF!,"AAAAAH97/ec=")</f>
        <v>#REF!</v>
      </c>
      <c r="HY2" t="str">
        <f>AND(#REF!,"AAAAAH97/eg=")</f>
        <v>#REF!</v>
      </c>
      <c r="HZ2" t="str">
        <f>AND(#REF!,"AAAAAH97/ek=")</f>
        <v>#REF!</v>
      </c>
      <c r="IA2" t="str">
        <f>AND(#REF!,"AAAAAH97/eo=")</f>
        <v>#REF!</v>
      </c>
      <c r="IB2" t="str">
        <f>AND(#REF!,"AAAAAH97/es=")</f>
        <v>#REF!</v>
      </c>
      <c r="IC2" t="str">
        <f>AND(#REF!,"AAAAAH97/ew=")</f>
        <v>#REF!</v>
      </c>
      <c r="ID2" t="str">
        <f>AND(#REF!,"AAAAAH97/e0=")</f>
        <v>#REF!</v>
      </c>
      <c r="IE2" t="str">
        <f>AND(#REF!,"AAAAAH97/e4=")</f>
        <v>#REF!</v>
      </c>
      <c r="IF2" t="str">
        <f>AND(#REF!,"AAAAAH97/e8=")</f>
        <v>#REF!</v>
      </c>
      <c r="IG2" t="str">
        <f>AND(#REF!,"AAAAAH97/fA=")</f>
        <v>#REF!</v>
      </c>
      <c r="IH2" t="str">
        <f>AND(#REF!,"AAAAAH97/fE=")</f>
        <v>#REF!</v>
      </c>
      <c r="II2" t="str">
        <f>AND(#REF!,"AAAAAH97/fI=")</f>
        <v>#REF!</v>
      </c>
      <c r="IJ2" t="str">
        <f>AND(#REF!,"AAAAAH97/fM=")</f>
        <v>#REF!</v>
      </c>
      <c r="IK2" t="str">
        <f>AND(#REF!,"AAAAAH97/fQ=")</f>
        <v>#REF!</v>
      </c>
      <c r="IL2" t="str">
        <f>AND(#REF!,"AAAAAH97/fU=")</f>
        <v>#REF!</v>
      </c>
      <c r="IM2" t="str">
        <f>AND(#REF!,"AAAAAH97/fY=")</f>
        <v>#REF!</v>
      </c>
      <c r="IN2" t="str">
        <f>AND(#REF!,"AAAAAH97/fc=")</f>
        <v>#REF!</v>
      </c>
      <c r="IO2" t="str">
        <f>AND(#REF!,"AAAAAH97/fg=")</f>
        <v>#REF!</v>
      </c>
      <c r="IP2" t="str">
        <f>AND(#REF!,"AAAAAH97/fk=")</f>
        <v>#REF!</v>
      </c>
      <c r="IQ2" t="str">
        <f>AND(#REF!,"AAAAAH97/fo=")</f>
        <v>#REF!</v>
      </c>
      <c r="IR2" t="str">
        <f>AND(#REF!,"AAAAAH97/fs=")</f>
        <v>#REF!</v>
      </c>
      <c r="IS2" t="str">
        <f>AND(#REF!,"AAAAAH97/fw=")</f>
        <v>#REF!</v>
      </c>
      <c r="IT2" t="str">
        <f>AND(#REF!,"AAAAAH97/f0=")</f>
        <v>#REF!</v>
      </c>
      <c r="IU2" t="str">
        <f>AND(#REF!,"AAAAAH97/f4=")</f>
        <v>#REF!</v>
      </c>
      <c r="IV2" t="str">
        <f>AND(#REF!,"AAAAAH97/f8=")</f>
        <v>#REF!</v>
      </c>
    </row>
    <row r="3">
      <c r="A3" t="str">
        <f>AND(#REF!,"AAAAAG/9uwA=")</f>
        <v>#REF!</v>
      </c>
      <c r="B3" t="str">
        <f>AND(#REF!,"AAAAAG/9uwE=")</f>
        <v>#REF!</v>
      </c>
      <c r="C3" t="str">
        <f>AND(#REF!,"AAAAAG/9uwI=")</f>
        <v>#REF!</v>
      </c>
      <c r="D3" t="str">
        <f>AND(#REF!,"AAAAAG/9uwM=")</f>
        <v>#REF!</v>
      </c>
      <c r="E3" t="str">
        <f>AND(#REF!,"AAAAAG/9uwQ=")</f>
        <v>#REF!</v>
      </c>
      <c r="F3" t="str">
        <f>AND(#REF!,"AAAAAG/9uwU=")</f>
        <v>#REF!</v>
      </c>
      <c r="G3" t="str">
        <f>AND(#REF!,"AAAAAG/9uwY=")</f>
        <v>#REF!</v>
      </c>
      <c r="H3" t="str">
        <f>AND(#REF!,"AAAAAG/9uwc=")</f>
        <v>#REF!</v>
      </c>
      <c r="I3" t="str">
        <f>AND(#REF!,"AAAAAG/9uwg=")</f>
        <v>#REF!</v>
      </c>
      <c r="J3" t="str">
        <f>AND(#REF!,"AAAAAG/9uwk=")</f>
        <v>#REF!</v>
      </c>
      <c r="K3" t="str">
        <f>AND(#REF!,"AAAAAG/9uwo=")</f>
        <v>#REF!</v>
      </c>
      <c r="L3" t="str">
        <f>AND(#REF!,"AAAAAG/9uws=")</f>
        <v>#REF!</v>
      </c>
      <c r="M3" t="str">
        <f>AND(#REF!,"AAAAAG/9uww=")</f>
        <v>#REF!</v>
      </c>
      <c r="N3" t="str">
        <f>AND(#REF!,"AAAAAG/9uw0=")</f>
        <v>#REF!</v>
      </c>
      <c r="O3" t="str">
        <f>AND(#REF!,"AAAAAG/9uw4=")</f>
        <v>#REF!</v>
      </c>
      <c r="P3" t="str">
        <f>AND(#REF!,"AAAAAG/9uw8=")</f>
        <v>#REF!</v>
      </c>
      <c r="Q3" t="str">
        <f>AND(#REF!,"AAAAAG/9uxA=")</f>
        <v>#REF!</v>
      </c>
      <c r="R3" t="str">
        <f>AND(#REF!,"AAAAAG/9uxE=")</f>
        <v>#REF!</v>
      </c>
      <c r="S3" t="str">
        <f>AND(#REF!,"AAAAAG/9uxI=")</f>
        <v>#REF!</v>
      </c>
      <c r="T3" t="str">
        <f>AND(#REF!,"AAAAAG/9uxM=")</f>
        <v>#REF!</v>
      </c>
      <c r="U3" t="str">
        <f>IF(#REF!,"AAAAAG/9uxQ=",0)</f>
        <v>#REF!</v>
      </c>
      <c r="V3" t="str">
        <f>AND(#REF!,"AAAAAG/9uxU=")</f>
        <v>#REF!</v>
      </c>
      <c r="W3" t="str">
        <f>AND(#REF!,"AAAAAG/9uxY=")</f>
        <v>#REF!</v>
      </c>
      <c r="X3" t="str">
        <f>AND(#REF!,"AAAAAG/9uxc=")</f>
        <v>#REF!</v>
      </c>
      <c r="Y3" t="str">
        <f>AND(#REF!,"AAAAAG/9uxg=")</f>
        <v>#REF!</v>
      </c>
      <c r="Z3" t="str">
        <f>AND(#REF!,"AAAAAG/9uxk=")</f>
        <v>#REF!</v>
      </c>
      <c r="AA3" t="str">
        <f>AND(#REF!,"AAAAAG/9uxo=")</f>
        <v>#REF!</v>
      </c>
      <c r="AB3" t="str">
        <f>AND(#REF!,"AAAAAG/9uxs=")</f>
        <v>#REF!</v>
      </c>
      <c r="AC3" t="str">
        <f>AND(#REF!,"AAAAAG/9uxw=")</f>
        <v>#REF!</v>
      </c>
      <c r="AD3" t="str">
        <f>AND(#REF!,"AAAAAG/9ux0=")</f>
        <v>#REF!</v>
      </c>
      <c r="AE3" t="str">
        <f>AND(#REF!,"AAAAAG/9ux4=")</f>
        <v>#REF!</v>
      </c>
      <c r="AF3" t="str">
        <f>AND(#REF!,"AAAAAG/9ux8=")</f>
        <v>#REF!</v>
      </c>
      <c r="AG3" t="str">
        <f>AND(#REF!,"AAAAAG/9uyA=")</f>
        <v>#REF!</v>
      </c>
      <c r="AH3" t="str">
        <f>AND(#REF!,"AAAAAG/9uyE=")</f>
        <v>#REF!</v>
      </c>
      <c r="AI3" t="str">
        <f>AND(#REF!,"AAAAAG/9uyI=")</f>
        <v>#REF!</v>
      </c>
      <c r="AJ3" t="str">
        <f>AND(#REF!,"AAAAAG/9uyM=")</f>
        <v>#REF!</v>
      </c>
      <c r="AK3" t="str">
        <f>AND(#REF!,"AAAAAG/9uyQ=")</f>
        <v>#REF!</v>
      </c>
      <c r="AL3" t="str">
        <f>AND(#REF!,"AAAAAG/9uyU=")</f>
        <v>#REF!</v>
      </c>
      <c r="AM3" t="str">
        <f>AND(#REF!,"AAAAAG/9uyY=")</f>
        <v>#REF!</v>
      </c>
      <c r="AN3" t="str">
        <f>AND(#REF!,"AAAAAG/9uyc=")</f>
        <v>#REF!</v>
      </c>
      <c r="AO3" t="str">
        <f>AND(#REF!,"AAAAAG/9uyg=")</f>
        <v>#REF!</v>
      </c>
      <c r="AP3" t="str">
        <f>AND(#REF!,"AAAAAG/9uyk=")</f>
        <v>#REF!</v>
      </c>
      <c r="AQ3" t="str">
        <f>AND(#REF!,"AAAAAG/9uyo=")</f>
        <v>#REF!</v>
      </c>
      <c r="AR3" t="str">
        <f>AND(#REF!,"AAAAAG/9uys=")</f>
        <v>#REF!</v>
      </c>
      <c r="AS3" t="str">
        <f>AND(#REF!,"AAAAAG/9uyw=")</f>
        <v>#REF!</v>
      </c>
      <c r="AT3" t="str">
        <f>AND(#REF!,"AAAAAG/9uy0=")</f>
        <v>#REF!</v>
      </c>
      <c r="AU3" t="str">
        <f>AND(#REF!,"AAAAAG/9uy4=")</f>
        <v>#REF!</v>
      </c>
      <c r="AV3" t="str">
        <f>AND(#REF!,"AAAAAG/9uy8=")</f>
        <v>#REF!</v>
      </c>
      <c r="AW3" t="str">
        <f>AND(#REF!,"AAAAAG/9uzA=")</f>
        <v>#REF!</v>
      </c>
      <c r="AX3" t="str">
        <f>AND(#REF!,"AAAAAG/9uzE=")</f>
        <v>#REF!</v>
      </c>
      <c r="AY3" t="str">
        <f>AND(#REF!,"AAAAAG/9uzI=")</f>
        <v>#REF!</v>
      </c>
      <c r="AZ3" t="str">
        <f>AND(#REF!,"AAAAAG/9uzM=")</f>
        <v>#REF!</v>
      </c>
      <c r="BA3" t="str">
        <f>AND(#REF!,"AAAAAG/9uzQ=")</f>
        <v>#REF!</v>
      </c>
      <c r="BB3" t="str">
        <f>AND(#REF!,"AAAAAG/9uzU=")</f>
        <v>#REF!</v>
      </c>
      <c r="BC3" t="str">
        <f>AND(#REF!,"AAAAAG/9uzY=")</f>
        <v>#REF!</v>
      </c>
      <c r="BD3" t="str">
        <f>AND(#REF!,"AAAAAG/9uzc=")</f>
        <v>#REF!</v>
      </c>
      <c r="BE3" t="str">
        <f>AND(#REF!,"AAAAAG/9uzg=")</f>
        <v>#REF!</v>
      </c>
      <c r="BF3" t="str">
        <f>AND(#REF!,"AAAAAG/9uzk=")</f>
        <v>#REF!</v>
      </c>
      <c r="BG3" t="str">
        <f>AND(#REF!,"AAAAAG/9uzo=")</f>
        <v>#REF!</v>
      </c>
      <c r="BH3" t="str">
        <f>AND(#REF!,"AAAAAG/9uzs=")</f>
        <v>#REF!</v>
      </c>
      <c r="BI3" t="str">
        <f>AND(#REF!,"AAAAAG/9uzw=")</f>
        <v>#REF!</v>
      </c>
      <c r="BJ3" t="str">
        <f>AND(#REF!,"AAAAAG/9uz0=")</f>
        <v>#REF!</v>
      </c>
      <c r="BK3" t="str">
        <f>AND(#REF!,"AAAAAG/9uz4=")</f>
        <v>#REF!</v>
      </c>
      <c r="BL3" t="str">
        <f>AND(#REF!,"AAAAAG/9uz8=")</f>
        <v>#REF!</v>
      </c>
      <c r="BM3" t="str">
        <f>AND(#REF!,"AAAAAG/9u0A=")</f>
        <v>#REF!</v>
      </c>
      <c r="BN3" t="str">
        <f>AND(#REF!,"AAAAAG/9u0E=")</f>
        <v>#REF!</v>
      </c>
      <c r="BO3" t="str">
        <f>AND(#REF!,"AAAAAG/9u0I=")</f>
        <v>#REF!</v>
      </c>
      <c r="BP3" t="str">
        <f>AND(#REF!,"AAAAAG/9u0M=")</f>
        <v>#REF!</v>
      </c>
      <c r="BQ3" t="str">
        <f>AND(#REF!,"AAAAAG/9u0Q=")</f>
        <v>#REF!</v>
      </c>
      <c r="BR3" t="str">
        <f>AND(#REF!,"AAAAAG/9u0U=")</f>
        <v>#REF!</v>
      </c>
      <c r="BS3" t="str">
        <f>AND(#REF!,"AAAAAG/9u0Y=")</f>
        <v>#REF!</v>
      </c>
      <c r="BT3" t="str">
        <f>AND(#REF!,"AAAAAG/9u0c=")</f>
        <v>#REF!</v>
      </c>
      <c r="BU3" t="str">
        <f>AND(#REF!,"AAAAAG/9u0g=")</f>
        <v>#REF!</v>
      </c>
      <c r="BV3" t="str">
        <f>AND(#REF!,"AAAAAG/9u0k=")</f>
        <v>#REF!</v>
      </c>
      <c r="BW3" t="str">
        <f>AND(#REF!,"AAAAAG/9u0o=")</f>
        <v>#REF!</v>
      </c>
      <c r="BX3" t="str">
        <f>AND(#REF!,"AAAAAG/9u0s=")</f>
        <v>#REF!</v>
      </c>
      <c r="BY3" t="str">
        <f>AND(#REF!,"AAAAAG/9u0w=")</f>
        <v>#REF!</v>
      </c>
      <c r="BZ3" t="str">
        <f>AND(#REF!,"AAAAAG/9u00=")</f>
        <v>#REF!</v>
      </c>
      <c r="CA3" t="str">
        <f>AND(#REF!,"AAAAAG/9u04=")</f>
        <v>#REF!</v>
      </c>
      <c r="CB3" t="str">
        <f>AND(#REF!,"AAAAAG/9u08=")</f>
        <v>#REF!</v>
      </c>
      <c r="CC3" t="str">
        <f>AND(#REF!,"AAAAAG/9u1A=")</f>
        <v>#REF!</v>
      </c>
      <c r="CD3" t="str">
        <f>AND(#REF!,"AAAAAG/9u1E=")</f>
        <v>#REF!</v>
      </c>
      <c r="CE3" t="str">
        <f>AND(#REF!,"AAAAAG/9u1I=")</f>
        <v>#REF!</v>
      </c>
      <c r="CF3" t="str">
        <f>AND(#REF!,"AAAAAG/9u1M=")</f>
        <v>#REF!</v>
      </c>
      <c r="CG3" t="str">
        <f>AND(#REF!,"AAAAAG/9u1Q=")</f>
        <v>#REF!</v>
      </c>
      <c r="CH3" t="str">
        <f>AND(#REF!,"AAAAAG/9u1U=")</f>
        <v>#REF!</v>
      </c>
      <c r="CI3" t="str">
        <f>AND(#REF!,"AAAAAG/9u1Y=")</f>
        <v>#REF!</v>
      </c>
      <c r="CJ3" t="str">
        <f>AND(#REF!,"AAAAAG/9u1c=")</f>
        <v>#REF!</v>
      </c>
      <c r="CK3" t="str">
        <f>AND(#REF!,"AAAAAG/9u1g=")</f>
        <v>#REF!</v>
      </c>
      <c r="CL3" t="str">
        <f>AND(#REF!,"AAAAAG/9u1k=")</f>
        <v>#REF!</v>
      </c>
      <c r="CM3" t="str">
        <f>AND(#REF!,"AAAAAG/9u1o=")</f>
        <v>#REF!</v>
      </c>
      <c r="CN3" t="str">
        <f>AND(#REF!,"AAAAAG/9u1s=")</f>
        <v>#REF!</v>
      </c>
      <c r="CO3" t="str">
        <f>AND(#REF!,"AAAAAG/9u1w=")</f>
        <v>#REF!</v>
      </c>
      <c r="CP3" t="str">
        <f>AND(#REF!,"AAAAAG/9u10=")</f>
        <v>#REF!</v>
      </c>
      <c r="CQ3" t="str">
        <f>AND(#REF!,"AAAAAG/9u14=")</f>
        <v>#REF!</v>
      </c>
      <c r="CR3" t="str">
        <f>AND(#REF!,"AAAAAG/9u18=")</f>
        <v>#REF!</v>
      </c>
      <c r="CS3" t="str">
        <f>IF(#REF!,"AAAAAG/9u2A=",0)</f>
        <v>#REF!</v>
      </c>
      <c r="CT3" t="str">
        <f>AND(#REF!,"AAAAAG/9u2E=")</f>
        <v>#REF!</v>
      </c>
      <c r="CU3" t="str">
        <f>AND(#REF!,"AAAAAG/9u2I=")</f>
        <v>#REF!</v>
      </c>
      <c r="CV3" t="str">
        <f>AND(#REF!,"AAAAAG/9u2M=")</f>
        <v>#REF!</v>
      </c>
      <c r="CW3" t="str">
        <f>AND(#REF!,"AAAAAG/9u2Q=")</f>
        <v>#REF!</v>
      </c>
      <c r="CX3" t="str">
        <f>AND(#REF!,"AAAAAG/9u2U=")</f>
        <v>#REF!</v>
      </c>
      <c r="CY3" t="str">
        <f>AND(#REF!,"AAAAAG/9u2Y=")</f>
        <v>#REF!</v>
      </c>
      <c r="CZ3" t="str">
        <f>AND(#REF!,"AAAAAG/9u2c=")</f>
        <v>#REF!</v>
      </c>
      <c r="DA3" t="str">
        <f>AND(#REF!,"AAAAAG/9u2g=")</f>
        <v>#REF!</v>
      </c>
      <c r="DB3" t="str">
        <f>AND(#REF!,"AAAAAG/9u2k=")</f>
        <v>#REF!</v>
      </c>
      <c r="DC3" t="str">
        <f>AND(#REF!,"AAAAAG/9u2o=")</f>
        <v>#REF!</v>
      </c>
      <c r="DD3" t="str">
        <f>AND(#REF!,"AAAAAG/9u2s=")</f>
        <v>#REF!</v>
      </c>
      <c r="DE3" t="str">
        <f>AND(#REF!,"AAAAAG/9u2w=")</f>
        <v>#REF!</v>
      </c>
      <c r="DF3" t="str">
        <f>AND(#REF!,"AAAAAG/9u20=")</f>
        <v>#REF!</v>
      </c>
      <c r="DG3" t="str">
        <f>AND(#REF!,"AAAAAG/9u24=")</f>
        <v>#REF!</v>
      </c>
      <c r="DH3" t="str">
        <f>AND(#REF!,"AAAAAG/9u28=")</f>
        <v>#REF!</v>
      </c>
      <c r="DI3" t="str">
        <f>AND(#REF!,"AAAAAG/9u3A=")</f>
        <v>#REF!</v>
      </c>
      <c r="DJ3" t="str">
        <f>AND(#REF!,"AAAAAG/9u3E=")</f>
        <v>#REF!</v>
      </c>
      <c r="DK3" t="str">
        <f>AND(#REF!,"AAAAAG/9u3I=")</f>
        <v>#REF!</v>
      </c>
      <c r="DL3" t="str">
        <f>AND(#REF!,"AAAAAG/9u3M=")</f>
        <v>#REF!</v>
      </c>
      <c r="DM3" t="str">
        <f>AND(#REF!,"AAAAAG/9u3Q=")</f>
        <v>#REF!</v>
      </c>
      <c r="DN3" t="str">
        <f>AND(#REF!,"AAAAAG/9u3U=")</f>
        <v>#REF!</v>
      </c>
      <c r="DO3" t="str">
        <f>AND(#REF!,"AAAAAG/9u3Y=")</f>
        <v>#REF!</v>
      </c>
      <c r="DP3" t="str">
        <f>AND(#REF!,"AAAAAG/9u3c=")</f>
        <v>#REF!</v>
      </c>
      <c r="DQ3" t="str">
        <f>AND(#REF!,"AAAAAG/9u3g=")</f>
        <v>#REF!</v>
      </c>
      <c r="DR3" t="str">
        <f>AND(#REF!,"AAAAAG/9u3k=")</f>
        <v>#REF!</v>
      </c>
      <c r="DS3" t="str">
        <f>AND(#REF!,"AAAAAG/9u3o=")</f>
        <v>#REF!</v>
      </c>
      <c r="DT3" t="str">
        <f>AND(#REF!,"AAAAAG/9u3s=")</f>
        <v>#REF!</v>
      </c>
      <c r="DU3" t="str">
        <f>AND(#REF!,"AAAAAG/9u3w=")</f>
        <v>#REF!</v>
      </c>
      <c r="DV3" t="str">
        <f>AND(#REF!,"AAAAAG/9u30=")</f>
        <v>#REF!</v>
      </c>
      <c r="DW3" t="str">
        <f>AND(#REF!,"AAAAAG/9u34=")</f>
        <v>#REF!</v>
      </c>
      <c r="DX3" t="str">
        <f>AND(#REF!,"AAAAAG/9u38=")</f>
        <v>#REF!</v>
      </c>
      <c r="DY3" t="str">
        <f>AND(#REF!,"AAAAAG/9u4A=")</f>
        <v>#REF!</v>
      </c>
      <c r="DZ3" t="str">
        <f>AND(#REF!,"AAAAAG/9u4E=")</f>
        <v>#REF!</v>
      </c>
      <c r="EA3" t="str">
        <f>AND(#REF!,"AAAAAG/9u4I=")</f>
        <v>#REF!</v>
      </c>
      <c r="EB3" t="str">
        <f>AND(#REF!,"AAAAAG/9u4M=")</f>
        <v>#REF!</v>
      </c>
      <c r="EC3" t="str">
        <f>AND(#REF!,"AAAAAG/9u4Q=")</f>
        <v>#REF!</v>
      </c>
      <c r="ED3" t="str">
        <f>AND(#REF!,"AAAAAG/9u4U=")</f>
        <v>#REF!</v>
      </c>
      <c r="EE3" t="str">
        <f>AND(#REF!,"AAAAAG/9u4Y=")</f>
        <v>#REF!</v>
      </c>
      <c r="EF3" t="str">
        <f>AND(#REF!,"AAAAAG/9u4c=")</f>
        <v>#REF!</v>
      </c>
      <c r="EG3" t="str">
        <f>AND(#REF!,"AAAAAG/9u4g=")</f>
        <v>#REF!</v>
      </c>
      <c r="EH3" t="str">
        <f>AND(#REF!,"AAAAAG/9u4k=")</f>
        <v>#REF!</v>
      </c>
      <c r="EI3" t="str">
        <f>AND(#REF!,"AAAAAG/9u4o=")</f>
        <v>#REF!</v>
      </c>
      <c r="EJ3" t="str">
        <f>AND(#REF!,"AAAAAG/9u4s=")</f>
        <v>#REF!</v>
      </c>
      <c r="EK3" t="str">
        <f>AND(#REF!,"AAAAAG/9u4w=")</f>
        <v>#REF!</v>
      </c>
      <c r="EL3" t="str">
        <f>AND(#REF!,"AAAAAG/9u40=")</f>
        <v>#REF!</v>
      </c>
      <c r="EM3" t="str">
        <f>AND(#REF!,"AAAAAG/9u44=")</f>
        <v>#REF!</v>
      </c>
      <c r="EN3" t="str">
        <f>AND(#REF!,"AAAAAG/9u48=")</f>
        <v>#REF!</v>
      </c>
      <c r="EO3" t="str">
        <f>AND(#REF!,"AAAAAG/9u5A=")</f>
        <v>#REF!</v>
      </c>
      <c r="EP3" t="str">
        <f>AND(#REF!,"AAAAAG/9u5E=")</f>
        <v>#REF!</v>
      </c>
      <c r="EQ3" t="str">
        <f>AND(#REF!,"AAAAAG/9u5I=")</f>
        <v>#REF!</v>
      </c>
      <c r="ER3" t="str">
        <f>AND(#REF!,"AAAAAG/9u5M=")</f>
        <v>#REF!</v>
      </c>
      <c r="ES3" t="str">
        <f>AND(#REF!,"AAAAAG/9u5Q=")</f>
        <v>#REF!</v>
      </c>
      <c r="ET3" t="str">
        <f>AND(#REF!,"AAAAAG/9u5U=")</f>
        <v>#REF!</v>
      </c>
      <c r="EU3" t="str">
        <f>AND(#REF!,"AAAAAG/9u5Y=")</f>
        <v>#REF!</v>
      </c>
      <c r="EV3" t="str">
        <f>AND(#REF!,"AAAAAG/9u5c=")</f>
        <v>#REF!</v>
      </c>
      <c r="EW3" t="str">
        <f>AND(#REF!,"AAAAAG/9u5g=")</f>
        <v>#REF!</v>
      </c>
      <c r="EX3" t="str">
        <f>AND(#REF!,"AAAAAG/9u5k=")</f>
        <v>#REF!</v>
      </c>
      <c r="EY3" t="str">
        <f>AND(#REF!,"AAAAAG/9u5o=")</f>
        <v>#REF!</v>
      </c>
      <c r="EZ3" t="str">
        <f>AND(#REF!,"AAAAAG/9u5s=")</f>
        <v>#REF!</v>
      </c>
      <c r="FA3" t="str">
        <f>AND(#REF!,"AAAAAG/9u5w=")</f>
        <v>#REF!</v>
      </c>
      <c r="FB3" t="str">
        <f>AND(#REF!,"AAAAAG/9u50=")</f>
        <v>#REF!</v>
      </c>
      <c r="FC3" t="str">
        <f>AND(#REF!,"AAAAAG/9u54=")</f>
        <v>#REF!</v>
      </c>
      <c r="FD3" t="str">
        <f>AND(#REF!,"AAAAAG/9u58=")</f>
        <v>#REF!</v>
      </c>
      <c r="FE3" t="str">
        <f>AND(#REF!,"AAAAAG/9u6A=")</f>
        <v>#REF!</v>
      </c>
      <c r="FF3" t="str">
        <f>AND(#REF!,"AAAAAG/9u6E=")</f>
        <v>#REF!</v>
      </c>
      <c r="FG3" t="str">
        <f>AND(#REF!,"AAAAAG/9u6I=")</f>
        <v>#REF!</v>
      </c>
      <c r="FH3" t="str">
        <f>AND(#REF!,"AAAAAG/9u6M=")</f>
        <v>#REF!</v>
      </c>
      <c r="FI3" t="str">
        <f>AND(#REF!,"AAAAAG/9u6Q=")</f>
        <v>#REF!</v>
      </c>
      <c r="FJ3" t="str">
        <f>AND(#REF!,"AAAAAG/9u6U=")</f>
        <v>#REF!</v>
      </c>
      <c r="FK3" t="str">
        <f>AND(#REF!,"AAAAAG/9u6Y=")</f>
        <v>#REF!</v>
      </c>
      <c r="FL3" t="str">
        <f>AND(#REF!,"AAAAAG/9u6c=")</f>
        <v>#REF!</v>
      </c>
      <c r="FM3" t="str">
        <f>AND(#REF!,"AAAAAG/9u6g=")</f>
        <v>#REF!</v>
      </c>
      <c r="FN3" t="str">
        <f>AND(#REF!,"AAAAAG/9u6k=")</f>
        <v>#REF!</v>
      </c>
      <c r="FO3" t="str">
        <f>AND(#REF!,"AAAAAG/9u6o=")</f>
        <v>#REF!</v>
      </c>
      <c r="FP3" t="str">
        <f>AND(#REF!,"AAAAAG/9u6s=")</f>
        <v>#REF!</v>
      </c>
      <c r="FQ3" t="str">
        <f>IF(#REF!,"AAAAAG/9u6w=",0)</f>
        <v>#REF!</v>
      </c>
      <c r="FR3" t="str">
        <f>AND(#REF!,"AAAAAG/9u60=")</f>
        <v>#REF!</v>
      </c>
      <c r="FS3" t="str">
        <f>AND(#REF!,"AAAAAG/9u64=")</f>
        <v>#REF!</v>
      </c>
      <c r="FT3" t="str">
        <f>AND(#REF!,"AAAAAG/9u68=")</f>
        <v>#REF!</v>
      </c>
      <c r="FU3" t="str">
        <f>AND(#REF!,"AAAAAG/9u7A=")</f>
        <v>#REF!</v>
      </c>
      <c r="FV3" t="str">
        <f>AND(#REF!,"AAAAAG/9u7E=")</f>
        <v>#REF!</v>
      </c>
      <c r="FW3" t="str">
        <f>AND(#REF!,"AAAAAG/9u7I=")</f>
        <v>#REF!</v>
      </c>
      <c r="FX3" t="str">
        <f>AND(#REF!,"AAAAAG/9u7M=")</f>
        <v>#REF!</v>
      </c>
      <c r="FY3" t="str">
        <f>AND(#REF!,"AAAAAG/9u7Q=")</f>
        <v>#REF!</v>
      </c>
      <c r="FZ3" t="str">
        <f>AND(#REF!,"AAAAAG/9u7U=")</f>
        <v>#REF!</v>
      </c>
      <c r="GA3" t="str">
        <f>AND(#REF!,"AAAAAG/9u7Y=")</f>
        <v>#REF!</v>
      </c>
      <c r="GB3" t="str">
        <f>AND(#REF!,"AAAAAG/9u7c=")</f>
        <v>#REF!</v>
      </c>
      <c r="GC3" t="str">
        <f>AND(#REF!,"AAAAAG/9u7g=")</f>
        <v>#REF!</v>
      </c>
      <c r="GD3" t="str">
        <f>AND(#REF!,"AAAAAG/9u7k=")</f>
        <v>#REF!</v>
      </c>
      <c r="GE3" t="str">
        <f>AND(#REF!,"AAAAAG/9u7o=")</f>
        <v>#REF!</v>
      </c>
      <c r="GF3" t="str">
        <f>AND(#REF!,"AAAAAG/9u7s=")</f>
        <v>#REF!</v>
      </c>
      <c r="GG3" t="str">
        <f>AND(#REF!,"AAAAAG/9u7w=")</f>
        <v>#REF!</v>
      </c>
      <c r="GH3" t="str">
        <f>AND(#REF!,"AAAAAG/9u70=")</f>
        <v>#REF!</v>
      </c>
      <c r="GI3" t="str">
        <f>AND(#REF!,"AAAAAG/9u74=")</f>
        <v>#REF!</v>
      </c>
      <c r="GJ3" t="str">
        <f>AND(#REF!,"AAAAAG/9u78=")</f>
        <v>#REF!</v>
      </c>
      <c r="GK3" t="str">
        <f>AND(#REF!,"AAAAAG/9u8A=")</f>
        <v>#REF!</v>
      </c>
      <c r="GL3" t="str">
        <f>AND(#REF!,"AAAAAG/9u8E=")</f>
        <v>#REF!</v>
      </c>
      <c r="GM3" t="str">
        <f>AND(#REF!,"AAAAAG/9u8I=")</f>
        <v>#REF!</v>
      </c>
      <c r="GN3" t="str">
        <f>AND(#REF!,"AAAAAG/9u8M=")</f>
        <v>#REF!</v>
      </c>
      <c r="GO3" t="str">
        <f>AND(#REF!,"AAAAAG/9u8Q=")</f>
        <v>#REF!</v>
      </c>
      <c r="GP3" t="str">
        <f>AND(#REF!,"AAAAAG/9u8U=")</f>
        <v>#REF!</v>
      </c>
      <c r="GQ3" t="str">
        <f>AND(#REF!,"AAAAAG/9u8Y=")</f>
        <v>#REF!</v>
      </c>
      <c r="GR3" t="str">
        <f>AND(#REF!,"AAAAAG/9u8c=")</f>
        <v>#REF!</v>
      </c>
      <c r="GS3" t="str">
        <f>AND(#REF!,"AAAAAG/9u8g=")</f>
        <v>#REF!</v>
      </c>
      <c r="GT3" t="str">
        <f>AND(#REF!,"AAAAAG/9u8k=")</f>
        <v>#REF!</v>
      </c>
      <c r="GU3" t="str">
        <f>AND(#REF!,"AAAAAG/9u8o=")</f>
        <v>#REF!</v>
      </c>
      <c r="GV3" t="str">
        <f>AND(#REF!,"AAAAAG/9u8s=")</f>
        <v>#REF!</v>
      </c>
      <c r="GW3" t="str">
        <f>AND(#REF!,"AAAAAG/9u8w=")</f>
        <v>#REF!</v>
      </c>
      <c r="GX3" t="str">
        <f>AND(#REF!,"AAAAAG/9u80=")</f>
        <v>#REF!</v>
      </c>
      <c r="GY3" t="str">
        <f>AND(#REF!,"AAAAAG/9u84=")</f>
        <v>#REF!</v>
      </c>
      <c r="GZ3" t="str">
        <f>AND(#REF!,"AAAAAG/9u88=")</f>
        <v>#REF!</v>
      </c>
      <c r="HA3" t="str">
        <f>AND(#REF!,"AAAAAG/9u9A=")</f>
        <v>#REF!</v>
      </c>
      <c r="HB3" t="str">
        <f>AND(#REF!,"AAAAAG/9u9E=")</f>
        <v>#REF!</v>
      </c>
      <c r="HC3" t="str">
        <f>AND(#REF!,"AAAAAG/9u9I=")</f>
        <v>#REF!</v>
      </c>
      <c r="HD3" t="str">
        <f>AND(#REF!,"AAAAAG/9u9M=")</f>
        <v>#REF!</v>
      </c>
      <c r="HE3" t="str">
        <f>AND(#REF!,"AAAAAG/9u9Q=")</f>
        <v>#REF!</v>
      </c>
      <c r="HF3" t="str">
        <f>AND(#REF!,"AAAAAG/9u9U=")</f>
        <v>#REF!</v>
      </c>
      <c r="HG3" t="str">
        <f>AND(#REF!,"AAAAAG/9u9Y=")</f>
        <v>#REF!</v>
      </c>
      <c r="HH3" t="str">
        <f>AND(#REF!,"AAAAAG/9u9c=")</f>
        <v>#REF!</v>
      </c>
      <c r="HI3" t="str">
        <f>AND(#REF!,"AAAAAG/9u9g=")</f>
        <v>#REF!</v>
      </c>
      <c r="HJ3" t="str">
        <f>AND(#REF!,"AAAAAG/9u9k=")</f>
        <v>#REF!</v>
      </c>
      <c r="HK3" t="str">
        <f>AND(#REF!,"AAAAAG/9u9o=")</f>
        <v>#REF!</v>
      </c>
      <c r="HL3" t="str">
        <f>AND(#REF!,"AAAAAG/9u9s=")</f>
        <v>#REF!</v>
      </c>
      <c r="HM3" t="str">
        <f>AND(#REF!,"AAAAAG/9u9w=")</f>
        <v>#REF!</v>
      </c>
      <c r="HN3" t="str">
        <f>AND(#REF!,"AAAAAG/9u90=")</f>
        <v>#REF!</v>
      </c>
      <c r="HO3" t="str">
        <f>AND(#REF!,"AAAAAG/9u94=")</f>
        <v>#REF!</v>
      </c>
      <c r="HP3" t="str">
        <f>AND(#REF!,"AAAAAG/9u98=")</f>
        <v>#REF!</v>
      </c>
      <c r="HQ3" t="str">
        <f>AND(#REF!,"AAAAAG/9u+A=")</f>
        <v>#REF!</v>
      </c>
      <c r="HR3" t="str">
        <f>AND(#REF!,"AAAAAG/9u+E=")</f>
        <v>#REF!</v>
      </c>
      <c r="HS3" t="str">
        <f>AND(#REF!,"AAAAAG/9u+I=")</f>
        <v>#REF!</v>
      </c>
      <c r="HT3" t="str">
        <f>AND(#REF!,"AAAAAG/9u+M=")</f>
        <v>#REF!</v>
      </c>
      <c r="HU3" t="str">
        <f>AND(#REF!,"AAAAAG/9u+Q=")</f>
        <v>#REF!</v>
      </c>
      <c r="HV3" t="str">
        <f>AND(#REF!,"AAAAAG/9u+U=")</f>
        <v>#REF!</v>
      </c>
      <c r="HW3" t="str">
        <f>AND(#REF!,"AAAAAG/9u+Y=")</f>
        <v>#REF!</v>
      </c>
      <c r="HX3" t="str">
        <f>AND(#REF!,"AAAAAG/9u+c=")</f>
        <v>#REF!</v>
      </c>
      <c r="HY3" t="str">
        <f>AND(#REF!,"AAAAAG/9u+g=")</f>
        <v>#REF!</v>
      </c>
      <c r="HZ3" t="str">
        <f>AND(#REF!,"AAAAAG/9u+k=")</f>
        <v>#REF!</v>
      </c>
      <c r="IA3" t="str">
        <f>AND(#REF!,"AAAAAG/9u+o=")</f>
        <v>#REF!</v>
      </c>
      <c r="IB3" t="str">
        <f>AND(#REF!,"AAAAAG/9u+s=")</f>
        <v>#REF!</v>
      </c>
      <c r="IC3" t="str">
        <f>AND(#REF!,"AAAAAG/9u+w=")</f>
        <v>#REF!</v>
      </c>
      <c r="ID3" t="str">
        <f>AND(#REF!,"AAAAAG/9u+0=")</f>
        <v>#REF!</v>
      </c>
      <c r="IE3" t="str">
        <f>AND(#REF!,"AAAAAG/9u+4=")</f>
        <v>#REF!</v>
      </c>
      <c r="IF3" t="str">
        <f>AND(#REF!,"AAAAAG/9u+8=")</f>
        <v>#REF!</v>
      </c>
      <c r="IG3" t="str">
        <f>AND(#REF!,"AAAAAG/9u/A=")</f>
        <v>#REF!</v>
      </c>
      <c r="IH3" t="str">
        <f>AND(#REF!,"AAAAAG/9u/E=")</f>
        <v>#REF!</v>
      </c>
      <c r="II3" t="str">
        <f>AND(#REF!,"AAAAAG/9u/I=")</f>
        <v>#REF!</v>
      </c>
      <c r="IJ3" t="str">
        <f>AND(#REF!,"AAAAAG/9u/M=")</f>
        <v>#REF!</v>
      </c>
      <c r="IK3" t="str">
        <f>AND(#REF!,"AAAAAG/9u/Q=")</f>
        <v>#REF!</v>
      </c>
      <c r="IL3" t="str">
        <f>AND(#REF!,"AAAAAG/9u/U=")</f>
        <v>#REF!</v>
      </c>
      <c r="IM3" t="str">
        <f>AND(#REF!,"AAAAAG/9u/Y=")</f>
        <v>#REF!</v>
      </c>
      <c r="IN3" t="str">
        <f>AND(#REF!,"AAAAAG/9u/c=")</f>
        <v>#REF!</v>
      </c>
      <c r="IO3" t="str">
        <f>IF(#REF!,"AAAAAG/9u/g=",0)</f>
        <v>#REF!</v>
      </c>
      <c r="IP3" t="str">
        <f>AND(#REF!,"AAAAAG/9u/k=")</f>
        <v>#REF!</v>
      </c>
      <c r="IQ3" t="str">
        <f>AND(#REF!,"AAAAAG/9u/o=")</f>
        <v>#REF!</v>
      </c>
      <c r="IR3" t="str">
        <f>AND(#REF!,"AAAAAG/9u/s=")</f>
        <v>#REF!</v>
      </c>
      <c r="IS3" t="str">
        <f>AND(#REF!,"AAAAAG/9u/w=")</f>
        <v>#REF!</v>
      </c>
      <c r="IT3" t="str">
        <f>AND(#REF!,"AAAAAG/9u/0=")</f>
        <v>#REF!</v>
      </c>
      <c r="IU3" t="str">
        <f>AND(#REF!,"AAAAAG/9u/4=")</f>
        <v>#REF!</v>
      </c>
      <c r="IV3" t="str">
        <f>AND(#REF!,"AAAAAG/9u/8=")</f>
        <v>#REF!</v>
      </c>
    </row>
    <row r="4">
      <c r="A4" t="str">
        <f>AND(#REF!,"AAAAAH7isgA=")</f>
        <v>#REF!</v>
      </c>
      <c r="B4" t="str">
        <f>AND(#REF!,"AAAAAH7isgE=")</f>
        <v>#REF!</v>
      </c>
      <c r="C4" t="str">
        <f>AND(#REF!,"AAAAAH7isgI=")</f>
        <v>#REF!</v>
      </c>
      <c r="D4" t="str">
        <f>AND(#REF!,"AAAAAH7isgM=")</f>
        <v>#REF!</v>
      </c>
      <c r="E4" t="str">
        <f>AND(#REF!,"AAAAAH7isgQ=")</f>
        <v>#REF!</v>
      </c>
      <c r="F4" t="str">
        <f>AND(#REF!,"AAAAAH7isgU=")</f>
        <v>#REF!</v>
      </c>
      <c r="G4" t="str">
        <f>AND(#REF!,"AAAAAH7isgY=")</f>
        <v>#REF!</v>
      </c>
      <c r="H4" t="str">
        <f>AND(#REF!,"AAAAAH7isgc=")</f>
        <v>#REF!</v>
      </c>
      <c r="I4" t="str">
        <f>AND(#REF!,"AAAAAH7isgg=")</f>
        <v>#REF!</v>
      </c>
      <c r="J4" t="str">
        <f>AND(#REF!,"AAAAAH7isgk=")</f>
        <v>#REF!</v>
      </c>
      <c r="K4" t="str">
        <f>AND(#REF!,"AAAAAH7isgo=")</f>
        <v>#REF!</v>
      </c>
      <c r="L4" t="str">
        <f>AND(#REF!,"AAAAAH7isgs=")</f>
        <v>#REF!</v>
      </c>
      <c r="M4" t="str">
        <f>AND(#REF!,"AAAAAH7isgw=")</f>
        <v>#REF!</v>
      </c>
      <c r="N4" t="str">
        <f>AND(#REF!,"AAAAAH7isg0=")</f>
        <v>#REF!</v>
      </c>
      <c r="O4" t="str">
        <f>AND(#REF!,"AAAAAH7isg4=")</f>
        <v>#REF!</v>
      </c>
      <c r="P4" t="str">
        <f>AND(#REF!,"AAAAAH7isg8=")</f>
        <v>#REF!</v>
      </c>
      <c r="Q4" t="str">
        <f>AND(#REF!,"AAAAAH7ishA=")</f>
        <v>#REF!</v>
      </c>
      <c r="R4" t="str">
        <f>AND(#REF!,"AAAAAH7ishE=")</f>
        <v>#REF!</v>
      </c>
      <c r="S4" t="str">
        <f>AND(#REF!,"AAAAAH7ishI=")</f>
        <v>#REF!</v>
      </c>
      <c r="T4" t="str">
        <f>AND(#REF!,"AAAAAH7ishM=")</f>
        <v>#REF!</v>
      </c>
      <c r="U4" t="str">
        <f>AND(#REF!,"AAAAAH7ishQ=")</f>
        <v>#REF!</v>
      </c>
      <c r="V4" t="str">
        <f>AND(#REF!,"AAAAAH7ishU=")</f>
        <v>#REF!</v>
      </c>
      <c r="W4" t="str">
        <f>AND(#REF!,"AAAAAH7ishY=")</f>
        <v>#REF!</v>
      </c>
      <c r="X4" t="str">
        <f>AND(#REF!,"AAAAAH7ishc=")</f>
        <v>#REF!</v>
      </c>
      <c r="Y4" t="str">
        <f>AND(#REF!,"AAAAAH7ishg=")</f>
        <v>#REF!</v>
      </c>
      <c r="Z4" t="str">
        <f>AND(#REF!,"AAAAAH7ishk=")</f>
        <v>#REF!</v>
      </c>
      <c r="AA4" t="str">
        <f>AND(#REF!,"AAAAAH7isho=")</f>
        <v>#REF!</v>
      </c>
      <c r="AB4" t="str">
        <f>AND(#REF!,"AAAAAH7ishs=")</f>
        <v>#REF!</v>
      </c>
      <c r="AC4" t="str">
        <f>AND(#REF!,"AAAAAH7ishw=")</f>
        <v>#REF!</v>
      </c>
      <c r="AD4" t="str">
        <f>AND(#REF!,"AAAAAH7ish0=")</f>
        <v>#REF!</v>
      </c>
      <c r="AE4" t="str">
        <f>AND(#REF!,"AAAAAH7ish4=")</f>
        <v>#REF!</v>
      </c>
      <c r="AF4" t="str">
        <f>AND(#REF!,"AAAAAH7ish8=")</f>
        <v>#REF!</v>
      </c>
      <c r="AG4" t="str">
        <f>AND(#REF!,"AAAAAH7isiA=")</f>
        <v>#REF!</v>
      </c>
      <c r="AH4" t="str">
        <f>AND(#REF!,"AAAAAH7isiE=")</f>
        <v>#REF!</v>
      </c>
      <c r="AI4" t="str">
        <f>AND(#REF!,"AAAAAH7isiI=")</f>
        <v>#REF!</v>
      </c>
      <c r="AJ4" t="str">
        <f>AND(#REF!,"AAAAAH7isiM=")</f>
        <v>#REF!</v>
      </c>
      <c r="AK4" t="str">
        <f>AND(#REF!,"AAAAAH7isiQ=")</f>
        <v>#REF!</v>
      </c>
      <c r="AL4" t="str">
        <f>AND(#REF!,"AAAAAH7isiU=")</f>
        <v>#REF!</v>
      </c>
      <c r="AM4" t="str">
        <f>AND(#REF!,"AAAAAH7isiY=")</f>
        <v>#REF!</v>
      </c>
      <c r="AN4" t="str">
        <f>AND(#REF!,"AAAAAH7isic=")</f>
        <v>#REF!</v>
      </c>
      <c r="AO4" t="str">
        <f>AND(#REF!,"AAAAAH7isig=")</f>
        <v>#REF!</v>
      </c>
      <c r="AP4" t="str">
        <f>AND(#REF!,"AAAAAH7isik=")</f>
        <v>#REF!</v>
      </c>
      <c r="AQ4" t="str">
        <f>AND(#REF!,"AAAAAH7isio=")</f>
        <v>#REF!</v>
      </c>
      <c r="AR4" t="str">
        <f>AND(#REF!,"AAAAAH7isis=")</f>
        <v>#REF!</v>
      </c>
      <c r="AS4" t="str">
        <f>AND(#REF!,"AAAAAH7isiw=")</f>
        <v>#REF!</v>
      </c>
      <c r="AT4" t="str">
        <f>AND(#REF!,"AAAAAH7isi0=")</f>
        <v>#REF!</v>
      </c>
      <c r="AU4" t="str">
        <f>AND(#REF!,"AAAAAH7isi4=")</f>
        <v>#REF!</v>
      </c>
      <c r="AV4" t="str">
        <f>AND(#REF!,"AAAAAH7isi8=")</f>
        <v>#REF!</v>
      </c>
      <c r="AW4" t="str">
        <f>AND(#REF!,"AAAAAH7isjA=")</f>
        <v>#REF!</v>
      </c>
      <c r="AX4" t="str">
        <f>AND(#REF!,"AAAAAH7isjE=")</f>
        <v>#REF!</v>
      </c>
      <c r="AY4" t="str">
        <f>AND(#REF!,"AAAAAH7isjI=")</f>
        <v>#REF!</v>
      </c>
      <c r="AZ4" t="str">
        <f>AND(#REF!,"AAAAAH7isjM=")</f>
        <v>#REF!</v>
      </c>
      <c r="BA4" t="str">
        <f>AND(#REF!,"AAAAAH7isjQ=")</f>
        <v>#REF!</v>
      </c>
      <c r="BB4" t="str">
        <f>AND(#REF!,"AAAAAH7isjU=")</f>
        <v>#REF!</v>
      </c>
      <c r="BC4" t="str">
        <f>AND(#REF!,"AAAAAH7isjY=")</f>
        <v>#REF!</v>
      </c>
      <c r="BD4" t="str">
        <f>AND(#REF!,"AAAAAH7isjc=")</f>
        <v>#REF!</v>
      </c>
      <c r="BE4" t="str">
        <f>AND(#REF!,"AAAAAH7isjg=")</f>
        <v>#REF!</v>
      </c>
      <c r="BF4" t="str">
        <f>AND(#REF!,"AAAAAH7isjk=")</f>
        <v>#REF!</v>
      </c>
      <c r="BG4" t="str">
        <f>AND(#REF!,"AAAAAH7isjo=")</f>
        <v>#REF!</v>
      </c>
      <c r="BH4" t="str">
        <f>AND(#REF!,"AAAAAH7isjs=")</f>
        <v>#REF!</v>
      </c>
      <c r="BI4" t="str">
        <f>AND(#REF!,"AAAAAH7isjw=")</f>
        <v>#REF!</v>
      </c>
      <c r="BJ4" t="str">
        <f>AND(#REF!,"AAAAAH7isj0=")</f>
        <v>#REF!</v>
      </c>
      <c r="BK4" t="str">
        <f>AND(#REF!,"AAAAAH7isj4=")</f>
        <v>#REF!</v>
      </c>
      <c r="BL4" t="str">
        <f>AND(#REF!,"AAAAAH7isj8=")</f>
        <v>#REF!</v>
      </c>
      <c r="BM4" t="str">
        <f>AND(#REF!,"AAAAAH7iskA=")</f>
        <v>#REF!</v>
      </c>
      <c r="BN4" t="str">
        <f>AND(#REF!,"AAAAAH7iskE=")</f>
        <v>#REF!</v>
      </c>
      <c r="BO4" t="str">
        <f>AND(#REF!,"AAAAAH7iskI=")</f>
        <v>#REF!</v>
      </c>
      <c r="BP4" t="str">
        <f>AND(#REF!,"AAAAAH7iskM=")</f>
        <v>#REF!</v>
      </c>
      <c r="BQ4" t="str">
        <f>IF(#REF!,"AAAAAH7iskQ=",0)</f>
        <v>#REF!</v>
      </c>
      <c r="BR4" t="str">
        <f>AND(#REF!,"AAAAAH7iskU=")</f>
        <v>#REF!</v>
      </c>
      <c r="BS4" t="str">
        <f>AND(#REF!,"AAAAAH7iskY=")</f>
        <v>#REF!</v>
      </c>
      <c r="BT4" t="str">
        <f>AND(#REF!,"AAAAAH7iskc=")</f>
        <v>#REF!</v>
      </c>
      <c r="BU4" t="str">
        <f>AND(#REF!,"AAAAAH7iskg=")</f>
        <v>#REF!</v>
      </c>
      <c r="BV4" t="str">
        <f>AND(#REF!,"AAAAAH7iskk=")</f>
        <v>#REF!</v>
      </c>
      <c r="BW4" t="str">
        <f>AND(#REF!,"AAAAAH7isko=")</f>
        <v>#REF!</v>
      </c>
      <c r="BX4" t="str">
        <f>AND(#REF!,"AAAAAH7isks=")</f>
        <v>#REF!</v>
      </c>
      <c r="BY4" t="str">
        <f>AND(#REF!,"AAAAAH7iskw=")</f>
        <v>#REF!</v>
      </c>
      <c r="BZ4" t="str">
        <f>AND(#REF!,"AAAAAH7isk0=")</f>
        <v>#REF!</v>
      </c>
      <c r="CA4" t="str">
        <f>AND(#REF!,"AAAAAH7isk4=")</f>
        <v>#REF!</v>
      </c>
      <c r="CB4" t="str">
        <f>AND(#REF!,"AAAAAH7isk8=")</f>
        <v>#REF!</v>
      </c>
      <c r="CC4" t="str">
        <f>AND(#REF!,"AAAAAH7islA=")</f>
        <v>#REF!</v>
      </c>
      <c r="CD4" t="str">
        <f>AND(#REF!,"AAAAAH7islE=")</f>
        <v>#REF!</v>
      </c>
      <c r="CE4" t="str">
        <f>AND(#REF!,"AAAAAH7islI=")</f>
        <v>#REF!</v>
      </c>
      <c r="CF4" t="str">
        <f>AND(#REF!,"AAAAAH7islM=")</f>
        <v>#REF!</v>
      </c>
      <c r="CG4" t="str">
        <f>AND(#REF!,"AAAAAH7islQ=")</f>
        <v>#REF!</v>
      </c>
      <c r="CH4" t="str">
        <f>AND(#REF!,"AAAAAH7islU=")</f>
        <v>#REF!</v>
      </c>
      <c r="CI4" t="str">
        <f>AND(#REF!,"AAAAAH7islY=")</f>
        <v>#REF!</v>
      </c>
      <c r="CJ4" t="str">
        <f>AND(#REF!,"AAAAAH7islc=")</f>
        <v>#REF!</v>
      </c>
      <c r="CK4" t="str">
        <f>AND(#REF!,"AAAAAH7islg=")</f>
        <v>#REF!</v>
      </c>
      <c r="CL4" t="str">
        <f>AND(#REF!,"AAAAAH7islk=")</f>
        <v>#REF!</v>
      </c>
      <c r="CM4" t="str">
        <f>AND(#REF!,"AAAAAH7islo=")</f>
        <v>#REF!</v>
      </c>
      <c r="CN4" t="str">
        <f>AND(#REF!,"AAAAAH7isls=")</f>
        <v>#REF!</v>
      </c>
      <c r="CO4" t="str">
        <f>AND(#REF!,"AAAAAH7islw=")</f>
        <v>#REF!</v>
      </c>
      <c r="CP4" t="str">
        <f>AND(#REF!,"AAAAAH7isl0=")</f>
        <v>#REF!</v>
      </c>
      <c r="CQ4" t="str">
        <f>AND(#REF!,"AAAAAH7isl4=")</f>
        <v>#REF!</v>
      </c>
      <c r="CR4" t="str">
        <f>AND(#REF!,"AAAAAH7isl8=")</f>
        <v>#REF!</v>
      </c>
      <c r="CS4" t="str">
        <f>AND(#REF!,"AAAAAH7ismA=")</f>
        <v>#REF!</v>
      </c>
      <c r="CT4" t="str">
        <f>AND(#REF!,"AAAAAH7ismE=")</f>
        <v>#REF!</v>
      </c>
      <c r="CU4" t="str">
        <f>AND(#REF!,"AAAAAH7ismI=")</f>
        <v>#REF!</v>
      </c>
      <c r="CV4" t="str">
        <f>AND(#REF!,"AAAAAH7ismM=")</f>
        <v>#REF!</v>
      </c>
      <c r="CW4" t="str">
        <f>AND(#REF!,"AAAAAH7ismQ=")</f>
        <v>#REF!</v>
      </c>
      <c r="CX4" t="str">
        <f>AND(#REF!,"AAAAAH7ismU=")</f>
        <v>#REF!</v>
      </c>
      <c r="CY4" t="str">
        <f>AND(#REF!,"AAAAAH7ismY=")</f>
        <v>#REF!</v>
      </c>
      <c r="CZ4" t="str">
        <f>AND(#REF!,"AAAAAH7ismc=")</f>
        <v>#REF!</v>
      </c>
      <c r="DA4" t="str">
        <f>AND(#REF!,"AAAAAH7ismg=")</f>
        <v>#REF!</v>
      </c>
      <c r="DB4" t="str">
        <f>AND(#REF!,"AAAAAH7ismk=")</f>
        <v>#REF!</v>
      </c>
      <c r="DC4" t="str">
        <f>AND(#REF!,"AAAAAH7ismo=")</f>
        <v>#REF!</v>
      </c>
      <c r="DD4" t="str">
        <f>AND(#REF!,"AAAAAH7isms=")</f>
        <v>#REF!</v>
      </c>
      <c r="DE4" t="str">
        <f>AND(#REF!,"AAAAAH7ismw=")</f>
        <v>#REF!</v>
      </c>
      <c r="DF4" t="str">
        <f>AND(#REF!,"AAAAAH7ism0=")</f>
        <v>#REF!</v>
      </c>
      <c r="DG4" t="str">
        <f>AND(#REF!,"AAAAAH7ism4=")</f>
        <v>#REF!</v>
      </c>
      <c r="DH4" t="str">
        <f>AND(#REF!,"AAAAAH7ism8=")</f>
        <v>#REF!</v>
      </c>
      <c r="DI4" t="str">
        <f>AND(#REF!,"AAAAAH7isnA=")</f>
        <v>#REF!</v>
      </c>
      <c r="DJ4" t="str">
        <f>AND(#REF!,"AAAAAH7isnE=")</f>
        <v>#REF!</v>
      </c>
      <c r="DK4" t="str">
        <f>AND(#REF!,"AAAAAH7isnI=")</f>
        <v>#REF!</v>
      </c>
      <c r="DL4" t="str">
        <f>AND(#REF!,"AAAAAH7isnM=")</f>
        <v>#REF!</v>
      </c>
      <c r="DM4" t="str">
        <f>AND(#REF!,"AAAAAH7isnQ=")</f>
        <v>#REF!</v>
      </c>
      <c r="DN4" t="str">
        <f>AND(#REF!,"AAAAAH7isnU=")</f>
        <v>#REF!</v>
      </c>
      <c r="DO4" t="str">
        <f>AND(#REF!,"AAAAAH7isnY=")</f>
        <v>#REF!</v>
      </c>
      <c r="DP4" t="str">
        <f>AND(#REF!,"AAAAAH7isnc=")</f>
        <v>#REF!</v>
      </c>
      <c r="DQ4" t="str">
        <f>AND(#REF!,"AAAAAH7isng=")</f>
        <v>#REF!</v>
      </c>
      <c r="DR4" t="str">
        <f>AND(#REF!,"AAAAAH7isnk=")</f>
        <v>#REF!</v>
      </c>
      <c r="DS4" t="str">
        <f>AND(#REF!,"AAAAAH7isno=")</f>
        <v>#REF!</v>
      </c>
      <c r="DT4" t="str">
        <f>AND(#REF!,"AAAAAH7isns=")</f>
        <v>#REF!</v>
      </c>
      <c r="DU4" t="str">
        <f>AND(#REF!,"AAAAAH7isnw=")</f>
        <v>#REF!</v>
      </c>
      <c r="DV4" t="str">
        <f>AND(#REF!,"AAAAAH7isn0=")</f>
        <v>#REF!</v>
      </c>
      <c r="DW4" t="str">
        <f>AND(#REF!,"AAAAAH7isn4=")</f>
        <v>#REF!</v>
      </c>
      <c r="DX4" t="str">
        <f>AND(#REF!,"AAAAAH7isn8=")</f>
        <v>#REF!</v>
      </c>
      <c r="DY4" t="str">
        <f>AND(#REF!,"AAAAAH7isoA=")</f>
        <v>#REF!</v>
      </c>
      <c r="DZ4" t="str">
        <f>AND(#REF!,"AAAAAH7isoE=")</f>
        <v>#REF!</v>
      </c>
      <c r="EA4" t="str">
        <f>AND(#REF!,"AAAAAH7isoI=")</f>
        <v>#REF!</v>
      </c>
      <c r="EB4" t="str">
        <f>AND(#REF!,"AAAAAH7isoM=")</f>
        <v>#REF!</v>
      </c>
      <c r="EC4" t="str">
        <f>AND(#REF!,"AAAAAH7isoQ=")</f>
        <v>#REF!</v>
      </c>
      <c r="ED4" t="str">
        <f>AND(#REF!,"AAAAAH7isoU=")</f>
        <v>#REF!</v>
      </c>
      <c r="EE4" t="str">
        <f>AND(#REF!,"AAAAAH7isoY=")</f>
        <v>#REF!</v>
      </c>
      <c r="EF4" t="str">
        <f>AND(#REF!,"AAAAAH7isoc=")</f>
        <v>#REF!</v>
      </c>
      <c r="EG4" t="str">
        <f>AND(#REF!,"AAAAAH7isog=")</f>
        <v>#REF!</v>
      </c>
      <c r="EH4" t="str">
        <f>AND(#REF!,"AAAAAH7isok=")</f>
        <v>#REF!</v>
      </c>
      <c r="EI4" t="str">
        <f>AND(#REF!,"AAAAAH7isoo=")</f>
        <v>#REF!</v>
      </c>
      <c r="EJ4" t="str">
        <f>AND(#REF!,"AAAAAH7isos=")</f>
        <v>#REF!</v>
      </c>
      <c r="EK4" t="str">
        <f>AND(#REF!,"AAAAAH7isow=")</f>
        <v>#REF!</v>
      </c>
      <c r="EL4" t="str">
        <f>AND(#REF!,"AAAAAH7iso0=")</f>
        <v>#REF!</v>
      </c>
      <c r="EM4" t="str">
        <f>AND(#REF!,"AAAAAH7iso4=")</f>
        <v>#REF!</v>
      </c>
      <c r="EN4" t="str">
        <f>AND(#REF!,"AAAAAH7iso8=")</f>
        <v>#REF!</v>
      </c>
      <c r="EO4" t="str">
        <f>IF(#REF!,"AAAAAH7ispA=",0)</f>
        <v>#REF!</v>
      </c>
      <c r="EP4" t="str">
        <f>AND(#REF!,"AAAAAH7ispE=")</f>
        <v>#REF!</v>
      </c>
      <c r="EQ4" t="str">
        <f>AND(#REF!,"AAAAAH7ispI=")</f>
        <v>#REF!</v>
      </c>
      <c r="ER4" t="str">
        <f>AND(#REF!,"AAAAAH7ispM=")</f>
        <v>#REF!</v>
      </c>
      <c r="ES4" t="str">
        <f>AND(#REF!,"AAAAAH7ispQ=")</f>
        <v>#REF!</v>
      </c>
      <c r="ET4" t="str">
        <f>AND(#REF!,"AAAAAH7ispU=")</f>
        <v>#REF!</v>
      </c>
      <c r="EU4" t="str">
        <f>AND(#REF!,"AAAAAH7ispY=")</f>
        <v>#REF!</v>
      </c>
      <c r="EV4" t="str">
        <f>AND(#REF!,"AAAAAH7ispc=")</f>
        <v>#REF!</v>
      </c>
      <c r="EW4" t="str">
        <f>AND(#REF!,"AAAAAH7ispg=")</f>
        <v>#REF!</v>
      </c>
      <c r="EX4" t="str">
        <f>AND(#REF!,"AAAAAH7ispk=")</f>
        <v>#REF!</v>
      </c>
      <c r="EY4" t="str">
        <f>AND(#REF!,"AAAAAH7ispo=")</f>
        <v>#REF!</v>
      </c>
      <c r="EZ4" t="str">
        <f>AND(#REF!,"AAAAAH7isps=")</f>
        <v>#REF!</v>
      </c>
      <c r="FA4" t="str">
        <f>AND(#REF!,"AAAAAH7ispw=")</f>
        <v>#REF!</v>
      </c>
      <c r="FB4" t="str">
        <f>AND(#REF!,"AAAAAH7isp0=")</f>
        <v>#REF!</v>
      </c>
      <c r="FC4" t="str">
        <f>AND(#REF!,"AAAAAH7isp4=")</f>
        <v>#REF!</v>
      </c>
      <c r="FD4" t="str">
        <f>AND(#REF!,"AAAAAH7isp8=")</f>
        <v>#REF!</v>
      </c>
      <c r="FE4" t="str">
        <f>AND(#REF!,"AAAAAH7isqA=")</f>
        <v>#REF!</v>
      </c>
      <c r="FF4" t="str">
        <f>AND(#REF!,"AAAAAH7isqE=")</f>
        <v>#REF!</v>
      </c>
      <c r="FG4" t="str">
        <f>AND(#REF!,"AAAAAH7isqI=")</f>
        <v>#REF!</v>
      </c>
      <c r="FH4" t="str">
        <f>AND(#REF!,"AAAAAH7isqM=")</f>
        <v>#REF!</v>
      </c>
      <c r="FI4" t="str">
        <f>AND(#REF!,"AAAAAH7isqQ=")</f>
        <v>#REF!</v>
      </c>
      <c r="FJ4" t="str">
        <f>AND(#REF!,"AAAAAH7isqU=")</f>
        <v>#REF!</v>
      </c>
      <c r="FK4" t="str">
        <f>AND(#REF!,"AAAAAH7isqY=")</f>
        <v>#REF!</v>
      </c>
      <c r="FL4" t="str">
        <f>AND(#REF!,"AAAAAH7isqc=")</f>
        <v>#REF!</v>
      </c>
      <c r="FM4" t="str">
        <f>AND(#REF!,"AAAAAH7isqg=")</f>
        <v>#REF!</v>
      </c>
      <c r="FN4" t="str">
        <f>AND(#REF!,"AAAAAH7isqk=")</f>
        <v>#REF!</v>
      </c>
      <c r="FO4" t="str">
        <f>AND(#REF!,"AAAAAH7isqo=")</f>
        <v>#REF!</v>
      </c>
      <c r="FP4" t="str">
        <f>AND(#REF!,"AAAAAH7isqs=")</f>
        <v>#REF!</v>
      </c>
      <c r="FQ4" t="str">
        <f>AND(#REF!,"AAAAAH7isqw=")</f>
        <v>#REF!</v>
      </c>
      <c r="FR4" t="str">
        <f>AND(#REF!,"AAAAAH7isq0=")</f>
        <v>#REF!</v>
      </c>
      <c r="FS4" t="str">
        <f>AND(#REF!,"AAAAAH7isq4=")</f>
        <v>#REF!</v>
      </c>
      <c r="FT4" t="str">
        <f>AND(#REF!,"AAAAAH7isq8=")</f>
        <v>#REF!</v>
      </c>
      <c r="FU4" t="str">
        <f>AND(#REF!,"AAAAAH7isrA=")</f>
        <v>#REF!</v>
      </c>
      <c r="FV4" t="str">
        <f>AND(#REF!,"AAAAAH7isrE=")</f>
        <v>#REF!</v>
      </c>
      <c r="FW4" t="str">
        <f>AND(#REF!,"AAAAAH7isrI=")</f>
        <v>#REF!</v>
      </c>
      <c r="FX4" t="str">
        <f>AND(#REF!,"AAAAAH7isrM=")</f>
        <v>#REF!</v>
      </c>
      <c r="FY4" t="str">
        <f>AND(#REF!,"AAAAAH7isrQ=")</f>
        <v>#REF!</v>
      </c>
      <c r="FZ4" t="str">
        <f>AND(#REF!,"AAAAAH7isrU=")</f>
        <v>#REF!</v>
      </c>
      <c r="GA4" t="str">
        <f>AND(#REF!,"AAAAAH7isrY=")</f>
        <v>#REF!</v>
      </c>
      <c r="GB4" t="str">
        <f>AND(#REF!,"AAAAAH7isrc=")</f>
        <v>#REF!</v>
      </c>
      <c r="GC4" t="str">
        <f>AND(#REF!,"AAAAAH7isrg=")</f>
        <v>#REF!</v>
      </c>
      <c r="GD4" t="str">
        <f>AND(#REF!,"AAAAAH7isrk=")</f>
        <v>#REF!</v>
      </c>
      <c r="GE4" t="str">
        <f>AND(#REF!,"AAAAAH7isro=")</f>
        <v>#REF!</v>
      </c>
      <c r="GF4" t="str">
        <f>AND(#REF!,"AAAAAH7isrs=")</f>
        <v>#REF!</v>
      </c>
      <c r="GG4" t="str">
        <f>AND(#REF!,"AAAAAH7isrw=")</f>
        <v>#REF!</v>
      </c>
      <c r="GH4" t="str">
        <f>AND(#REF!,"AAAAAH7isr0=")</f>
        <v>#REF!</v>
      </c>
      <c r="GI4" t="str">
        <f>AND(#REF!,"AAAAAH7isr4=")</f>
        <v>#REF!</v>
      </c>
      <c r="GJ4" t="str">
        <f>AND(#REF!,"AAAAAH7isr8=")</f>
        <v>#REF!</v>
      </c>
      <c r="GK4" t="str">
        <f>AND(#REF!,"AAAAAH7issA=")</f>
        <v>#REF!</v>
      </c>
      <c r="GL4" t="str">
        <f>AND(#REF!,"AAAAAH7issE=")</f>
        <v>#REF!</v>
      </c>
      <c r="GM4" t="str">
        <f>AND(#REF!,"AAAAAH7issI=")</f>
        <v>#REF!</v>
      </c>
      <c r="GN4" t="str">
        <f>AND(#REF!,"AAAAAH7issM=")</f>
        <v>#REF!</v>
      </c>
      <c r="GO4" t="str">
        <f>AND(#REF!,"AAAAAH7issQ=")</f>
        <v>#REF!</v>
      </c>
      <c r="GP4" t="str">
        <f>AND(#REF!,"AAAAAH7issU=")</f>
        <v>#REF!</v>
      </c>
      <c r="GQ4" t="str">
        <f>AND(#REF!,"AAAAAH7issY=")</f>
        <v>#REF!</v>
      </c>
      <c r="GR4" t="str">
        <f>AND(#REF!,"AAAAAH7issc=")</f>
        <v>#REF!</v>
      </c>
      <c r="GS4" t="str">
        <f>AND(#REF!,"AAAAAH7issg=")</f>
        <v>#REF!</v>
      </c>
      <c r="GT4" t="str">
        <f>AND(#REF!,"AAAAAH7issk=")</f>
        <v>#REF!</v>
      </c>
      <c r="GU4" t="str">
        <f>AND(#REF!,"AAAAAH7isso=")</f>
        <v>#REF!</v>
      </c>
      <c r="GV4" t="str">
        <f>AND(#REF!,"AAAAAH7isss=")</f>
        <v>#REF!</v>
      </c>
      <c r="GW4" t="str">
        <f>AND(#REF!,"AAAAAH7issw=")</f>
        <v>#REF!</v>
      </c>
      <c r="GX4" t="str">
        <f>AND(#REF!,"AAAAAH7iss0=")</f>
        <v>#REF!</v>
      </c>
      <c r="GY4" t="str">
        <f>AND(#REF!,"AAAAAH7iss4=")</f>
        <v>#REF!</v>
      </c>
      <c r="GZ4" t="str">
        <f>AND(#REF!,"AAAAAH7iss8=")</f>
        <v>#REF!</v>
      </c>
      <c r="HA4" t="str">
        <f>AND(#REF!,"AAAAAH7istA=")</f>
        <v>#REF!</v>
      </c>
      <c r="HB4" t="str">
        <f>AND(#REF!,"AAAAAH7istE=")</f>
        <v>#REF!</v>
      </c>
      <c r="HC4" t="str">
        <f>AND(#REF!,"AAAAAH7istI=")</f>
        <v>#REF!</v>
      </c>
      <c r="HD4" t="str">
        <f>AND(#REF!,"AAAAAH7istM=")</f>
        <v>#REF!</v>
      </c>
      <c r="HE4" t="str">
        <f>AND(#REF!,"AAAAAH7istQ=")</f>
        <v>#REF!</v>
      </c>
      <c r="HF4" t="str">
        <f>AND(#REF!,"AAAAAH7istU=")</f>
        <v>#REF!</v>
      </c>
      <c r="HG4" t="str">
        <f>AND(#REF!,"AAAAAH7istY=")</f>
        <v>#REF!</v>
      </c>
      <c r="HH4" t="str">
        <f>AND(#REF!,"AAAAAH7istc=")</f>
        <v>#REF!</v>
      </c>
      <c r="HI4" t="str">
        <f>AND(#REF!,"AAAAAH7istg=")</f>
        <v>#REF!</v>
      </c>
      <c r="HJ4" t="str">
        <f>AND(#REF!,"AAAAAH7istk=")</f>
        <v>#REF!</v>
      </c>
      <c r="HK4" t="str">
        <f>AND(#REF!,"AAAAAH7isto=")</f>
        <v>#REF!</v>
      </c>
      <c r="HL4" t="str">
        <f>AND(#REF!,"AAAAAH7ists=")</f>
        <v>#REF!</v>
      </c>
      <c r="HM4" t="str">
        <f>IF(#REF!,"AAAAAH7istw=",0)</f>
        <v>#REF!</v>
      </c>
      <c r="HN4" t="str">
        <f>AND(#REF!,"AAAAAH7ist0=")</f>
        <v>#REF!</v>
      </c>
      <c r="HO4" t="str">
        <f>AND(#REF!,"AAAAAH7ist4=")</f>
        <v>#REF!</v>
      </c>
      <c r="HP4" t="str">
        <f>AND(#REF!,"AAAAAH7ist8=")</f>
        <v>#REF!</v>
      </c>
      <c r="HQ4" t="str">
        <f>AND(#REF!,"AAAAAH7isuA=")</f>
        <v>#REF!</v>
      </c>
      <c r="HR4" t="str">
        <f>AND(#REF!,"AAAAAH7isuE=")</f>
        <v>#REF!</v>
      </c>
      <c r="HS4" t="str">
        <f>AND(#REF!,"AAAAAH7isuI=")</f>
        <v>#REF!</v>
      </c>
      <c r="HT4" t="str">
        <f>AND(#REF!,"AAAAAH7isuM=")</f>
        <v>#REF!</v>
      </c>
      <c r="HU4" t="str">
        <f>AND(#REF!,"AAAAAH7isuQ=")</f>
        <v>#REF!</v>
      </c>
      <c r="HV4" t="str">
        <f>AND(#REF!,"AAAAAH7isuU=")</f>
        <v>#REF!</v>
      </c>
      <c r="HW4" t="str">
        <f>AND(#REF!,"AAAAAH7isuY=")</f>
        <v>#REF!</v>
      </c>
      <c r="HX4" t="str">
        <f>AND(#REF!,"AAAAAH7isuc=")</f>
        <v>#REF!</v>
      </c>
      <c r="HY4" t="str">
        <f>AND(#REF!,"AAAAAH7isug=")</f>
        <v>#REF!</v>
      </c>
      <c r="HZ4" t="str">
        <f>AND(#REF!,"AAAAAH7isuk=")</f>
        <v>#REF!</v>
      </c>
      <c r="IA4" t="str">
        <f>AND(#REF!,"AAAAAH7isuo=")</f>
        <v>#REF!</v>
      </c>
      <c r="IB4" t="str">
        <f>AND(#REF!,"AAAAAH7isus=")</f>
        <v>#REF!</v>
      </c>
      <c r="IC4" t="str">
        <f>AND(#REF!,"AAAAAH7isuw=")</f>
        <v>#REF!</v>
      </c>
      <c r="ID4" t="str">
        <f>AND(#REF!,"AAAAAH7isu0=")</f>
        <v>#REF!</v>
      </c>
      <c r="IE4" t="str">
        <f>AND(#REF!,"AAAAAH7isu4=")</f>
        <v>#REF!</v>
      </c>
      <c r="IF4" t="str">
        <f>AND(#REF!,"AAAAAH7isu8=")</f>
        <v>#REF!</v>
      </c>
      <c r="IG4" t="str">
        <f>AND(#REF!,"AAAAAH7isvA=")</f>
        <v>#REF!</v>
      </c>
      <c r="IH4" t="str">
        <f>AND(#REF!,"AAAAAH7isvE=")</f>
        <v>#REF!</v>
      </c>
      <c r="II4" t="str">
        <f>AND(#REF!,"AAAAAH7isvI=")</f>
        <v>#REF!</v>
      </c>
      <c r="IJ4" t="str">
        <f>AND(#REF!,"AAAAAH7isvM=")</f>
        <v>#REF!</v>
      </c>
      <c r="IK4" t="str">
        <f>AND(#REF!,"AAAAAH7isvQ=")</f>
        <v>#REF!</v>
      </c>
      <c r="IL4" t="str">
        <f>AND(#REF!,"AAAAAH7isvU=")</f>
        <v>#REF!</v>
      </c>
      <c r="IM4" t="str">
        <f>AND(#REF!,"AAAAAH7isvY=")</f>
        <v>#REF!</v>
      </c>
      <c r="IN4" t="str">
        <f>AND(#REF!,"AAAAAH7isvc=")</f>
        <v>#REF!</v>
      </c>
      <c r="IO4" t="str">
        <f>AND(#REF!,"AAAAAH7isvg=")</f>
        <v>#REF!</v>
      </c>
      <c r="IP4" t="str">
        <f>AND(#REF!,"AAAAAH7isvk=")</f>
        <v>#REF!</v>
      </c>
      <c r="IQ4" t="str">
        <f>AND(#REF!,"AAAAAH7isvo=")</f>
        <v>#REF!</v>
      </c>
      <c r="IR4" t="str">
        <f>AND(#REF!,"AAAAAH7isvs=")</f>
        <v>#REF!</v>
      </c>
      <c r="IS4" t="str">
        <f>AND(#REF!,"AAAAAH7isvw=")</f>
        <v>#REF!</v>
      </c>
      <c r="IT4" t="str">
        <f>AND(#REF!,"AAAAAH7isv0=")</f>
        <v>#REF!</v>
      </c>
      <c r="IU4" t="str">
        <f>AND(#REF!,"AAAAAH7isv4=")</f>
        <v>#REF!</v>
      </c>
      <c r="IV4" t="str">
        <f>AND(#REF!,"AAAAAH7isv8=")</f>
        <v>#REF!</v>
      </c>
    </row>
    <row r="5">
      <c r="A5" t="str">
        <f>AND(#REF!,"AAAAADP/iQA=")</f>
        <v>#REF!</v>
      </c>
      <c r="B5" t="str">
        <f>AND(#REF!,"AAAAADP/iQE=")</f>
        <v>#REF!</v>
      </c>
      <c r="C5" t="str">
        <f>AND(#REF!,"AAAAADP/iQI=")</f>
        <v>#REF!</v>
      </c>
      <c r="D5" t="str">
        <f>AND(#REF!,"AAAAADP/iQM=")</f>
        <v>#REF!</v>
      </c>
      <c r="E5" t="str">
        <f>AND(#REF!,"AAAAADP/iQQ=")</f>
        <v>#REF!</v>
      </c>
      <c r="F5" t="str">
        <f>AND(#REF!,"AAAAADP/iQU=")</f>
        <v>#REF!</v>
      </c>
      <c r="G5" t="str">
        <f>AND(#REF!,"AAAAADP/iQY=")</f>
        <v>#REF!</v>
      </c>
      <c r="H5" t="str">
        <f>AND(#REF!,"AAAAADP/iQc=")</f>
        <v>#REF!</v>
      </c>
      <c r="I5" t="str">
        <f>AND(#REF!,"AAAAADP/iQg=")</f>
        <v>#REF!</v>
      </c>
      <c r="J5" t="str">
        <f>AND(#REF!,"AAAAADP/iQk=")</f>
        <v>#REF!</v>
      </c>
      <c r="K5" t="str">
        <f>AND(#REF!,"AAAAADP/iQo=")</f>
        <v>#REF!</v>
      </c>
      <c r="L5" t="str">
        <f>AND(#REF!,"AAAAADP/iQs=")</f>
        <v>#REF!</v>
      </c>
      <c r="M5" t="str">
        <f>AND(#REF!,"AAAAADP/iQw=")</f>
        <v>#REF!</v>
      </c>
      <c r="N5" t="str">
        <f>AND(#REF!,"AAAAADP/iQ0=")</f>
        <v>#REF!</v>
      </c>
      <c r="O5" t="str">
        <f>AND(#REF!,"AAAAADP/iQ4=")</f>
        <v>#REF!</v>
      </c>
      <c r="P5" t="str">
        <f>AND(#REF!,"AAAAADP/iQ8=")</f>
        <v>#REF!</v>
      </c>
      <c r="Q5" t="str">
        <f>AND(#REF!,"AAAAADP/iRA=")</f>
        <v>#REF!</v>
      </c>
      <c r="R5" t="str">
        <f>AND(#REF!,"AAAAADP/iRE=")</f>
        <v>#REF!</v>
      </c>
      <c r="S5" t="str">
        <f>AND(#REF!,"AAAAADP/iRI=")</f>
        <v>#REF!</v>
      </c>
      <c r="T5" t="str">
        <f>AND(#REF!,"AAAAADP/iRM=")</f>
        <v>#REF!</v>
      </c>
      <c r="U5" t="str">
        <f>AND(#REF!,"AAAAADP/iRQ=")</f>
        <v>#REF!</v>
      </c>
      <c r="V5" t="str">
        <f>AND(#REF!,"AAAAADP/iRU=")</f>
        <v>#REF!</v>
      </c>
      <c r="W5" t="str">
        <f>AND(#REF!,"AAAAADP/iRY=")</f>
        <v>#REF!</v>
      </c>
      <c r="X5" t="str">
        <f>AND(#REF!,"AAAAADP/iRc=")</f>
        <v>#REF!</v>
      </c>
      <c r="Y5" t="str">
        <f>AND(#REF!,"AAAAADP/iRg=")</f>
        <v>#REF!</v>
      </c>
      <c r="Z5" t="str">
        <f>AND(#REF!,"AAAAADP/iRk=")</f>
        <v>#REF!</v>
      </c>
      <c r="AA5" t="str">
        <f>AND(#REF!,"AAAAADP/iRo=")</f>
        <v>#REF!</v>
      </c>
      <c r="AB5" t="str">
        <f>AND(#REF!,"AAAAADP/iRs=")</f>
        <v>#REF!</v>
      </c>
      <c r="AC5" t="str">
        <f>AND(#REF!,"AAAAADP/iRw=")</f>
        <v>#REF!</v>
      </c>
      <c r="AD5" t="str">
        <f>AND(#REF!,"AAAAADP/iR0=")</f>
        <v>#REF!</v>
      </c>
      <c r="AE5" t="str">
        <f>AND(#REF!,"AAAAADP/iR4=")</f>
        <v>#REF!</v>
      </c>
      <c r="AF5" t="str">
        <f>AND(#REF!,"AAAAADP/iR8=")</f>
        <v>#REF!</v>
      </c>
      <c r="AG5" t="str">
        <f>AND(#REF!,"AAAAADP/iSA=")</f>
        <v>#REF!</v>
      </c>
      <c r="AH5" t="str">
        <f>AND(#REF!,"AAAAADP/iSE=")</f>
        <v>#REF!</v>
      </c>
      <c r="AI5" t="str">
        <f>AND(#REF!,"AAAAADP/iSI=")</f>
        <v>#REF!</v>
      </c>
      <c r="AJ5" t="str">
        <f>AND(#REF!,"AAAAADP/iSM=")</f>
        <v>#REF!</v>
      </c>
      <c r="AK5" t="str">
        <f>AND(#REF!,"AAAAADP/iSQ=")</f>
        <v>#REF!</v>
      </c>
      <c r="AL5" t="str">
        <f>AND(#REF!,"AAAAADP/iSU=")</f>
        <v>#REF!</v>
      </c>
      <c r="AM5" t="str">
        <f>AND(#REF!,"AAAAADP/iSY=")</f>
        <v>#REF!</v>
      </c>
      <c r="AN5" t="str">
        <f>AND(#REF!,"AAAAADP/iSc=")</f>
        <v>#REF!</v>
      </c>
      <c r="AO5" t="str">
        <f>IF(#REF!,"AAAAADP/iSg=",0)</f>
        <v>#REF!</v>
      </c>
      <c r="AP5" t="str">
        <f>AND(#REF!,"AAAAADP/iSk=")</f>
        <v>#REF!</v>
      </c>
      <c r="AQ5" t="str">
        <f>AND(#REF!,"AAAAADP/iSo=")</f>
        <v>#REF!</v>
      </c>
      <c r="AR5" t="str">
        <f>AND(#REF!,"AAAAADP/iSs=")</f>
        <v>#REF!</v>
      </c>
      <c r="AS5" t="str">
        <f>AND(#REF!,"AAAAADP/iSw=")</f>
        <v>#REF!</v>
      </c>
      <c r="AT5" t="str">
        <f>AND(#REF!,"AAAAADP/iS0=")</f>
        <v>#REF!</v>
      </c>
      <c r="AU5" t="str">
        <f>AND(#REF!,"AAAAADP/iS4=")</f>
        <v>#REF!</v>
      </c>
      <c r="AV5" t="str">
        <f>AND(#REF!,"AAAAADP/iS8=")</f>
        <v>#REF!</v>
      </c>
      <c r="AW5" t="str">
        <f>AND(#REF!,"AAAAADP/iTA=")</f>
        <v>#REF!</v>
      </c>
      <c r="AX5" t="str">
        <f>AND(#REF!,"AAAAADP/iTE=")</f>
        <v>#REF!</v>
      </c>
      <c r="AY5" t="str">
        <f>AND(#REF!,"AAAAADP/iTI=")</f>
        <v>#REF!</v>
      </c>
      <c r="AZ5" t="str">
        <f>AND(#REF!,"AAAAADP/iTM=")</f>
        <v>#REF!</v>
      </c>
      <c r="BA5" t="str">
        <f>AND(#REF!,"AAAAADP/iTQ=")</f>
        <v>#REF!</v>
      </c>
      <c r="BB5" t="str">
        <f>AND(#REF!,"AAAAADP/iTU=")</f>
        <v>#REF!</v>
      </c>
      <c r="BC5" t="str">
        <f>AND(#REF!,"AAAAADP/iTY=")</f>
        <v>#REF!</v>
      </c>
      <c r="BD5" t="str">
        <f>AND(#REF!,"AAAAADP/iTc=")</f>
        <v>#REF!</v>
      </c>
      <c r="BE5" t="str">
        <f>AND(#REF!,"AAAAADP/iTg=")</f>
        <v>#REF!</v>
      </c>
      <c r="BF5" t="str">
        <f>AND(#REF!,"AAAAADP/iTk=")</f>
        <v>#REF!</v>
      </c>
      <c r="BG5" t="str">
        <f>AND(#REF!,"AAAAADP/iTo=")</f>
        <v>#REF!</v>
      </c>
      <c r="BH5" t="str">
        <f>AND(#REF!,"AAAAADP/iTs=")</f>
        <v>#REF!</v>
      </c>
      <c r="BI5" t="str">
        <f>AND(#REF!,"AAAAADP/iTw=")</f>
        <v>#REF!</v>
      </c>
      <c r="BJ5" t="str">
        <f>AND(#REF!,"AAAAADP/iT0=")</f>
        <v>#REF!</v>
      </c>
      <c r="BK5" t="str">
        <f>AND(#REF!,"AAAAADP/iT4=")</f>
        <v>#REF!</v>
      </c>
      <c r="BL5" t="str">
        <f>AND(#REF!,"AAAAADP/iT8=")</f>
        <v>#REF!</v>
      </c>
      <c r="BM5" t="str">
        <f>AND(#REF!,"AAAAADP/iUA=")</f>
        <v>#REF!</v>
      </c>
      <c r="BN5" t="str">
        <f>AND(#REF!,"AAAAADP/iUE=")</f>
        <v>#REF!</v>
      </c>
      <c r="BO5" t="str">
        <f>AND(#REF!,"AAAAADP/iUI=")</f>
        <v>#REF!</v>
      </c>
      <c r="BP5" t="str">
        <f>AND(#REF!,"AAAAADP/iUM=")</f>
        <v>#REF!</v>
      </c>
      <c r="BQ5" t="str">
        <f>AND(#REF!,"AAAAADP/iUQ=")</f>
        <v>#REF!</v>
      </c>
      <c r="BR5" t="str">
        <f>AND(#REF!,"AAAAADP/iUU=")</f>
        <v>#REF!</v>
      </c>
      <c r="BS5" t="str">
        <f>AND(#REF!,"AAAAADP/iUY=")</f>
        <v>#REF!</v>
      </c>
      <c r="BT5" t="str">
        <f>AND(#REF!,"AAAAADP/iUc=")</f>
        <v>#REF!</v>
      </c>
      <c r="BU5" t="str">
        <f>AND(#REF!,"AAAAADP/iUg=")</f>
        <v>#REF!</v>
      </c>
      <c r="BV5" t="str">
        <f>AND(#REF!,"AAAAADP/iUk=")</f>
        <v>#REF!</v>
      </c>
      <c r="BW5" t="str">
        <f>AND(#REF!,"AAAAADP/iUo=")</f>
        <v>#REF!</v>
      </c>
      <c r="BX5" t="str">
        <f>AND(#REF!,"AAAAADP/iUs=")</f>
        <v>#REF!</v>
      </c>
      <c r="BY5" t="str">
        <f>AND(#REF!,"AAAAADP/iUw=")</f>
        <v>#REF!</v>
      </c>
      <c r="BZ5" t="str">
        <f>AND(#REF!,"AAAAADP/iU0=")</f>
        <v>#REF!</v>
      </c>
      <c r="CA5" t="str">
        <f>AND(#REF!,"AAAAADP/iU4=")</f>
        <v>#REF!</v>
      </c>
      <c r="CB5" t="str">
        <f>AND(#REF!,"AAAAADP/iU8=")</f>
        <v>#REF!</v>
      </c>
      <c r="CC5" t="str">
        <f>AND(#REF!,"AAAAADP/iVA=")</f>
        <v>#REF!</v>
      </c>
      <c r="CD5" t="str">
        <f>AND(#REF!,"AAAAADP/iVE=")</f>
        <v>#REF!</v>
      </c>
      <c r="CE5" t="str">
        <f>AND(#REF!,"AAAAADP/iVI=")</f>
        <v>#REF!</v>
      </c>
      <c r="CF5" t="str">
        <f>AND(#REF!,"AAAAADP/iVM=")</f>
        <v>#REF!</v>
      </c>
      <c r="CG5" t="str">
        <f>AND(#REF!,"AAAAADP/iVQ=")</f>
        <v>#REF!</v>
      </c>
      <c r="CH5" t="str">
        <f>AND(#REF!,"AAAAADP/iVU=")</f>
        <v>#REF!</v>
      </c>
      <c r="CI5" t="str">
        <f>AND(#REF!,"AAAAADP/iVY=")</f>
        <v>#REF!</v>
      </c>
      <c r="CJ5" t="str">
        <f>AND(#REF!,"AAAAADP/iVc=")</f>
        <v>#REF!</v>
      </c>
      <c r="CK5" t="str">
        <f>AND(#REF!,"AAAAADP/iVg=")</f>
        <v>#REF!</v>
      </c>
      <c r="CL5" t="str">
        <f>AND(#REF!,"AAAAADP/iVk=")</f>
        <v>#REF!</v>
      </c>
      <c r="CM5" t="str">
        <f>AND(#REF!,"AAAAADP/iVo=")</f>
        <v>#REF!</v>
      </c>
      <c r="CN5" t="str">
        <f>AND(#REF!,"AAAAADP/iVs=")</f>
        <v>#REF!</v>
      </c>
      <c r="CO5" t="str">
        <f>AND(#REF!,"AAAAADP/iVw=")</f>
        <v>#REF!</v>
      </c>
      <c r="CP5" t="str">
        <f>AND(#REF!,"AAAAADP/iV0=")</f>
        <v>#REF!</v>
      </c>
      <c r="CQ5" t="str">
        <f>AND(#REF!,"AAAAADP/iV4=")</f>
        <v>#REF!</v>
      </c>
      <c r="CR5" t="str">
        <f>AND(#REF!,"AAAAADP/iV8=")</f>
        <v>#REF!</v>
      </c>
      <c r="CS5" t="str">
        <f>AND(#REF!,"AAAAADP/iWA=")</f>
        <v>#REF!</v>
      </c>
      <c r="CT5" t="str">
        <f>AND(#REF!,"AAAAADP/iWE=")</f>
        <v>#REF!</v>
      </c>
      <c r="CU5" t="str">
        <f>AND(#REF!,"AAAAADP/iWI=")</f>
        <v>#REF!</v>
      </c>
      <c r="CV5" t="str">
        <f>AND(#REF!,"AAAAADP/iWM=")</f>
        <v>#REF!</v>
      </c>
      <c r="CW5" t="str">
        <f>AND(#REF!,"AAAAADP/iWQ=")</f>
        <v>#REF!</v>
      </c>
      <c r="CX5" t="str">
        <f>AND(#REF!,"AAAAADP/iWU=")</f>
        <v>#REF!</v>
      </c>
      <c r="CY5" t="str">
        <f>AND(#REF!,"AAAAADP/iWY=")</f>
        <v>#REF!</v>
      </c>
      <c r="CZ5" t="str">
        <f>AND(#REF!,"AAAAADP/iWc=")</f>
        <v>#REF!</v>
      </c>
      <c r="DA5" t="str">
        <f>AND(#REF!,"AAAAADP/iWg=")</f>
        <v>#REF!</v>
      </c>
      <c r="DB5" t="str">
        <f>AND(#REF!,"AAAAADP/iWk=")</f>
        <v>#REF!</v>
      </c>
      <c r="DC5" t="str">
        <f>AND(#REF!,"AAAAADP/iWo=")</f>
        <v>#REF!</v>
      </c>
      <c r="DD5" t="str">
        <f>AND(#REF!,"AAAAADP/iWs=")</f>
        <v>#REF!</v>
      </c>
      <c r="DE5" t="str">
        <f>AND(#REF!,"AAAAADP/iWw=")</f>
        <v>#REF!</v>
      </c>
      <c r="DF5" t="str">
        <f>AND(#REF!,"AAAAADP/iW0=")</f>
        <v>#REF!</v>
      </c>
      <c r="DG5" t="str">
        <f>AND(#REF!,"AAAAADP/iW4=")</f>
        <v>#REF!</v>
      </c>
      <c r="DH5" t="str">
        <f>AND(#REF!,"AAAAADP/iW8=")</f>
        <v>#REF!</v>
      </c>
      <c r="DI5" t="str">
        <f>AND(#REF!,"AAAAADP/iXA=")</f>
        <v>#REF!</v>
      </c>
      <c r="DJ5" t="str">
        <f>AND(#REF!,"AAAAADP/iXE=")</f>
        <v>#REF!</v>
      </c>
      <c r="DK5" t="str">
        <f>AND(#REF!,"AAAAADP/iXI=")</f>
        <v>#REF!</v>
      </c>
      <c r="DL5" t="str">
        <f>AND(#REF!,"AAAAADP/iXM=")</f>
        <v>#REF!</v>
      </c>
      <c r="DM5" t="str">
        <f>IF(#REF!,"AAAAADP/iXQ=",0)</f>
        <v>#REF!</v>
      </c>
      <c r="DN5" t="str">
        <f>AND(#REF!,"AAAAADP/iXU=")</f>
        <v>#REF!</v>
      </c>
      <c r="DO5" t="str">
        <f>AND(#REF!,"AAAAADP/iXY=")</f>
        <v>#REF!</v>
      </c>
      <c r="DP5" t="str">
        <f>AND(#REF!,"AAAAADP/iXc=")</f>
        <v>#REF!</v>
      </c>
      <c r="DQ5" t="str">
        <f>AND(#REF!,"AAAAADP/iXg=")</f>
        <v>#REF!</v>
      </c>
      <c r="DR5" t="str">
        <f>AND(#REF!,"AAAAADP/iXk=")</f>
        <v>#REF!</v>
      </c>
      <c r="DS5" t="str">
        <f>AND(#REF!,"AAAAADP/iXo=")</f>
        <v>#REF!</v>
      </c>
      <c r="DT5" t="str">
        <f>AND(#REF!,"AAAAADP/iXs=")</f>
        <v>#REF!</v>
      </c>
      <c r="DU5" t="str">
        <f>AND(#REF!,"AAAAADP/iXw=")</f>
        <v>#REF!</v>
      </c>
      <c r="DV5" t="str">
        <f>AND(#REF!,"AAAAADP/iX0=")</f>
        <v>#REF!</v>
      </c>
      <c r="DW5" t="str">
        <f>AND(#REF!,"AAAAADP/iX4=")</f>
        <v>#REF!</v>
      </c>
      <c r="DX5" t="str">
        <f>AND(#REF!,"AAAAADP/iX8=")</f>
        <v>#REF!</v>
      </c>
      <c r="DY5" t="str">
        <f>AND(#REF!,"AAAAADP/iYA=")</f>
        <v>#REF!</v>
      </c>
      <c r="DZ5" t="str">
        <f>AND(#REF!,"AAAAADP/iYE=")</f>
        <v>#REF!</v>
      </c>
      <c r="EA5" t="str">
        <f>AND(#REF!,"AAAAADP/iYI=")</f>
        <v>#REF!</v>
      </c>
      <c r="EB5" t="str">
        <f>AND(#REF!,"AAAAADP/iYM=")</f>
        <v>#REF!</v>
      </c>
      <c r="EC5" t="str">
        <f>AND(#REF!,"AAAAADP/iYQ=")</f>
        <v>#REF!</v>
      </c>
      <c r="ED5" t="str">
        <f>AND(#REF!,"AAAAADP/iYU=")</f>
        <v>#REF!</v>
      </c>
      <c r="EE5" t="str">
        <f>AND(#REF!,"AAAAADP/iYY=")</f>
        <v>#REF!</v>
      </c>
      <c r="EF5" t="str">
        <f>AND(#REF!,"AAAAADP/iYc=")</f>
        <v>#REF!</v>
      </c>
      <c r="EG5" t="str">
        <f>AND(#REF!,"AAAAADP/iYg=")</f>
        <v>#REF!</v>
      </c>
      <c r="EH5" t="str">
        <f>AND(#REF!,"AAAAADP/iYk=")</f>
        <v>#REF!</v>
      </c>
      <c r="EI5" t="str">
        <f>AND(#REF!,"AAAAADP/iYo=")</f>
        <v>#REF!</v>
      </c>
      <c r="EJ5" t="str">
        <f>AND(#REF!,"AAAAADP/iYs=")</f>
        <v>#REF!</v>
      </c>
      <c r="EK5" t="str">
        <f>AND(#REF!,"AAAAADP/iYw=")</f>
        <v>#REF!</v>
      </c>
      <c r="EL5" t="str">
        <f>AND(#REF!,"AAAAADP/iY0=")</f>
        <v>#REF!</v>
      </c>
      <c r="EM5" t="str">
        <f>AND(#REF!,"AAAAADP/iY4=")</f>
        <v>#REF!</v>
      </c>
      <c r="EN5" t="str">
        <f>AND(#REF!,"AAAAADP/iY8=")</f>
        <v>#REF!</v>
      </c>
      <c r="EO5" t="str">
        <f>AND(#REF!,"AAAAADP/iZA=")</f>
        <v>#REF!</v>
      </c>
      <c r="EP5" t="str">
        <f>AND(#REF!,"AAAAADP/iZE=")</f>
        <v>#REF!</v>
      </c>
      <c r="EQ5" t="str">
        <f>AND(#REF!,"AAAAADP/iZI=")</f>
        <v>#REF!</v>
      </c>
      <c r="ER5" t="str">
        <f>AND(#REF!,"AAAAADP/iZM=")</f>
        <v>#REF!</v>
      </c>
      <c r="ES5" t="str">
        <f>AND(#REF!,"AAAAADP/iZQ=")</f>
        <v>#REF!</v>
      </c>
      <c r="ET5" t="str">
        <f>AND(#REF!,"AAAAADP/iZU=")</f>
        <v>#REF!</v>
      </c>
      <c r="EU5" t="str">
        <f>AND(#REF!,"AAAAADP/iZY=")</f>
        <v>#REF!</v>
      </c>
      <c r="EV5" t="str">
        <f>AND(#REF!,"AAAAADP/iZc=")</f>
        <v>#REF!</v>
      </c>
      <c r="EW5" t="str">
        <f>AND(#REF!,"AAAAADP/iZg=")</f>
        <v>#REF!</v>
      </c>
      <c r="EX5" t="str">
        <f>AND(#REF!,"AAAAADP/iZk=")</f>
        <v>#REF!</v>
      </c>
      <c r="EY5" t="str">
        <f>AND(#REF!,"AAAAADP/iZo=")</f>
        <v>#REF!</v>
      </c>
      <c r="EZ5" t="str">
        <f>AND(#REF!,"AAAAADP/iZs=")</f>
        <v>#REF!</v>
      </c>
      <c r="FA5" t="str">
        <f>AND(#REF!,"AAAAADP/iZw=")</f>
        <v>#REF!</v>
      </c>
      <c r="FB5" t="str">
        <f>AND(#REF!,"AAAAADP/iZ0=")</f>
        <v>#REF!</v>
      </c>
      <c r="FC5" t="str">
        <f>AND(#REF!,"AAAAADP/iZ4=")</f>
        <v>#REF!</v>
      </c>
      <c r="FD5" t="str">
        <f>AND(#REF!,"AAAAADP/iZ8=")</f>
        <v>#REF!</v>
      </c>
      <c r="FE5" t="str">
        <f>AND(#REF!,"AAAAADP/iaA=")</f>
        <v>#REF!</v>
      </c>
      <c r="FF5" t="str">
        <f>AND(#REF!,"AAAAADP/iaE=")</f>
        <v>#REF!</v>
      </c>
      <c r="FG5" t="str">
        <f>AND(#REF!,"AAAAADP/iaI=")</f>
        <v>#REF!</v>
      </c>
      <c r="FH5" t="str">
        <f>AND(#REF!,"AAAAADP/iaM=")</f>
        <v>#REF!</v>
      </c>
      <c r="FI5" t="str">
        <f>AND(#REF!,"AAAAADP/iaQ=")</f>
        <v>#REF!</v>
      </c>
      <c r="FJ5" t="str">
        <f>AND(#REF!,"AAAAADP/iaU=")</f>
        <v>#REF!</v>
      </c>
      <c r="FK5" t="str">
        <f>AND(#REF!,"AAAAADP/iaY=")</f>
        <v>#REF!</v>
      </c>
      <c r="FL5" t="str">
        <f>AND(#REF!,"AAAAADP/iac=")</f>
        <v>#REF!</v>
      </c>
      <c r="FM5" t="str">
        <f>AND(#REF!,"AAAAADP/iag=")</f>
        <v>#REF!</v>
      </c>
      <c r="FN5" t="str">
        <f>AND(#REF!,"AAAAADP/iak=")</f>
        <v>#REF!</v>
      </c>
      <c r="FO5" t="str">
        <f>AND(#REF!,"AAAAADP/iao=")</f>
        <v>#REF!</v>
      </c>
      <c r="FP5" t="str">
        <f>AND(#REF!,"AAAAADP/ias=")</f>
        <v>#REF!</v>
      </c>
      <c r="FQ5" t="str">
        <f>AND(#REF!,"AAAAADP/iaw=")</f>
        <v>#REF!</v>
      </c>
      <c r="FR5" t="str">
        <f>AND(#REF!,"AAAAADP/ia0=")</f>
        <v>#REF!</v>
      </c>
      <c r="FS5" t="str">
        <f>AND(#REF!,"AAAAADP/ia4=")</f>
        <v>#REF!</v>
      </c>
      <c r="FT5" t="str">
        <f>AND(#REF!,"AAAAADP/ia8=")</f>
        <v>#REF!</v>
      </c>
      <c r="FU5" t="str">
        <f>AND(#REF!,"AAAAADP/ibA=")</f>
        <v>#REF!</v>
      </c>
      <c r="FV5" t="str">
        <f>AND(#REF!,"AAAAADP/ibE=")</f>
        <v>#REF!</v>
      </c>
      <c r="FW5" t="str">
        <f>AND(#REF!,"AAAAADP/ibI=")</f>
        <v>#REF!</v>
      </c>
      <c r="FX5" t="str">
        <f>AND(#REF!,"AAAAADP/ibM=")</f>
        <v>#REF!</v>
      </c>
      <c r="FY5" t="str">
        <f>AND(#REF!,"AAAAADP/ibQ=")</f>
        <v>#REF!</v>
      </c>
      <c r="FZ5" t="str">
        <f>AND(#REF!,"AAAAADP/ibU=")</f>
        <v>#REF!</v>
      </c>
      <c r="GA5" t="str">
        <f>AND(#REF!,"AAAAADP/ibY=")</f>
        <v>#REF!</v>
      </c>
      <c r="GB5" t="str">
        <f>AND(#REF!,"AAAAADP/ibc=")</f>
        <v>#REF!</v>
      </c>
      <c r="GC5" t="str">
        <f>AND(#REF!,"AAAAADP/ibg=")</f>
        <v>#REF!</v>
      </c>
      <c r="GD5" t="str">
        <f>AND(#REF!,"AAAAADP/ibk=")</f>
        <v>#REF!</v>
      </c>
      <c r="GE5" t="str">
        <f>AND(#REF!,"AAAAADP/ibo=")</f>
        <v>#REF!</v>
      </c>
      <c r="GF5" t="str">
        <f>AND(#REF!,"AAAAADP/ibs=")</f>
        <v>#REF!</v>
      </c>
      <c r="GG5" t="str">
        <f>AND(#REF!,"AAAAADP/ibw=")</f>
        <v>#REF!</v>
      </c>
      <c r="GH5" t="str">
        <f>AND(#REF!,"AAAAADP/ib0=")</f>
        <v>#REF!</v>
      </c>
      <c r="GI5" t="str">
        <f>AND(#REF!,"AAAAADP/ib4=")</f>
        <v>#REF!</v>
      </c>
      <c r="GJ5" t="str">
        <f>AND(#REF!,"AAAAADP/ib8=")</f>
        <v>#REF!</v>
      </c>
      <c r="GK5" t="str">
        <f>IF(#REF!,"AAAAADP/icA=",0)</f>
        <v>#REF!</v>
      </c>
      <c r="GL5" t="str">
        <f>AND(#REF!,"AAAAADP/icE=")</f>
        <v>#REF!</v>
      </c>
      <c r="GM5" t="str">
        <f>AND(#REF!,"AAAAADP/icI=")</f>
        <v>#REF!</v>
      </c>
      <c r="GN5" t="str">
        <f>AND(#REF!,"AAAAADP/icM=")</f>
        <v>#REF!</v>
      </c>
      <c r="GO5" t="str">
        <f>AND(#REF!,"AAAAADP/icQ=")</f>
        <v>#REF!</v>
      </c>
      <c r="GP5" t="str">
        <f>AND(#REF!,"AAAAADP/icU=")</f>
        <v>#REF!</v>
      </c>
      <c r="GQ5" t="str">
        <f>AND(#REF!,"AAAAADP/icY=")</f>
        <v>#REF!</v>
      </c>
      <c r="GR5" t="str">
        <f>AND(#REF!,"AAAAADP/icc=")</f>
        <v>#REF!</v>
      </c>
      <c r="GS5" t="str">
        <f>AND(#REF!,"AAAAADP/icg=")</f>
        <v>#REF!</v>
      </c>
      <c r="GT5" t="str">
        <f>AND(#REF!,"AAAAADP/ick=")</f>
        <v>#REF!</v>
      </c>
      <c r="GU5" t="str">
        <f>AND(#REF!,"AAAAADP/ico=")</f>
        <v>#REF!</v>
      </c>
      <c r="GV5" t="str">
        <f>AND(#REF!,"AAAAADP/ics=")</f>
        <v>#REF!</v>
      </c>
      <c r="GW5" t="str">
        <f>AND(#REF!,"AAAAADP/icw=")</f>
        <v>#REF!</v>
      </c>
      <c r="GX5" t="str">
        <f>AND(#REF!,"AAAAADP/ic0=")</f>
        <v>#REF!</v>
      </c>
      <c r="GY5" t="str">
        <f>AND(#REF!,"AAAAADP/ic4=")</f>
        <v>#REF!</v>
      </c>
      <c r="GZ5" t="str">
        <f>AND(#REF!,"AAAAADP/ic8=")</f>
        <v>#REF!</v>
      </c>
      <c r="HA5" t="str">
        <f>AND(#REF!,"AAAAADP/idA=")</f>
        <v>#REF!</v>
      </c>
      <c r="HB5" t="str">
        <f>AND(#REF!,"AAAAADP/idE=")</f>
        <v>#REF!</v>
      </c>
      <c r="HC5" t="str">
        <f>AND(#REF!,"AAAAADP/idI=")</f>
        <v>#REF!</v>
      </c>
      <c r="HD5" t="str">
        <f>AND(#REF!,"AAAAADP/idM=")</f>
        <v>#REF!</v>
      </c>
      <c r="HE5" t="str">
        <f>AND(#REF!,"AAAAADP/idQ=")</f>
        <v>#REF!</v>
      </c>
      <c r="HF5" t="str">
        <f>AND(#REF!,"AAAAADP/idU=")</f>
        <v>#REF!</v>
      </c>
      <c r="HG5" t="str">
        <f>AND(#REF!,"AAAAADP/idY=")</f>
        <v>#REF!</v>
      </c>
      <c r="HH5" t="str">
        <f>AND(#REF!,"AAAAADP/idc=")</f>
        <v>#REF!</v>
      </c>
      <c r="HI5" t="str">
        <f>AND(#REF!,"AAAAADP/idg=")</f>
        <v>#REF!</v>
      </c>
      <c r="HJ5" t="str">
        <f>AND(#REF!,"AAAAADP/idk=")</f>
        <v>#REF!</v>
      </c>
      <c r="HK5" t="str">
        <f>AND(#REF!,"AAAAADP/ido=")</f>
        <v>#REF!</v>
      </c>
      <c r="HL5" t="str">
        <f>AND(#REF!,"AAAAADP/ids=")</f>
        <v>#REF!</v>
      </c>
      <c r="HM5" t="str">
        <f>AND(#REF!,"AAAAADP/idw=")</f>
        <v>#REF!</v>
      </c>
      <c r="HN5" t="str">
        <f>AND(#REF!,"AAAAADP/id0=")</f>
        <v>#REF!</v>
      </c>
      <c r="HO5" t="str">
        <f>AND(#REF!,"AAAAADP/id4=")</f>
        <v>#REF!</v>
      </c>
      <c r="HP5" t="str">
        <f>AND(#REF!,"AAAAADP/id8=")</f>
        <v>#REF!</v>
      </c>
      <c r="HQ5" t="str">
        <f>AND(#REF!,"AAAAADP/ieA=")</f>
        <v>#REF!</v>
      </c>
      <c r="HR5" t="str">
        <f>AND(#REF!,"AAAAADP/ieE=")</f>
        <v>#REF!</v>
      </c>
      <c r="HS5" t="str">
        <f>AND(#REF!,"AAAAADP/ieI=")</f>
        <v>#REF!</v>
      </c>
      <c r="HT5" t="str">
        <f>AND(#REF!,"AAAAADP/ieM=")</f>
        <v>#REF!</v>
      </c>
      <c r="HU5" t="str">
        <f>AND(#REF!,"AAAAADP/ieQ=")</f>
        <v>#REF!</v>
      </c>
      <c r="HV5" t="str">
        <f>AND(#REF!,"AAAAADP/ieU=")</f>
        <v>#REF!</v>
      </c>
      <c r="HW5" t="str">
        <f>AND(#REF!,"AAAAADP/ieY=")</f>
        <v>#REF!</v>
      </c>
      <c r="HX5" t="str">
        <f>AND(#REF!,"AAAAADP/iec=")</f>
        <v>#REF!</v>
      </c>
      <c r="HY5" t="str">
        <f>AND(#REF!,"AAAAADP/ieg=")</f>
        <v>#REF!</v>
      </c>
      <c r="HZ5" t="str">
        <f>AND(#REF!,"AAAAADP/iek=")</f>
        <v>#REF!</v>
      </c>
      <c r="IA5" t="str">
        <f>AND(#REF!,"AAAAADP/ieo=")</f>
        <v>#REF!</v>
      </c>
      <c r="IB5" t="str">
        <f>AND(#REF!,"AAAAADP/ies=")</f>
        <v>#REF!</v>
      </c>
      <c r="IC5" t="str">
        <f>AND(#REF!,"AAAAADP/iew=")</f>
        <v>#REF!</v>
      </c>
      <c r="ID5" t="str">
        <f>AND(#REF!,"AAAAADP/ie0=")</f>
        <v>#REF!</v>
      </c>
      <c r="IE5" t="str">
        <f>AND(#REF!,"AAAAADP/ie4=")</f>
        <v>#REF!</v>
      </c>
      <c r="IF5" t="str">
        <f>AND(#REF!,"AAAAADP/ie8=")</f>
        <v>#REF!</v>
      </c>
      <c r="IG5" t="str">
        <f>AND(#REF!,"AAAAADP/ifA=")</f>
        <v>#REF!</v>
      </c>
      <c r="IH5" t="str">
        <f>AND(#REF!,"AAAAADP/ifE=")</f>
        <v>#REF!</v>
      </c>
      <c r="II5" t="str">
        <f>AND(#REF!,"AAAAADP/ifI=")</f>
        <v>#REF!</v>
      </c>
      <c r="IJ5" t="str">
        <f>AND(#REF!,"AAAAADP/ifM=")</f>
        <v>#REF!</v>
      </c>
      <c r="IK5" t="str">
        <f>AND(#REF!,"AAAAADP/ifQ=")</f>
        <v>#REF!</v>
      </c>
      <c r="IL5" t="str">
        <f>AND(#REF!,"AAAAADP/ifU=")</f>
        <v>#REF!</v>
      </c>
      <c r="IM5" t="str">
        <f>AND(#REF!,"AAAAADP/ifY=")</f>
        <v>#REF!</v>
      </c>
      <c r="IN5" t="str">
        <f>AND(#REF!,"AAAAADP/ifc=")</f>
        <v>#REF!</v>
      </c>
      <c r="IO5" t="str">
        <f>AND(#REF!,"AAAAADP/ifg=")</f>
        <v>#REF!</v>
      </c>
      <c r="IP5" t="str">
        <f>AND(#REF!,"AAAAADP/ifk=")</f>
        <v>#REF!</v>
      </c>
      <c r="IQ5" t="str">
        <f>AND(#REF!,"AAAAADP/ifo=")</f>
        <v>#REF!</v>
      </c>
      <c r="IR5" t="str">
        <f>AND(#REF!,"AAAAADP/ifs=")</f>
        <v>#REF!</v>
      </c>
      <c r="IS5" t="str">
        <f>AND(#REF!,"AAAAADP/ifw=")</f>
        <v>#REF!</v>
      </c>
      <c r="IT5" t="str">
        <f>AND(#REF!,"AAAAADP/if0=")</f>
        <v>#REF!</v>
      </c>
      <c r="IU5" t="str">
        <f>AND(#REF!,"AAAAADP/if4=")</f>
        <v>#REF!</v>
      </c>
      <c r="IV5" t="str">
        <f>AND(#REF!,"AAAAADP/if8=")</f>
        <v>#REF!</v>
      </c>
    </row>
    <row r="6">
      <c r="A6" t="str">
        <f>AND(#REF!,"AAAAAHv/6wA=")</f>
        <v>#REF!</v>
      </c>
      <c r="B6" t="str">
        <f>AND(#REF!,"AAAAAHv/6wE=")</f>
        <v>#REF!</v>
      </c>
      <c r="C6" t="str">
        <f>AND(#REF!,"AAAAAHv/6wI=")</f>
        <v>#REF!</v>
      </c>
      <c r="D6" t="str">
        <f>AND(#REF!,"AAAAAHv/6wM=")</f>
        <v>#REF!</v>
      </c>
      <c r="E6" t="str">
        <f>AND(#REF!,"AAAAAHv/6wQ=")</f>
        <v>#REF!</v>
      </c>
      <c r="F6" t="str">
        <f>AND(#REF!,"AAAAAHv/6wU=")</f>
        <v>#REF!</v>
      </c>
      <c r="G6" t="str">
        <f>AND(#REF!,"AAAAAHv/6wY=")</f>
        <v>#REF!</v>
      </c>
      <c r="H6" t="str">
        <f>AND(#REF!,"AAAAAHv/6wc=")</f>
        <v>#REF!</v>
      </c>
      <c r="I6" t="str">
        <f>AND(#REF!,"AAAAAHv/6wg=")</f>
        <v>#REF!</v>
      </c>
      <c r="J6" t="str">
        <f>AND(#REF!,"AAAAAHv/6wk=")</f>
        <v>#REF!</v>
      </c>
      <c r="K6" t="str">
        <f>AND(#REF!,"AAAAAHv/6wo=")</f>
        <v>#REF!</v>
      </c>
      <c r="L6" t="str">
        <f>AND(#REF!,"AAAAAHv/6ws=")</f>
        <v>#REF!</v>
      </c>
      <c r="M6" t="str">
        <f>IF(#REF!,"AAAAAHv/6ww=",0)</f>
        <v>#REF!</v>
      </c>
      <c r="N6" t="str">
        <f>AND(#REF!,"AAAAAHv/6w0=")</f>
        <v>#REF!</v>
      </c>
      <c r="O6" t="str">
        <f>AND(#REF!,"AAAAAHv/6w4=")</f>
        <v>#REF!</v>
      </c>
      <c r="P6" t="str">
        <f>AND(#REF!,"AAAAAHv/6w8=")</f>
        <v>#REF!</v>
      </c>
      <c r="Q6" t="str">
        <f>AND(#REF!,"AAAAAHv/6xA=")</f>
        <v>#REF!</v>
      </c>
      <c r="R6" t="str">
        <f>AND(#REF!,"AAAAAHv/6xE=")</f>
        <v>#REF!</v>
      </c>
      <c r="S6" t="str">
        <f>AND(#REF!,"AAAAAHv/6xI=")</f>
        <v>#REF!</v>
      </c>
      <c r="T6" t="str">
        <f>AND(#REF!,"AAAAAHv/6xM=")</f>
        <v>#REF!</v>
      </c>
      <c r="U6" t="str">
        <f>AND(#REF!,"AAAAAHv/6xQ=")</f>
        <v>#REF!</v>
      </c>
      <c r="V6" t="str">
        <f>AND(#REF!,"AAAAAHv/6xU=")</f>
        <v>#REF!</v>
      </c>
      <c r="W6" t="str">
        <f>AND(#REF!,"AAAAAHv/6xY=")</f>
        <v>#REF!</v>
      </c>
      <c r="X6" t="str">
        <f>AND(#REF!,"AAAAAHv/6xc=")</f>
        <v>#REF!</v>
      </c>
      <c r="Y6" t="str">
        <f>AND(#REF!,"AAAAAHv/6xg=")</f>
        <v>#REF!</v>
      </c>
      <c r="Z6" t="str">
        <f>AND(#REF!,"AAAAAHv/6xk=")</f>
        <v>#REF!</v>
      </c>
      <c r="AA6" t="str">
        <f>AND(#REF!,"AAAAAHv/6xo=")</f>
        <v>#REF!</v>
      </c>
      <c r="AB6" t="str">
        <f>AND(#REF!,"AAAAAHv/6xs=")</f>
        <v>#REF!</v>
      </c>
      <c r="AC6" t="str">
        <f>AND(#REF!,"AAAAAHv/6xw=")</f>
        <v>#REF!</v>
      </c>
      <c r="AD6" t="str">
        <f>AND(#REF!,"AAAAAHv/6x0=")</f>
        <v>#REF!</v>
      </c>
      <c r="AE6" t="str">
        <f>AND(#REF!,"AAAAAHv/6x4=")</f>
        <v>#REF!</v>
      </c>
      <c r="AF6" t="str">
        <f>AND(#REF!,"AAAAAHv/6x8=")</f>
        <v>#REF!</v>
      </c>
      <c r="AG6" t="str">
        <f>AND(#REF!,"AAAAAHv/6yA=")</f>
        <v>#REF!</v>
      </c>
      <c r="AH6" t="str">
        <f>AND(#REF!,"AAAAAHv/6yE=")</f>
        <v>#REF!</v>
      </c>
      <c r="AI6" t="str">
        <f>AND(#REF!,"AAAAAHv/6yI=")</f>
        <v>#REF!</v>
      </c>
      <c r="AJ6" t="str">
        <f>AND(#REF!,"AAAAAHv/6yM=")</f>
        <v>#REF!</v>
      </c>
      <c r="AK6" t="str">
        <f>AND(#REF!,"AAAAAHv/6yQ=")</f>
        <v>#REF!</v>
      </c>
      <c r="AL6" t="str">
        <f>AND(#REF!,"AAAAAHv/6yU=")</f>
        <v>#REF!</v>
      </c>
      <c r="AM6" t="str">
        <f>AND(#REF!,"AAAAAHv/6yY=")</f>
        <v>#REF!</v>
      </c>
      <c r="AN6" t="str">
        <f>AND(#REF!,"AAAAAHv/6yc=")</f>
        <v>#REF!</v>
      </c>
      <c r="AO6" t="str">
        <f>AND(#REF!,"AAAAAHv/6yg=")</f>
        <v>#REF!</v>
      </c>
      <c r="AP6" t="str">
        <f>AND(#REF!,"AAAAAHv/6yk=")</f>
        <v>#REF!</v>
      </c>
      <c r="AQ6" t="str">
        <f>AND(#REF!,"AAAAAHv/6yo=")</f>
        <v>#REF!</v>
      </c>
      <c r="AR6" t="str">
        <f>AND(#REF!,"AAAAAHv/6ys=")</f>
        <v>#REF!</v>
      </c>
      <c r="AS6" t="str">
        <f>AND(#REF!,"AAAAAHv/6yw=")</f>
        <v>#REF!</v>
      </c>
      <c r="AT6" t="str">
        <f>AND(#REF!,"AAAAAHv/6y0=")</f>
        <v>#REF!</v>
      </c>
      <c r="AU6" t="str">
        <f>AND(#REF!,"AAAAAHv/6y4=")</f>
        <v>#REF!</v>
      </c>
      <c r="AV6" t="str">
        <f>AND(#REF!,"AAAAAHv/6y8=")</f>
        <v>#REF!</v>
      </c>
      <c r="AW6" t="str">
        <f>AND(#REF!,"AAAAAHv/6zA=")</f>
        <v>#REF!</v>
      </c>
      <c r="AX6" t="str">
        <f>AND(#REF!,"AAAAAHv/6zE=")</f>
        <v>#REF!</v>
      </c>
      <c r="AY6" t="str">
        <f>AND(#REF!,"AAAAAHv/6zI=")</f>
        <v>#REF!</v>
      </c>
      <c r="AZ6" t="str">
        <f>AND(#REF!,"AAAAAHv/6zM=")</f>
        <v>#REF!</v>
      </c>
      <c r="BA6" t="str">
        <f>AND(#REF!,"AAAAAHv/6zQ=")</f>
        <v>#REF!</v>
      </c>
      <c r="BB6" t="str">
        <f>AND(#REF!,"AAAAAHv/6zU=")</f>
        <v>#REF!</v>
      </c>
      <c r="BC6" t="str">
        <f>AND(#REF!,"AAAAAHv/6zY=")</f>
        <v>#REF!</v>
      </c>
      <c r="BD6" t="str">
        <f>AND(#REF!,"AAAAAHv/6zc=")</f>
        <v>#REF!</v>
      </c>
      <c r="BE6" t="str">
        <f>AND(#REF!,"AAAAAHv/6zg=")</f>
        <v>#REF!</v>
      </c>
      <c r="BF6" t="str">
        <f>AND(#REF!,"AAAAAHv/6zk=")</f>
        <v>#REF!</v>
      </c>
      <c r="BG6" t="str">
        <f>AND(#REF!,"AAAAAHv/6zo=")</f>
        <v>#REF!</v>
      </c>
      <c r="BH6" t="str">
        <f>AND(#REF!,"AAAAAHv/6zs=")</f>
        <v>#REF!</v>
      </c>
      <c r="BI6" t="str">
        <f>AND(#REF!,"AAAAAHv/6zw=")</f>
        <v>#REF!</v>
      </c>
      <c r="BJ6" t="str">
        <f>AND(#REF!,"AAAAAHv/6z0=")</f>
        <v>#REF!</v>
      </c>
      <c r="BK6" t="str">
        <f>AND(#REF!,"AAAAAHv/6z4=")</f>
        <v>#REF!</v>
      </c>
      <c r="BL6" t="str">
        <f>AND(#REF!,"AAAAAHv/6z8=")</f>
        <v>#REF!</v>
      </c>
      <c r="BM6" t="str">
        <f>AND(#REF!,"AAAAAHv/60A=")</f>
        <v>#REF!</v>
      </c>
      <c r="BN6" t="str">
        <f>AND(#REF!,"AAAAAHv/60E=")</f>
        <v>#REF!</v>
      </c>
      <c r="BO6" t="str">
        <f>AND(#REF!,"AAAAAHv/60I=")</f>
        <v>#REF!</v>
      </c>
      <c r="BP6" t="str">
        <f>AND(#REF!,"AAAAAHv/60M=")</f>
        <v>#REF!</v>
      </c>
      <c r="BQ6" t="str">
        <f>AND(#REF!,"AAAAAHv/60Q=")</f>
        <v>#REF!</v>
      </c>
      <c r="BR6" t="str">
        <f>AND(#REF!,"AAAAAHv/60U=")</f>
        <v>#REF!</v>
      </c>
      <c r="BS6" t="str">
        <f>AND(#REF!,"AAAAAHv/60Y=")</f>
        <v>#REF!</v>
      </c>
      <c r="BT6" t="str">
        <f>AND(#REF!,"AAAAAHv/60c=")</f>
        <v>#REF!</v>
      </c>
      <c r="BU6" t="str">
        <f>AND(#REF!,"AAAAAHv/60g=")</f>
        <v>#REF!</v>
      </c>
      <c r="BV6" t="str">
        <f>AND(#REF!,"AAAAAHv/60k=")</f>
        <v>#REF!</v>
      </c>
      <c r="BW6" t="str">
        <f>AND(#REF!,"AAAAAHv/60o=")</f>
        <v>#REF!</v>
      </c>
      <c r="BX6" t="str">
        <f>AND(#REF!,"AAAAAHv/60s=")</f>
        <v>#REF!</v>
      </c>
      <c r="BY6" t="str">
        <f>AND(#REF!,"AAAAAHv/60w=")</f>
        <v>#REF!</v>
      </c>
      <c r="BZ6" t="str">
        <f>AND(#REF!,"AAAAAHv/600=")</f>
        <v>#REF!</v>
      </c>
      <c r="CA6" t="str">
        <f>AND(#REF!,"AAAAAHv/604=")</f>
        <v>#REF!</v>
      </c>
      <c r="CB6" t="str">
        <f>AND(#REF!,"AAAAAHv/608=")</f>
        <v>#REF!</v>
      </c>
      <c r="CC6" t="str">
        <f>AND(#REF!,"AAAAAHv/61A=")</f>
        <v>#REF!</v>
      </c>
      <c r="CD6" t="str">
        <f>AND(#REF!,"AAAAAHv/61E=")</f>
        <v>#REF!</v>
      </c>
      <c r="CE6" t="str">
        <f>AND(#REF!,"AAAAAHv/61I=")</f>
        <v>#REF!</v>
      </c>
      <c r="CF6" t="str">
        <f>AND(#REF!,"AAAAAHv/61M=")</f>
        <v>#REF!</v>
      </c>
      <c r="CG6" t="str">
        <f>AND(#REF!,"AAAAAHv/61Q=")</f>
        <v>#REF!</v>
      </c>
      <c r="CH6" t="str">
        <f>AND(#REF!,"AAAAAHv/61U=")</f>
        <v>#REF!</v>
      </c>
      <c r="CI6" t="str">
        <f>AND(#REF!,"AAAAAHv/61Y=")</f>
        <v>#REF!</v>
      </c>
      <c r="CJ6" t="str">
        <f>AND(#REF!,"AAAAAHv/61c=")</f>
        <v>#REF!</v>
      </c>
      <c r="CK6" t="str">
        <f>IF(#REF!,"AAAAAHv/61g=",0)</f>
        <v>#REF!</v>
      </c>
      <c r="CL6" t="str">
        <f>AND(#REF!,"AAAAAHv/61k=")</f>
        <v>#REF!</v>
      </c>
      <c r="CM6" t="str">
        <f>AND(#REF!,"AAAAAHv/61o=")</f>
        <v>#REF!</v>
      </c>
      <c r="CN6" t="str">
        <f>AND(#REF!,"AAAAAHv/61s=")</f>
        <v>#REF!</v>
      </c>
      <c r="CO6" t="str">
        <f>AND(#REF!,"AAAAAHv/61w=")</f>
        <v>#REF!</v>
      </c>
      <c r="CP6" t="str">
        <f>AND(#REF!,"AAAAAHv/610=")</f>
        <v>#REF!</v>
      </c>
      <c r="CQ6" t="str">
        <f>AND(#REF!,"AAAAAHv/614=")</f>
        <v>#REF!</v>
      </c>
      <c r="CR6" t="str">
        <f>AND(#REF!,"AAAAAHv/618=")</f>
        <v>#REF!</v>
      </c>
      <c r="CS6" t="str">
        <f>AND(#REF!,"AAAAAHv/62A=")</f>
        <v>#REF!</v>
      </c>
      <c r="CT6" t="str">
        <f>AND(#REF!,"AAAAAHv/62E=")</f>
        <v>#REF!</v>
      </c>
      <c r="CU6" t="str">
        <f>AND(#REF!,"AAAAAHv/62I=")</f>
        <v>#REF!</v>
      </c>
      <c r="CV6" t="str">
        <f>AND(#REF!,"AAAAAHv/62M=")</f>
        <v>#REF!</v>
      </c>
      <c r="CW6" t="str">
        <f>AND(#REF!,"AAAAAHv/62Q=")</f>
        <v>#REF!</v>
      </c>
      <c r="CX6" t="str">
        <f>AND(#REF!,"AAAAAHv/62U=")</f>
        <v>#REF!</v>
      </c>
      <c r="CY6" t="str">
        <f>AND(#REF!,"AAAAAHv/62Y=")</f>
        <v>#REF!</v>
      </c>
      <c r="CZ6" t="str">
        <f>AND(#REF!,"AAAAAHv/62c=")</f>
        <v>#REF!</v>
      </c>
      <c r="DA6" t="str">
        <f>AND(#REF!,"AAAAAHv/62g=")</f>
        <v>#REF!</v>
      </c>
      <c r="DB6" t="str">
        <f>AND(#REF!,"AAAAAHv/62k=")</f>
        <v>#REF!</v>
      </c>
      <c r="DC6" t="str">
        <f>AND(#REF!,"AAAAAHv/62o=")</f>
        <v>#REF!</v>
      </c>
      <c r="DD6" t="str">
        <f>AND(#REF!,"AAAAAHv/62s=")</f>
        <v>#REF!</v>
      </c>
      <c r="DE6" t="str">
        <f>AND(#REF!,"AAAAAHv/62w=")</f>
        <v>#REF!</v>
      </c>
      <c r="DF6" t="str">
        <f>AND(#REF!,"AAAAAHv/620=")</f>
        <v>#REF!</v>
      </c>
      <c r="DG6" t="str">
        <f>AND(#REF!,"AAAAAHv/624=")</f>
        <v>#REF!</v>
      </c>
      <c r="DH6" t="str">
        <f>AND(#REF!,"AAAAAHv/628=")</f>
        <v>#REF!</v>
      </c>
      <c r="DI6" t="str">
        <f>AND(#REF!,"AAAAAHv/63A=")</f>
        <v>#REF!</v>
      </c>
      <c r="DJ6" t="str">
        <f>AND(#REF!,"AAAAAHv/63E=")</f>
        <v>#REF!</v>
      </c>
      <c r="DK6" t="str">
        <f>AND(#REF!,"AAAAAHv/63I=")</f>
        <v>#REF!</v>
      </c>
      <c r="DL6" t="str">
        <f>AND(#REF!,"AAAAAHv/63M=")</f>
        <v>#REF!</v>
      </c>
      <c r="DM6" t="str">
        <f>AND(#REF!,"AAAAAHv/63Q=")</f>
        <v>#REF!</v>
      </c>
      <c r="DN6" t="str">
        <f>AND(#REF!,"AAAAAHv/63U=")</f>
        <v>#REF!</v>
      </c>
      <c r="DO6" t="str">
        <f>AND(#REF!,"AAAAAHv/63Y=")</f>
        <v>#REF!</v>
      </c>
      <c r="DP6" t="str">
        <f>AND(#REF!,"AAAAAHv/63c=")</f>
        <v>#REF!</v>
      </c>
      <c r="DQ6" t="str">
        <f>AND(#REF!,"AAAAAHv/63g=")</f>
        <v>#REF!</v>
      </c>
      <c r="DR6" t="str">
        <f>AND(#REF!,"AAAAAHv/63k=")</f>
        <v>#REF!</v>
      </c>
      <c r="DS6" t="str">
        <f>AND(#REF!,"AAAAAHv/63o=")</f>
        <v>#REF!</v>
      </c>
      <c r="DT6" t="str">
        <f>AND(#REF!,"AAAAAHv/63s=")</f>
        <v>#REF!</v>
      </c>
      <c r="DU6" t="str">
        <f>AND(#REF!,"AAAAAHv/63w=")</f>
        <v>#REF!</v>
      </c>
      <c r="DV6" t="str">
        <f>AND(#REF!,"AAAAAHv/630=")</f>
        <v>#REF!</v>
      </c>
      <c r="DW6" t="str">
        <f>AND(#REF!,"AAAAAHv/634=")</f>
        <v>#REF!</v>
      </c>
      <c r="DX6" t="str">
        <f>AND(#REF!,"AAAAAHv/638=")</f>
        <v>#REF!</v>
      </c>
      <c r="DY6" t="str">
        <f>AND(#REF!,"AAAAAHv/64A=")</f>
        <v>#REF!</v>
      </c>
      <c r="DZ6" t="str">
        <f>AND(#REF!,"AAAAAHv/64E=")</f>
        <v>#REF!</v>
      </c>
      <c r="EA6" t="str">
        <f>AND(#REF!,"AAAAAHv/64I=")</f>
        <v>#REF!</v>
      </c>
      <c r="EB6" t="str">
        <f>AND(#REF!,"AAAAAHv/64M=")</f>
        <v>#REF!</v>
      </c>
      <c r="EC6" t="str">
        <f>AND(#REF!,"AAAAAHv/64Q=")</f>
        <v>#REF!</v>
      </c>
      <c r="ED6" t="str">
        <f>AND(#REF!,"AAAAAHv/64U=")</f>
        <v>#REF!</v>
      </c>
      <c r="EE6" t="str">
        <f>AND(#REF!,"AAAAAHv/64Y=")</f>
        <v>#REF!</v>
      </c>
      <c r="EF6" t="str">
        <f>AND(#REF!,"AAAAAHv/64c=")</f>
        <v>#REF!</v>
      </c>
      <c r="EG6" t="str">
        <f>AND(#REF!,"AAAAAHv/64g=")</f>
        <v>#REF!</v>
      </c>
      <c r="EH6" t="str">
        <f>AND(#REF!,"AAAAAHv/64k=")</f>
        <v>#REF!</v>
      </c>
      <c r="EI6" t="str">
        <f>AND(#REF!,"AAAAAHv/64o=")</f>
        <v>#REF!</v>
      </c>
      <c r="EJ6" t="str">
        <f>AND(#REF!,"AAAAAHv/64s=")</f>
        <v>#REF!</v>
      </c>
      <c r="EK6" t="str">
        <f>AND(#REF!,"AAAAAHv/64w=")</f>
        <v>#REF!</v>
      </c>
      <c r="EL6" t="str">
        <f>AND(#REF!,"AAAAAHv/640=")</f>
        <v>#REF!</v>
      </c>
      <c r="EM6" t="str">
        <f>AND(#REF!,"AAAAAHv/644=")</f>
        <v>#REF!</v>
      </c>
      <c r="EN6" t="str">
        <f>AND(#REF!,"AAAAAHv/648=")</f>
        <v>#REF!</v>
      </c>
      <c r="EO6" t="str">
        <f>AND(#REF!,"AAAAAHv/65A=")</f>
        <v>#REF!</v>
      </c>
      <c r="EP6" t="str">
        <f>AND(#REF!,"AAAAAHv/65E=")</f>
        <v>#REF!</v>
      </c>
      <c r="EQ6" t="str">
        <f>AND(#REF!,"AAAAAHv/65I=")</f>
        <v>#REF!</v>
      </c>
      <c r="ER6" t="str">
        <f>AND(#REF!,"AAAAAHv/65M=")</f>
        <v>#REF!</v>
      </c>
      <c r="ES6" t="str">
        <f>AND(#REF!,"AAAAAHv/65Q=")</f>
        <v>#REF!</v>
      </c>
      <c r="ET6" t="str">
        <f>AND(#REF!,"AAAAAHv/65U=")</f>
        <v>#REF!</v>
      </c>
      <c r="EU6" t="str">
        <f>AND(#REF!,"AAAAAHv/65Y=")</f>
        <v>#REF!</v>
      </c>
      <c r="EV6" t="str">
        <f>AND(#REF!,"AAAAAHv/65c=")</f>
        <v>#REF!</v>
      </c>
      <c r="EW6" t="str">
        <f>AND(#REF!,"AAAAAHv/65g=")</f>
        <v>#REF!</v>
      </c>
      <c r="EX6" t="str">
        <f>AND(#REF!,"AAAAAHv/65k=")</f>
        <v>#REF!</v>
      </c>
      <c r="EY6" t="str">
        <f>AND(#REF!,"AAAAAHv/65o=")</f>
        <v>#REF!</v>
      </c>
      <c r="EZ6" t="str">
        <f>AND(#REF!,"AAAAAHv/65s=")</f>
        <v>#REF!</v>
      </c>
      <c r="FA6" t="str">
        <f>AND(#REF!,"AAAAAHv/65w=")</f>
        <v>#REF!</v>
      </c>
      <c r="FB6" t="str">
        <f>AND(#REF!,"AAAAAHv/650=")</f>
        <v>#REF!</v>
      </c>
      <c r="FC6" t="str">
        <f>AND(#REF!,"AAAAAHv/654=")</f>
        <v>#REF!</v>
      </c>
      <c r="FD6" t="str">
        <f>AND(#REF!,"AAAAAHv/658=")</f>
        <v>#REF!</v>
      </c>
      <c r="FE6" t="str">
        <f>AND(#REF!,"AAAAAHv/66A=")</f>
        <v>#REF!</v>
      </c>
      <c r="FF6" t="str">
        <f>AND(#REF!,"AAAAAHv/66E=")</f>
        <v>#REF!</v>
      </c>
      <c r="FG6" t="str">
        <f>AND(#REF!,"AAAAAHv/66I=")</f>
        <v>#REF!</v>
      </c>
      <c r="FH6" t="str">
        <f>AND(#REF!,"AAAAAHv/66M=")</f>
        <v>#REF!</v>
      </c>
      <c r="FI6" t="str">
        <f>IF(#REF!,"AAAAAHv/66Q=",0)</f>
        <v>#REF!</v>
      </c>
      <c r="FJ6" t="str">
        <f>AND(#REF!,"AAAAAHv/66U=")</f>
        <v>#REF!</v>
      </c>
      <c r="FK6" t="str">
        <f>AND(#REF!,"AAAAAHv/66Y=")</f>
        <v>#REF!</v>
      </c>
      <c r="FL6" t="str">
        <f>AND(#REF!,"AAAAAHv/66c=")</f>
        <v>#REF!</v>
      </c>
      <c r="FM6" t="str">
        <f>AND(#REF!,"AAAAAHv/66g=")</f>
        <v>#REF!</v>
      </c>
      <c r="FN6" t="str">
        <f>AND(#REF!,"AAAAAHv/66k=")</f>
        <v>#REF!</v>
      </c>
      <c r="FO6" t="str">
        <f>AND(#REF!,"AAAAAHv/66o=")</f>
        <v>#REF!</v>
      </c>
      <c r="FP6" t="str">
        <f>AND(#REF!,"AAAAAHv/66s=")</f>
        <v>#REF!</v>
      </c>
      <c r="FQ6" t="str">
        <f>AND(#REF!,"AAAAAHv/66w=")</f>
        <v>#REF!</v>
      </c>
      <c r="FR6" t="str">
        <f>AND(#REF!,"AAAAAHv/660=")</f>
        <v>#REF!</v>
      </c>
      <c r="FS6" t="str">
        <f>AND(#REF!,"AAAAAHv/664=")</f>
        <v>#REF!</v>
      </c>
      <c r="FT6" t="str">
        <f>AND(#REF!,"AAAAAHv/668=")</f>
        <v>#REF!</v>
      </c>
      <c r="FU6" t="str">
        <f>AND(#REF!,"AAAAAHv/67A=")</f>
        <v>#REF!</v>
      </c>
      <c r="FV6" t="str">
        <f>AND(#REF!,"AAAAAHv/67E=")</f>
        <v>#REF!</v>
      </c>
      <c r="FW6" t="str">
        <f>AND(#REF!,"AAAAAHv/67I=")</f>
        <v>#REF!</v>
      </c>
      <c r="FX6" t="str">
        <f>AND(#REF!,"AAAAAHv/67M=")</f>
        <v>#REF!</v>
      </c>
      <c r="FY6" t="str">
        <f>AND(#REF!,"AAAAAHv/67Q=")</f>
        <v>#REF!</v>
      </c>
      <c r="FZ6" t="str">
        <f>AND(#REF!,"AAAAAHv/67U=")</f>
        <v>#REF!</v>
      </c>
      <c r="GA6" t="str">
        <f>AND(#REF!,"AAAAAHv/67Y=")</f>
        <v>#REF!</v>
      </c>
      <c r="GB6" t="str">
        <f>AND(#REF!,"AAAAAHv/67c=")</f>
        <v>#REF!</v>
      </c>
      <c r="GC6" t="str">
        <f>AND(#REF!,"AAAAAHv/67g=")</f>
        <v>#REF!</v>
      </c>
      <c r="GD6" t="str">
        <f>AND(#REF!,"AAAAAHv/67k=")</f>
        <v>#REF!</v>
      </c>
      <c r="GE6" t="str">
        <f>AND(#REF!,"AAAAAHv/67o=")</f>
        <v>#REF!</v>
      </c>
      <c r="GF6" t="str">
        <f>AND(#REF!,"AAAAAHv/67s=")</f>
        <v>#REF!</v>
      </c>
      <c r="GG6" t="str">
        <f>AND(#REF!,"AAAAAHv/67w=")</f>
        <v>#REF!</v>
      </c>
      <c r="GH6" t="str">
        <f>AND(#REF!,"AAAAAHv/670=")</f>
        <v>#REF!</v>
      </c>
      <c r="GI6" t="str">
        <f>AND(#REF!,"AAAAAHv/674=")</f>
        <v>#REF!</v>
      </c>
      <c r="GJ6" t="str">
        <f>AND(#REF!,"AAAAAHv/678=")</f>
        <v>#REF!</v>
      </c>
      <c r="GK6" t="str">
        <f>AND(#REF!,"AAAAAHv/68A=")</f>
        <v>#REF!</v>
      </c>
      <c r="GL6" t="str">
        <f>AND(#REF!,"AAAAAHv/68E=")</f>
        <v>#REF!</v>
      </c>
      <c r="GM6" t="str">
        <f>AND(#REF!,"AAAAAHv/68I=")</f>
        <v>#REF!</v>
      </c>
      <c r="GN6" t="str">
        <f>AND(#REF!,"AAAAAHv/68M=")</f>
        <v>#REF!</v>
      </c>
      <c r="GO6" t="str">
        <f>AND(#REF!,"AAAAAHv/68Q=")</f>
        <v>#REF!</v>
      </c>
      <c r="GP6" t="str">
        <f>AND(#REF!,"AAAAAHv/68U=")</f>
        <v>#REF!</v>
      </c>
      <c r="GQ6" t="str">
        <f>AND(#REF!,"AAAAAHv/68Y=")</f>
        <v>#REF!</v>
      </c>
      <c r="GR6" t="str">
        <f>AND(#REF!,"AAAAAHv/68c=")</f>
        <v>#REF!</v>
      </c>
      <c r="GS6" t="str">
        <f>AND(#REF!,"AAAAAHv/68g=")</f>
        <v>#REF!</v>
      </c>
      <c r="GT6" t="str">
        <f>AND(#REF!,"AAAAAHv/68k=")</f>
        <v>#REF!</v>
      </c>
      <c r="GU6" t="str">
        <f>AND(#REF!,"AAAAAHv/68o=")</f>
        <v>#REF!</v>
      </c>
      <c r="GV6" t="str">
        <f>AND(#REF!,"AAAAAHv/68s=")</f>
        <v>#REF!</v>
      </c>
      <c r="GW6" t="str">
        <f>AND(#REF!,"AAAAAHv/68w=")</f>
        <v>#REF!</v>
      </c>
      <c r="GX6" t="str">
        <f>AND(#REF!,"AAAAAHv/680=")</f>
        <v>#REF!</v>
      </c>
      <c r="GY6" t="str">
        <f>AND(#REF!,"AAAAAHv/684=")</f>
        <v>#REF!</v>
      </c>
      <c r="GZ6" t="str">
        <f>AND(#REF!,"AAAAAHv/688=")</f>
        <v>#REF!</v>
      </c>
      <c r="HA6" t="str">
        <f>AND(#REF!,"AAAAAHv/69A=")</f>
        <v>#REF!</v>
      </c>
      <c r="HB6" t="str">
        <f>AND(#REF!,"AAAAAHv/69E=")</f>
        <v>#REF!</v>
      </c>
      <c r="HC6" t="str">
        <f>AND(#REF!,"AAAAAHv/69I=")</f>
        <v>#REF!</v>
      </c>
      <c r="HD6" t="str">
        <f>AND(#REF!,"AAAAAHv/69M=")</f>
        <v>#REF!</v>
      </c>
      <c r="HE6" t="str">
        <f>AND(#REF!,"AAAAAHv/69Q=")</f>
        <v>#REF!</v>
      </c>
      <c r="HF6" t="str">
        <f>AND(#REF!,"AAAAAHv/69U=")</f>
        <v>#REF!</v>
      </c>
      <c r="HG6" t="str">
        <f>AND(#REF!,"AAAAAHv/69Y=")</f>
        <v>#REF!</v>
      </c>
      <c r="HH6" t="str">
        <f>AND(#REF!,"AAAAAHv/69c=")</f>
        <v>#REF!</v>
      </c>
      <c r="HI6" t="str">
        <f>AND(#REF!,"AAAAAHv/69g=")</f>
        <v>#REF!</v>
      </c>
      <c r="HJ6" t="str">
        <f>AND(#REF!,"AAAAAHv/69k=")</f>
        <v>#REF!</v>
      </c>
      <c r="HK6" t="str">
        <f>AND(#REF!,"AAAAAHv/69o=")</f>
        <v>#REF!</v>
      </c>
      <c r="HL6" t="str">
        <f>AND(#REF!,"AAAAAHv/69s=")</f>
        <v>#REF!</v>
      </c>
      <c r="HM6" t="str">
        <f>AND(#REF!,"AAAAAHv/69w=")</f>
        <v>#REF!</v>
      </c>
      <c r="HN6" t="str">
        <f>AND(#REF!,"AAAAAHv/690=")</f>
        <v>#REF!</v>
      </c>
      <c r="HO6" t="str">
        <f>AND(#REF!,"AAAAAHv/694=")</f>
        <v>#REF!</v>
      </c>
      <c r="HP6" t="str">
        <f>AND(#REF!,"AAAAAHv/698=")</f>
        <v>#REF!</v>
      </c>
      <c r="HQ6" t="str">
        <f>AND(#REF!,"AAAAAHv/6+A=")</f>
        <v>#REF!</v>
      </c>
      <c r="HR6" t="str">
        <f>AND(#REF!,"AAAAAHv/6+E=")</f>
        <v>#REF!</v>
      </c>
      <c r="HS6" t="str">
        <f>AND(#REF!,"AAAAAHv/6+I=")</f>
        <v>#REF!</v>
      </c>
      <c r="HT6" t="str">
        <f>AND(#REF!,"AAAAAHv/6+M=")</f>
        <v>#REF!</v>
      </c>
      <c r="HU6" t="str">
        <f>AND(#REF!,"AAAAAHv/6+Q=")</f>
        <v>#REF!</v>
      </c>
      <c r="HV6" t="str">
        <f>AND(#REF!,"AAAAAHv/6+U=")</f>
        <v>#REF!</v>
      </c>
      <c r="HW6" t="str">
        <f>AND(#REF!,"AAAAAHv/6+Y=")</f>
        <v>#REF!</v>
      </c>
      <c r="HX6" t="str">
        <f>AND(#REF!,"AAAAAHv/6+c=")</f>
        <v>#REF!</v>
      </c>
      <c r="HY6" t="str">
        <f>AND(#REF!,"AAAAAHv/6+g=")</f>
        <v>#REF!</v>
      </c>
      <c r="HZ6" t="str">
        <f>AND(#REF!,"AAAAAHv/6+k=")</f>
        <v>#REF!</v>
      </c>
      <c r="IA6" t="str">
        <f>AND(#REF!,"AAAAAHv/6+o=")</f>
        <v>#REF!</v>
      </c>
      <c r="IB6" t="str">
        <f>AND(#REF!,"AAAAAHv/6+s=")</f>
        <v>#REF!</v>
      </c>
      <c r="IC6" t="str">
        <f>AND(#REF!,"AAAAAHv/6+w=")</f>
        <v>#REF!</v>
      </c>
      <c r="ID6" t="str">
        <f>AND(#REF!,"AAAAAHv/6+0=")</f>
        <v>#REF!</v>
      </c>
      <c r="IE6" t="str">
        <f>AND(#REF!,"AAAAAHv/6+4=")</f>
        <v>#REF!</v>
      </c>
      <c r="IF6" t="str">
        <f>AND(#REF!,"AAAAAHv/6+8=")</f>
        <v>#REF!</v>
      </c>
      <c r="IG6" t="str">
        <f>IF(#REF!,"AAAAAHv/6/A=",0)</f>
        <v>#REF!</v>
      </c>
      <c r="IH6" t="str">
        <f>AND(#REF!,"AAAAAHv/6/E=")</f>
        <v>#REF!</v>
      </c>
      <c r="II6" t="str">
        <f>AND(#REF!,"AAAAAHv/6/I=")</f>
        <v>#REF!</v>
      </c>
      <c r="IJ6" t="str">
        <f>AND(#REF!,"AAAAAHv/6/M=")</f>
        <v>#REF!</v>
      </c>
      <c r="IK6" t="str">
        <f>AND(#REF!,"AAAAAHv/6/Q=")</f>
        <v>#REF!</v>
      </c>
      <c r="IL6" t="str">
        <f>AND(#REF!,"AAAAAHv/6/U=")</f>
        <v>#REF!</v>
      </c>
      <c r="IM6" t="str">
        <f>AND(#REF!,"AAAAAHv/6/Y=")</f>
        <v>#REF!</v>
      </c>
      <c r="IN6" t="str">
        <f>AND(#REF!,"AAAAAHv/6/c=")</f>
        <v>#REF!</v>
      </c>
      <c r="IO6" t="str">
        <f>AND(#REF!,"AAAAAHv/6/g=")</f>
        <v>#REF!</v>
      </c>
      <c r="IP6" t="str">
        <f>AND(#REF!,"AAAAAHv/6/k=")</f>
        <v>#REF!</v>
      </c>
      <c r="IQ6" t="str">
        <f>AND(#REF!,"AAAAAHv/6/o=")</f>
        <v>#REF!</v>
      </c>
      <c r="IR6" t="str">
        <f>AND(#REF!,"AAAAAHv/6/s=")</f>
        <v>#REF!</v>
      </c>
      <c r="IS6" t="str">
        <f>AND(#REF!,"AAAAAHv/6/w=")</f>
        <v>#REF!</v>
      </c>
      <c r="IT6" t="str">
        <f>AND(#REF!,"AAAAAHv/6/0=")</f>
        <v>#REF!</v>
      </c>
      <c r="IU6" t="str">
        <f>AND(#REF!,"AAAAAHv/6/4=")</f>
        <v>#REF!</v>
      </c>
      <c r="IV6" t="str">
        <f>AND(#REF!,"AAAAAHv/6/8=")</f>
        <v>#REF!</v>
      </c>
    </row>
    <row r="7">
      <c r="A7" t="str">
        <f>AND(#REF!,"AAAAAH/90gA=")</f>
        <v>#REF!</v>
      </c>
      <c r="B7" t="str">
        <f>AND(#REF!,"AAAAAH/90gE=")</f>
        <v>#REF!</v>
      </c>
      <c r="C7" t="str">
        <f>AND(#REF!,"AAAAAH/90gI=")</f>
        <v>#REF!</v>
      </c>
      <c r="D7" t="str">
        <f>AND(#REF!,"AAAAAH/90gM=")</f>
        <v>#REF!</v>
      </c>
      <c r="E7" t="str">
        <f>AND(#REF!,"AAAAAH/90gQ=")</f>
        <v>#REF!</v>
      </c>
      <c r="F7" t="str">
        <f>AND(#REF!,"AAAAAH/90gU=")</f>
        <v>#REF!</v>
      </c>
      <c r="G7" t="str">
        <f>AND(#REF!,"AAAAAH/90gY=")</f>
        <v>#REF!</v>
      </c>
      <c r="H7" t="str">
        <f>AND(#REF!,"AAAAAH/90gc=")</f>
        <v>#REF!</v>
      </c>
      <c r="I7" t="str">
        <f>AND(#REF!,"AAAAAH/90gg=")</f>
        <v>#REF!</v>
      </c>
      <c r="J7" t="str">
        <f>AND(#REF!,"AAAAAH/90gk=")</f>
        <v>#REF!</v>
      </c>
      <c r="K7" t="str">
        <f>AND(#REF!,"AAAAAH/90go=")</f>
        <v>#REF!</v>
      </c>
      <c r="L7" t="str">
        <f>AND(#REF!,"AAAAAH/90gs=")</f>
        <v>#REF!</v>
      </c>
      <c r="M7" t="str">
        <f>AND(#REF!,"AAAAAH/90gw=")</f>
        <v>#REF!</v>
      </c>
      <c r="N7" t="str">
        <f>AND(#REF!,"AAAAAH/90g0=")</f>
        <v>#REF!</v>
      </c>
      <c r="O7" t="str">
        <f>AND(#REF!,"AAAAAH/90g4=")</f>
        <v>#REF!</v>
      </c>
      <c r="P7" t="str">
        <f>AND(#REF!,"AAAAAH/90g8=")</f>
        <v>#REF!</v>
      </c>
      <c r="Q7" t="str">
        <f>AND(#REF!,"AAAAAH/90hA=")</f>
        <v>#REF!</v>
      </c>
      <c r="R7" t="str">
        <f>AND(#REF!,"AAAAAH/90hE=")</f>
        <v>#REF!</v>
      </c>
      <c r="S7" t="str">
        <f>AND(#REF!,"AAAAAH/90hI=")</f>
        <v>#REF!</v>
      </c>
      <c r="T7" t="str">
        <f>AND(#REF!,"AAAAAH/90hM=")</f>
        <v>#REF!</v>
      </c>
      <c r="U7" t="str">
        <f>AND(#REF!,"AAAAAH/90hQ=")</f>
        <v>#REF!</v>
      </c>
      <c r="V7" t="str">
        <f>AND(#REF!,"AAAAAH/90hU=")</f>
        <v>#REF!</v>
      </c>
      <c r="W7" t="str">
        <f>AND(#REF!,"AAAAAH/90hY=")</f>
        <v>#REF!</v>
      </c>
      <c r="X7" t="str">
        <f>AND(#REF!,"AAAAAH/90hc=")</f>
        <v>#REF!</v>
      </c>
      <c r="Y7" t="str">
        <f>AND(#REF!,"AAAAAH/90hg=")</f>
        <v>#REF!</v>
      </c>
      <c r="Z7" t="str">
        <f>AND(#REF!,"AAAAAH/90hk=")</f>
        <v>#REF!</v>
      </c>
      <c r="AA7" t="str">
        <f>AND(#REF!,"AAAAAH/90ho=")</f>
        <v>#REF!</v>
      </c>
      <c r="AB7" t="str">
        <f>AND(#REF!,"AAAAAH/90hs=")</f>
        <v>#REF!</v>
      </c>
      <c r="AC7" t="str">
        <f>AND(#REF!,"AAAAAH/90hw=")</f>
        <v>#REF!</v>
      </c>
      <c r="AD7" t="str">
        <f>AND(#REF!,"AAAAAH/90h0=")</f>
        <v>#REF!</v>
      </c>
      <c r="AE7" t="str">
        <f>AND(#REF!,"AAAAAH/90h4=")</f>
        <v>#REF!</v>
      </c>
      <c r="AF7" t="str">
        <f>AND(#REF!,"AAAAAH/90h8=")</f>
        <v>#REF!</v>
      </c>
      <c r="AG7" t="str">
        <f>AND(#REF!,"AAAAAH/90iA=")</f>
        <v>#REF!</v>
      </c>
      <c r="AH7" t="str">
        <f>AND(#REF!,"AAAAAH/90iE=")</f>
        <v>#REF!</v>
      </c>
      <c r="AI7" t="str">
        <f>AND(#REF!,"AAAAAH/90iI=")</f>
        <v>#REF!</v>
      </c>
      <c r="AJ7" t="str">
        <f>AND(#REF!,"AAAAAH/90iM=")</f>
        <v>#REF!</v>
      </c>
      <c r="AK7" t="str">
        <f>AND(#REF!,"AAAAAH/90iQ=")</f>
        <v>#REF!</v>
      </c>
      <c r="AL7" t="str">
        <f>AND(#REF!,"AAAAAH/90iU=")</f>
        <v>#REF!</v>
      </c>
      <c r="AM7" t="str">
        <f>AND(#REF!,"AAAAAH/90iY=")</f>
        <v>#REF!</v>
      </c>
      <c r="AN7" t="str">
        <f>AND(#REF!,"AAAAAH/90ic=")</f>
        <v>#REF!</v>
      </c>
      <c r="AO7" t="str">
        <f>AND(#REF!,"AAAAAH/90ig=")</f>
        <v>#REF!</v>
      </c>
      <c r="AP7" t="str">
        <f>AND(#REF!,"AAAAAH/90ik=")</f>
        <v>#REF!</v>
      </c>
      <c r="AQ7" t="str">
        <f>AND(#REF!,"AAAAAH/90io=")</f>
        <v>#REF!</v>
      </c>
      <c r="AR7" t="str">
        <f>AND(#REF!,"AAAAAH/90is=")</f>
        <v>#REF!</v>
      </c>
      <c r="AS7" t="str">
        <f>AND(#REF!,"AAAAAH/90iw=")</f>
        <v>#REF!</v>
      </c>
      <c r="AT7" t="str">
        <f>AND(#REF!,"AAAAAH/90i0=")</f>
        <v>#REF!</v>
      </c>
      <c r="AU7" t="str">
        <f>AND(#REF!,"AAAAAH/90i4=")</f>
        <v>#REF!</v>
      </c>
      <c r="AV7" t="str">
        <f>AND(#REF!,"AAAAAH/90i8=")</f>
        <v>#REF!</v>
      </c>
      <c r="AW7" t="str">
        <f>AND(#REF!,"AAAAAH/90jA=")</f>
        <v>#REF!</v>
      </c>
      <c r="AX7" t="str">
        <f>AND(#REF!,"AAAAAH/90jE=")</f>
        <v>#REF!</v>
      </c>
      <c r="AY7" t="str">
        <f>AND(#REF!,"AAAAAH/90jI=")</f>
        <v>#REF!</v>
      </c>
      <c r="AZ7" t="str">
        <f>AND(#REF!,"AAAAAH/90jM=")</f>
        <v>#REF!</v>
      </c>
      <c r="BA7" t="str">
        <f>AND(#REF!,"AAAAAH/90jQ=")</f>
        <v>#REF!</v>
      </c>
      <c r="BB7" t="str">
        <f>AND(#REF!,"AAAAAH/90jU=")</f>
        <v>#REF!</v>
      </c>
      <c r="BC7" t="str">
        <f>AND(#REF!,"AAAAAH/90jY=")</f>
        <v>#REF!</v>
      </c>
      <c r="BD7" t="str">
        <f>AND(#REF!,"AAAAAH/90jc=")</f>
        <v>#REF!</v>
      </c>
      <c r="BE7" t="str">
        <f>AND(#REF!,"AAAAAH/90jg=")</f>
        <v>#REF!</v>
      </c>
      <c r="BF7" t="str">
        <f>AND(#REF!,"AAAAAH/90jk=")</f>
        <v>#REF!</v>
      </c>
      <c r="BG7" t="str">
        <f>AND(#REF!,"AAAAAH/90jo=")</f>
        <v>#REF!</v>
      </c>
      <c r="BH7" t="str">
        <f>AND(#REF!,"AAAAAH/90js=")</f>
        <v>#REF!</v>
      </c>
      <c r="BI7" t="str">
        <f>IF(#REF!,"AAAAAH/90jw=",0)</f>
        <v>#REF!</v>
      </c>
      <c r="BJ7" t="str">
        <f>AND(#REF!,"AAAAAH/90j0=")</f>
        <v>#REF!</v>
      </c>
      <c r="BK7" t="str">
        <f>AND(#REF!,"AAAAAH/90j4=")</f>
        <v>#REF!</v>
      </c>
      <c r="BL7" t="str">
        <f>AND(#REF!,"AAAAAH/90j8=")</f>
        <v>#REF!</v>
      </c>
      <c r="BM7" t="str">
        <f>AND(#REF!,"AAAAAH/90kA=")</f>
        <v>#REF!</v>
      </c>
      <c r="BN7" t="str">
        <f>AND(#REF!,"AAAAAH/90kE=")</f>
        <v>#REF!</v>
      </c>
      <c r="BO7" t="str">
        <f>AND(#REF!,"AAAAAH/90kI=")</f>
        <v>#REF!</v>
      </c>
      <c r="BP7" t="str">
        <f>AND(#REF!,"AAAAAH/90kM=")</f>
        <v>#REF!</v>
      </c>
      <c r="BQ7" t="str">
        <f>AND(#REF!,"AAAAAH/90kQ=")</f>
        <v>#REF!</v>
      </c>
      <c r="BR7" t="str">
        <f>AND(#REF!,"AAAAAH/90kU=")</f>
        <v>#REF!</v>
      </c>
      <c r="BS7" t="str">
        <f>AND(#REF!,"AAAAAH/90kY=")</f>
        <v>#REF!</v>
      </c>
      <c r="BT7" t="str">
        <f>AND(#REF!,"AAAAAH/90kc=")</f>
        <v>#REF!</v>
      </c>
      <c r="BU7" t="str">
        <f>AND(#REF!,"AAAAAH/90kg=")</f>
        <v>#REF!</v>
      </c>
      <c r="BV7" t="str">
        <f>AND(#REF!,"AAAAAH/90kk=")</f>
        <v>#REF!</v>
      </c>
      <c r="BW7" t="str">
        <f>AND(#REF!,"AAAAAH/90ko=")</f>
        <v>#REF!</v>
      </c>
      <c r="BX7" t="str">
        <f>AND(#REF!,"AAAAAH/90ks=")</f>
        <v>#REF!</v>
      </c>
      <c r="BY7" t="str">
        <f>AND(#REF!,"AAAAAH/90kw=")</f>
        <v>#REF!</v>
      </c>
      <c r="BZ7" t="str">
        <f>AND(#REF!,"AAAAAH/90k0=")</f>
        <v>#REF!</v>
      </c>
      <c r="CA7" t="str">
        <f>AND(#REF!,"AAAAAH/90k4=")</f>
        <v>#REF!</v>
      </c>
      <c r="CB7" t="str">
        <f>AND(#REF!,"AAAAAH/90k8=")</f>
        <v>#REF!</v>
      </c>
      <c r="CC7" t="str">
        <f>AND(#REF!,"AAAAAH/90lA=")</f>
        <v>#REF!</v>
      </c>
      <c r="CD7" t="str">
        <f>AND(#REF!,"AAAAAH/90lE=")</f>
        <v>#REF!</v>
      </c>
      <c r="CE7" t="str">
        <f>AND(#REF!,"AAAAAH/90lI=")</f>
        <v>#REF!</v>
      </c>
      <c r="CF7" t="str">
        <f>AND(#REF!,"AAAAAH/90lM=")</f>
        <v>#REF!</v>
      </c>
      <c r="CG7" t="str">
        <f>AND(#REF!,"AAAAAH/90lQ=")</f>
        <v>#REF!</v>
      </c>
      <c r="CH7" t="str">
        <f>AND(#REF!,"AAAAAH/90lU=")</f>
        <v>#REF!</v>
      </c>
      <c r="CI7" t="str">
        <f>AND(#REF!,"AAAAAH/90lY=")</f>
        <v>#REF!</v>
      </c>
      <c r="CJ7" t="str">
        <f>AND(#REF!,"AAAAAH/90lc=")</f>
        <v>#REF!</v>
      </c>
      <c r="CK7" t="str">
        <f>AND(#REF!,"AAAAAH/90lg=")</f>
        <v>#REF!</v>
      </c>
      <c r="CL7" t="str">
        <f>AND(#REF!,"AAAAAH/90lk=")</f>
        <v>#REF!</v>
      </c>
      <c r="CM7" t="str">
        <f>AND(#REF!,"AAAAAH/90lo=")</f>
        <v>#REF!</v>
      </c>
      <c r="CN7" t="str">
        <f>AND(#REF!,"AAAAAH/90ls=")</f>
        <v>#REF!</v>
      </c>
      <c r="CO7" t="str">
        <f>AND(#REF!,"AAAAAH/90lw=")</f>
        <v>#REF!</v>
      </c>
      <c r="CP7" t="str">
        <f>AND(#REF!,"AAAAAH/90l0=")</f>
        <v>#REF!</v>
      </c>
      <c r="CQ7" t="str">
        <f>AND(#REF!,"AAAAAH/90l4=")</f>
        <v>#REF!</v>
      </c>
      <c r="CR7" t="str">
        <f>AND(#REF!,"AAAAAH/90l8=")</f>
        <v>#REF!</v>
      </c>
      <c r="CS7" t="str">
        <f>AND(#REF!,"AAAAAH/90mA=")</f>
        <v>#REF!</v>
      </c>
      <c r="CT7" t="str">
        <f>AND(#REF!,"AAAAAH/90mE=")</f>
        <v>#REF!</v>
      </c>
      <c r="CU7" t="str">
        <f>AND(#REF!,"AAAAAH/90mI=")</f>
        <v>#REF!</v>
      </c>
      <c r="CV7" t="str">
        <f>AND(#REF!,"AAAAAH/90mM=")</f>
        <v>#REF!</v>
      </c>
      <c r="CW7" t="str">
        <f>AND(#REF!,"AAAAAH/90mQ=")</f>
        <v>#REF!</v>
      </c>
      <c r="CX7" t="str">
        <f>AND(#REF!,"AAAAAH/90mU=")</f>
        <v>#REF!</v>
      </c>
      <c r="CY7" t="str">
        <f>AND(#REF!,"AAAAAH/90mY=")</f>
        <v>#REF!</v>
      </c>
      <c r="CZ7" t="str">
        <f>AND(#REF!,"AAAAAH/90mc=")</f>
        <v>#REF!</v>
      </c>
      <c r="DA7" t="str">
        <f>AND(#REF!,"AAAAAH/90mg=")</f>
        <v>#REF!</v>
      </c>
      <c r="DB7" t="str">
        <f>AND(#REF!,"AAAAAH/90mk=")</f>
        <v>#REF!</v>
      </c>
      <c r="DC7" t="str">
        <f>AND(#REF!,"AAAAAH/90mo=")</f>
        <v>#REF!</v>
      </c>
      <c r="DD7" t="str">
        <f>AND(#REF!,"AAAAAH/90ms=")</f>
        <v>#REF!</v>
      </c>
      <c r="DE7" t="str">
        <f>AND(#REF!,"AAAAAH/90mw=")</f>
        <v>#REF!</v>
      </c>
      <c r="DF7" t="str">
        <f>AND(#REF!,"AAAAAH/90m0=")</f>
        <v>#REF!</v>
      </c>
      <c r="DG7" t="str">
        <f>AND(#REF!,"AAAAAH/90m4=")</f>
        <v>#REF!</v>
      </c>
      <c r="DH7" t="str">
        <f>AND(#REF!,"AAAAAH/90m8=")</f>
        <v>#REF!</v>
      </c>
      <c r="DI7" t="str">
        <f>AND(#REF!,"AAAAAH/90nA=")</f>
        <v>#REF!</v>
      </c>
      <c r="DJ7" t="str">
        <f>AND(#REF!,"AAAAAH/90nE=")</f>
        <v>#REF!</v>
      </c>
      <c r="DK7" t="str">
        <f>AND(#REF!,"AAAAAH/90nI=")</f>
        <v>#REF!</v>
      </c>
      <c r="DL7" t="str">
        <f>AND(#REF!,"AAAAAH/90nM=")</f>
        <v>#REF!</v>
      </c>
      <c r="DM7" t="str">
        <f>AND(#REF!,"AAAAAH/90nQ=")</f>
        <v>#REF!</v>
      </c>
      <c r="DN7" t="str">
        <f>AND(#REF!,"AAAAAH/90nU=")</f>
        <v>#REF!</v>
      </c>
      <c r="DO7" t="str">
        <f>AND(#REF!,"AAAAAH/90nY=")</f>
        <v>#REF!</v>
      </c>
      <c r="DP7" t="str">
        <f>AND(#REF!,"AAAAAH/90nc=")</f>
        <v>#REF!</v>
      </c>
      <c r="DQ7" t="str">
        <f>AND(#REF!,"AAAAAH/90ng=")</f>
        <v>#REF!</v>
      </c>
      <c r="DR7" t="str">
        <f>AND(#REF!,"AAAAAH/90nk=")</f>
        <v>#REF!</v>
      </c>
      <c r="DS7" t="str">
        <f>AND(#REF!,"AAAAAH/90no=")</f>
        <v>#REF!</v>
      </c>
      <c r="DT7" t="str">
        <f>AND(#REF!,"AAAAAH/90ns=")</f>
        <v>#REF!</v>
      </c>
      <c r="DU7" t="str">
        <f>AND(#REF!,"AAAAAH/90nw=")</f>
        <v>#REF!</v>
      </c>
      <c r="DV7" t="str">
        <f>AND(#REF!,"AAAAAH/90n0=")</f>
        <v>#REF!</v>
      </c>
      <c r="DW7" t="str">
        <f>AND(#REF!,"AAAAAH/90n4=")</f>
        <v>#REF!</v>
      </c>
      <c r="DX7" t="str">
        <f>AND(#REF!,"AAAAAH/90n8=")</f>
        <v>#REF!</v>
      </c>
      <c r="DY7" t="str">
        <f>AND(#REF!,"AAAAAH/90oA=")</f>
        <v>#REF!</v>
      </c>
      <c r="DZ7" t="str">
        <f>AND(#REF!,"AAAAAH/90oE=")</f>
        <v>#REF!</v>
      </c>
      <c r="EA7" t="str">
        <f>AND(#REF!,"AAAAAH/90oI=")</f>
        <v>#REF!</v>
      </c>
      <c r="EB7" t="str">
        <f>AND(#REF!,"AAAAAH/90oM=")</f>
        <v>#REF!</v>
      </c>
      <c r="EC7" t="str">
        <f>AND(#REF!,"AAAAAH/90oQ=")</f>
        <v>#REF!</v>
      </c>
      <c r="ED7" t="str">
        <f>AND(#REF!,"AAAAAH/90oU=")</f>
        <v>#REF!</v>
      </c>
      <c r="EE7" t="str">
        <f>AND(#REF!,"AAAAAH/90oY=")</f>
        <v>#REF!</v>
      </c>
      <c r="EF7" t="str">
        <f>AND(#REF!,"AAAAAH/90oc=")</f>
        <v>#REF!</v>
      </c>
      <c r="EG7" t="str">
        <f>IF(#REF!,"AAAAAH/90og=",0)</f>
        <v>#REF!</v>
      </c>
      <c r="EH7" t="str">
        <f>AND(#REF!,"AAAAAH/90ok=")</f>
        <v>#REF!</v>
      </c>
      <c r="EI7" t="str">
        <f>AND(#REF!,"AAAAAH/90oo=")</f>
        <v>#REF!</v>
      </c>
      <c r="EJ7" t="str">
        <f>AND(#REF!,"AAAAAH/90os=")</f>
        <v>#REF!</v>
      </c>
      <c r="EK7" t="str">
        <f>AND(#REF!,"AAAAAH/90ow=")</f>
        <v>#REF!</v>
      </c>
      <c r="EL7" t="str">
        <f>AND(#REF!,"AAAAAH/90o0=")</f>
        <v>#REF!</v>
      </c>
      <c r="EM7" t="str">
        <f>AND(#REF!,"AAAAAH/90o4=")</f>
        <v>#REF!</v>
      </c>
      <c r="EN7" t="str">
        <f>AND(#REF!,"AAAAAH/90o8=")</f>
        <v>#REF!</v>
      </c>
      <c r="EO7" t="str">
        <f>AND(#REF!,"AAAAAH/90pA=")</f>
        <v>#REF!</v>
      </c>
      <c r="EP7" t="str">
        <f>AND(#REF!,"AAAAAH/90pE=")</f>
        <v>#REF!</v>
      </c>
      <c r="EQ7" t="str">
        <f>AND(#REF!,"AAAAAH/90pI=")</f>
        <v>#REF!</v>
      </c>
      <c r="ER7" t="str">
        <f>AND(#REF!,"AAAAAH/90pM=")</f>
        <v>#REF!</v>
      </c>
      <c r="ES7" t="str">
        <f>AND(#REF!,"AAAAAH/90pQ=")</f>
        <v>#REF!</v>
      </c>
      <c r="ET7" t="str">
        <f>AND(#REF!,"AAAAAH/90pU=")</f>
        <v>#REF!</v>
      </c>
      <c r="EU7" t="str">
        <f>AND(#REF!,"AAAAAH/90pY=")</f>
        <v>#REF!</v>
      </c>
      <c r="EV7" t="str">
        <f>AND(#REF!,"AAAAAH/90pc=")</f>
        <v>#REF!</v>
      </c>
      <c r="EW7" t="str">
        <f>AND(#REF!,"AAAAAH/90pg=")</f>
        <v>#REF!</v>
      </c>
      <c r="EX7" t="str">
        <f>AND(#REF!,"AAAAAH/90pk=")</f>
        <v>#REF!</v>
      </c>
      <c r="EY7" t="str">
        <f>AND(#REF!,"AAAAAH/90po=")</f>
        <v>#REF!</v>
      </c>
      <c r="EZ7" t="str">
        <f>AND(#REF!,"AAAAAH/90ps=")</f>
        <v>#REF!</v>
      </c>
      <c r="FA7" t="str">
        <f>AND(#REF!,"AAAAAH/90pw=")</f>
        <v>#REF!</v>
      </c>
      <c r="FB7" t="str">
        <f>AND(#REF!,"AAAAAH/90p0=")</f>
        <v>#REF!</v>
      </c>
      <c r="FC7" t="str">
        <f>AND(#REF!,"AAAAAH/90p4=")</f>
        <v>#REF!</v>
      </c>
      <c r="FD7" t="str">
        <f>AND(#REF!,"AAAAAH/90p8=")</f>
        <v>#REF!</v>
      </c>
      <c r="FE7" t="str">
        <f>AND(#REF!,"AAAAAH/90qA=")</f>
        <v>#REF!</v>
      </c>
      <c r="FF7" t="str">
        <f>AND(#REF!,"AAAAAH/90qE=")</f>
        <v>#REF!</v>
      </c>
      <c r="FG7" t="str">
        <f>AND(#REF!,"AAAAAH/90qI=")</f>
        <v>#REF!</v>
      </c>
      <c r="FH7" t="str">
        <f>AND(#REF!,"AAAAAH/90qM=")</f>
        <v>#REF!</v>
      </c>
      <c r="FI7" t="str">
        <f>AND(#REF!,"AAAAAH/90qQ=")</f>
        <v>#REF!</v>
      </c>
      <c r="FJ7" t="str">
        <f>AND(#REF!,"AAAAAH/90qU=")</f>
        <v>#REF!</v>
      </c>
      <c r="FK7" t="str">
        <f>AND(#REF!,"AAAAAH/90qY=")</f>
        <v>#REF!</v>
      </c>
      <c r="FL7" t="str">
        <f>AND(#REF!,"AAAAAH/90qc=")</f>
        <v>#REF!</v>
      </c>
      <c r="FM7" t="str">
        <f>AND(#REF!,"AAAAAH/90qg=")</f>
        <v>#REF!</v>
      </c>
      <c r="FN7" t="str">
        <f>AND(#REF!,"AAAAAH/90qk=")</f>
        <v>#REF!</v>
      </c>
      <c r="FO7" t="str">
        <f>AND(#REF!,"AAAAAH/90qo=")</f>
        <v>#REF!</v>
      </c>
      <c r="FP7" t="str">
        <f>AND(#REF!,"AAAAAH/90qs=")</f>
        <v>#REF!</v>
      </c>
      <c r="FQ7" t="str">
        <f>AND(#REF!,"AAAAAH/90qw=")</f>
        <v>#REF!</v>
      </c>
      <c r="FR7" t="str">
        <f>AND(#REF!,"AAAAAH/90q0=")</f>
        <v>#REF!</v>
      </c>
      <c r="FS7" t="str">
        <f>AND(#REF!,"AAAAAH/90q4=")</f>
        <v>#REF!</v>
      </c>
      <c r="FT7" t="str">
        <f>AND(#REF!,"AAAAAH/90q8=")</f>
        <v>#REF!</v>
      </c>
      <c r="FU7" t="str">
        <f>AND(#REF!,"AAAAAH/90rA=")</f>
        <v>#REF!</v>
      </c>
      <c r="FV7" t="str">
        <f>AND(#REF!,"AAAAAH/90rE=")</f>
        <v>#REF!</v>
      </c>
      <c r="FW7" t="str">
        <f>AND(#REF!,"AAAAAH/90rI=")</f>
        <v>#REF!</v>
      </c>
      <c r="FX7" t="str">
        <f>AND(#REF!,"AAAAAH/90rM=")</f>
        <v>#REF!</v>
      </c>
      <c r="FY7" t="str">
        <f>AND(#REF!,"AAAAAH/90rQ=")</f>
        <v>#REF!</v>
      </c>
      <c r="FZ7" t="str">
        <f>AND(#REF!,"AAAAAH/90rU=")</f>
        <v>#REF!</v>
      </c>
      <c r="GA7" t="str">
        <f>AND(#REF!,"AAAAAH/90rY=")</f>
        <v>#REF!</v>
      </c>
      <c r="GB7" t="str">
        <f>AND(#REF!,"AAAAAH/90rc=")</f>
        <v>#REF!</v>
      </c>
      <c r="GC7" t="str">
        <f>AND(#REF!,"AAAAAH/90rg=")</f>
        <v>#REF!</v>
      </c>
      <c r="GD7" t="str">
        <f>AND(#REF!,"AAAAAH/90rk=")</f>
        <v>#REF!</v>
      </c>
      <c r="GE7" t="str">
        <f>AND(#REF!,"AAAAAH/90ro=")</f>
        <v>#REF!</v>
      </c>
      <c r="GF7" t="str">
        <f>AND(#REF!,"AAAAAH/90rs=")</f>
        <v>#REF!</v>
      </c>
      <c r="GG7" t="str">
        <f>AND(#REF!,"AAAAAH/90rw=")</f>
        <v>#REF!</v>
      </c>
      <c r="GH7" t="str">
        <f>AND(#REF!,"AAAAAH/90r0=")</f>
        <v>#REF!</v>
      </c>
      <c r="GI7" t="str">
        <f>AND(#REF!,"AAAAAH/90r4=")</f>
        <v>#REF!</v>
      </c>
      <c r="GJ7" t="str">
        <f>AND(#REF!,"AAAAAH/90r8=")</f>
        <v>#REF!</v>
      </c>
      <c r="GK7" t="str">
        <f>AND(#REF!,"AAAAAH/90sA=")</f>
        <v>#REF!</v>
      </c>
      <c r="GL7" t="str">
        <f>AND(#REF!,"AAAAAH/90sE=")</f>
        <v>#REF!</v>
      </c>
      <c r="GM7" t="str">
        <f>AND(#REF!,"AAAAAH/90sI=")</f>
        <v>#REF!</v>
      </c>
      <c r="GN7" t="str">
        <f>AND(#REF!,"AAAAAH/90sM=")</f>
        <v>#REF!</v>
      </c>
      <c r="GO7" t="str">
        <f>AND(#REF!,"AAAAAH/90sQ=")</f>
        <v>#REF!</v>
      </c>
      <c r="GP7" t="str">
        <f>AND(#REF!,"AAAAAH/90sU=")</f>
        <v>#REF!</v>
      </c>
      <c r="GQ7" t="str">
        <f>AND(#REF!,"AAAAAH/90sY=")</f>
        <v>#REF!</v>
      </c>
      <c r="GR7" t="str">
        <f>AND(#REF!,"AAAAAH/90sc=")</f>
        <v>#REF!</v>
      </c>
      <c r="GS7" t="str">
        <f>AND(#REF!,"AAAAAH/90sg=")</f>
        <v>#REF!</v>
      </c>
      <c r="GT7" t="str">
        <f>AND(#REF!,"AAAAAH/90sk=")</f>
        <v>#REF!</v>
      </c>
      <c r="GU7" t="str">
        <f>AND(#REF!,"AAAAAH/90so=")</f>
        <v>#REF!</v>
      </c>
      <c r="GV7" t="str">
        <f>AND(#REF!,"AAAAAH/90ss=")</f>
        <v>#REF!</v>
      </c>
      <c r="GW7" t="str">
        <f>AND(#REF!,"AAAAAH/90sw=")</f>
        <v>#REF!</v>
      </c>
      <c r="GX7" t="str">
        <f>AND(#REF!,"AAAAAH/90s0=")</f>
        <v>#REF!</v>
      </c>
      <c r="GY7" t="str">
        <f>AND(#REF!,"AAAAAH/90s4=")</f>
        <v>#REF!</v>
      </c>
      <c r="GZ7" t="str">
        <f>AND(#REF!,"AAAAAH/90s8=")</f>
        <v>#REF!</v>
      </c>
      <c r="HA7" t="str">
        <f>AND(#REF!,"AAAAAH/90tA=")</f>
        <v>#REF!</v>
      </c>
      <c r="HB7" t="str">
        <f>AND(#REF!,"AAAAAH/90tE=")</f>
        <v>#REF!</v>
      </c>
      <c r="HC7" t="str">
        <f>AND(#REF!,"AAAAAH/90tI=")</f>
        <v>#REF!</v>
      </c>
      <c r="HD7" t="str">
        <f>AND(#REF!,"AAAAAH/90tM=")</f>
        <v>#REF!</v>
      </c>
      <c r="HE7" t="str">
        <f>IF(#REF!,"AAAAAH/90tQ=",0)</f>
        <v>#REF!</v>
      </c>
      <c r="HF7" t="str">
        <f>AND(#REF!,"AAAAAH/90tU=")</f>
        <v>#REF!</v>
      </c>
      <c r="HG7" t="str">
        <f>AND(#REF!,"AAAAAH/90tY=")</f>
        <v>#REF!</v>
      </c>
      <c r="HH7" t="str">
        <f>AND(#REF!,"AAAAAH/90tc=")</f>
        <v>#REF!</v>
      </c>
      <c r="HI7" t="str">
        <f>AND(#REF!,"AAAAAH/90tg=")</f>
        <v>#REF!</v>
      </c>
      <c r="HJ7" t="str">
        <f>AND(#REF!,"AAAAAH/90tk=")</f>
        <v>#REF!</v>
      </c>
      <c r="HK7" t="str">
        <f>AND(#REF!,"AAAAAH/90to=")</f>
        <v>#REF!</v>
      </c>
      <c r="HL7" t="str">
        <f>AND(#REF!,"AAAAAH/90ts=")</f>
        <v>#REF!</v>
      </c>
      <c r="HM7" t="str">
        <f>AND(#REF!,"AAAAAH/90tw=")</f>
        <v>#REF!</v>
      </c>
      <c r="HN7" t="str">
        <f>AND(#REF!,"AAAAAH/90t0=")</f>
        <v>#REF!</v>
      </c>
      <c r="HO7" t="str">
        <f>AND(#REF!,"AAAAAH/90t4=")</f>
        <v>#REF!</v>
      </c>
      <c r="HP7" t="str">
        <f>AND(#REF!,"AAAAAH/90t8=")</f>
        <v>#REF!</v>
      </c>
      <c r="HQ7" t="str">
        <f>AND(#REF!,"AAAAAH/90uA=")</f>
        <v>#REF!</v>
      </c>
      <c r="HR7" t="str">
        <f>AND(#REF!,"AAAAAH/90uE=")</f>
        <v>#REF!</v>
      </c>
      <c r="HS7" t="str">
        <f>AND(#REF!,"AAAAAH/90uI=")</f>
        <v>#REF!</v>
      </c>
      <c r="HT7" t="str">
        <f>AND(#REF!,"AAAAAH/90uM=")</f>
        <v>#REF!</v>
      </c>
      <c r="HU7" t="str">
        <f>AND(#REF!,"AAAAAH/90uQ=")</f>
        <v>#REF!</v>
      </c>
      <c r="HV7" t="str">
        <f>AND(#REF!,"AAAAAH/90uU=")</f>
        <v>#REF!</v>
      </c>
      <c r="HW7" t="str">
        <f>AND(#REF!,"AAAAAH/90uY=")</f>
        <v>#REF!</v>
      </c>
      <c r="HX7" t="str">
        <f>AND(#REF!,"AAAAAH/90uc=")</f>
        <v>#REF!</v>
      </c>
      <c r="HY7" t="str">
        <f>AND(#REF!,"AAAAAH/90ug=")</f>
        <v>#REF!</v>
      </c>
      <c r="HZ7" t="str">
        <f>AND(#REF!,"AAAAAH/90uk=")</f>
        <v>#REF!</v>
      </c>
      <c r="IA7" t="str">
        <f>AND(#REF!,"AAAAAH/90uo=")</f>
        <v>#REF!</v>
      </c>
      <c r="IB7" t="str">
        <f>AND(#REF!,"AAAAAH/90us=")</f>
        <v>#REF!</v>
      </c>
      <c r="IC7" t="str">
        <f>AND(#REF!,"AAAAAH/90uw=")</f>
        <v>#REF!</v>
      </c>
      <c r="ID7" t="str">
        <f>AND(#REF!,"AAAAAH/90u0=")</f>
        <v>#REF!</v>
      </c>
      <c r="IE7" t="str">
        <f>AND(#REF!,"AAAAAH/90u4=")</f>
        <v>#REF!</v>
      </c>
      <c r="IF7" t="str">
        <f>AND(#REF!,"AAAAAH/90u8=")</f>
        <v>#REF!</v>
      </c>
      <c r="IG7" t="str">
        <f>AND(#REF!,"AAAAAH/90vA=")</f>
        <v>#REF!</v>
      </c>
      <c r="IH7" t="str">
        <f>AND(#REF!,"AAAAAH/90vE=")</f>
        <v>#REF!</v>
      </c>
      <c r="II7" t="str">
        <f>AND(#REF!,"AAAAAH/90vI=")</f>
        <v>#REF!</v>
      </c>
      <c r="IJ7" t="str">
        <f>AND(#REF!,"AAAAAH/90vM=")</f>
        <v>#REF!</v>
      </c>
      <c r="IK7" t="str">
        <f>AND(#REF!,"AAAAAH/90vQ=")</f>
        <v>#REF!</v>
      </c>
      <c r="IL7" t="str">
        <f>AND(#REF!,"AAAAAH/90vU=")</f>
        <v>#REF!</v>
      </c>
      <c r="IM7" t="str">
        <f>AND(#REF!,"AAAAAH/90vY=")</f>
        <v>#REF!</v>
      </c>
      <c r="IN7" t="str">
        <f>AND(#REF!,"AAAAAH/90vc=")</f>
        <v>#REF!</v>
      </c>
      <c r="IO7" t="str">
        <f>AND(#REF!,"AAAAAH/90vg=")</f>
        <v>#REF!</v>
      </c>
      <c r="IP7" t="str">
        <f>AND(#REF!,"AAAAAH/90vk=")</f>
        <v>#REF!</v>
      </c>
      <c r="IQ7" t="str">
        <f>AND(#REF!,"AAAAAH/90vo=")</f>
        <v>#REF!</v>
      </c>
      <c r="IR7" t="str">
        <f>AND(#REF!,"AAAAAH/90vs=")</f>
        <v>#REF!</v>
      </c>
      <c r="IS7" t="str">
        <f>AND(#REF!,"AAAAAH/90vw=")</f>
        <v>#REF!</v>
      </c>
      <c r="IT7" t="str">
        <f>AND(#REF!,"AAAAAH/90v0=")</f>
        <v>#REF!</v>
      </c>
      <c r="IU7" t="str">
        <f>AND(#REF!,"AAAAAH/90v4=")</f>
        <v>#REF!</v>
      </c>
      <c r="IV7" t="str">
        <f>AND(#REF!,"AAAAAH/90v8=")</f>
        <v>#REF!</v>
      </c>
    </row>
    <row r="8">
      <c r="A8" t="str">
        <f>AND(#REF!,"AAAAAA/K9QA=")</f>
        <v>#REF!</v>
      </c>
      <c r="B8" t="str">
        <f>AND(#REF!,"AAAAAA/K9QE=")</f>
        <v>#REF!</v>
      </c>
      <c r="C8" t="str">
        <f>AND(#REF!,"AAAAAA/K9QI=")</f>
        <v>#REF!</v>
      </c>
      <c r="D8" t="str">
        <f>AND(#REF!,"AAAAAA/K9QM=")</f>
        <v>#REF!</v>
      </c>
      <c r="E8" t="str">
        <f>AND(#REF!,"AAAAAA/K9QQ=")</f>
        <v>#REF!</v>
      </c>
      <c r="F8" t="str">
        <f>AND(#REF!,"AAAAAA/K9QU=")</f>
        <v>#REF!</v>
      </c>
      <c r="G8" t="str">
        <f>AND(#REF!,"AAAAAA/K9QY=")</f>
        <v>#REF!</v>
      </c>
      <c r="H8" t="str">
        <f>AND(#REF!,"AAAAAA/K9Qc=")</f>
        <v>#REF!</v>
      </c>
      <c r="I8" t="str">
        <f>AND(#REF!,"AAAAAA/K9Qg=")</f>
        <v>#REF!</v>
      </c>
      <c r="J8" t="str">
        <f>AND(#REF!,"AAAAAA/K9Qk=")</f>
        <v>#REF!</v>
      </c>
      <c r="K8" t="str">
        <f>AND(#REF!,"AAAAAA/K9Qo=")</f>
        <v>#REF!</v>
      </c>
      <c r="L8" t="str">
        <f>AND(#REF!,"AAAAAA/K9Qs=")</f>
        <v>#REF!</v>
      </c>
      <c r="M8" t="str">
        <f>AND(#REF!,"AAAAAA/K9Qw=")</f>
        <v>#REF!</v>
      </c>
      <c r="N8" t="str">
        <f>AND(#REF!,"AAAAAA/K9Q0=")</f>
        <v>#REF!</v>
      </c>
      <c r="O8" t="str">
        <f>AND(#REF!,"AAAAAA/K9Q4=")</f>
        <v>#REF!</v>
      </c>
      <c r="P8" t="str">
        <f>AND(#REF!,"AAAAAA/K9Q8=")</f>
        <v>#REF!</v>
      </c>
      <c r="Q8" t="str">
        <f>AND(#REF!,"AAAAAA/K9RA=")</f>
        <v>#REF!</v>
      </c>
      <c r="R8" t="str">
        <f>AND(#REF!,"AAAAAA/K9RE=")</f>
        <v>#REF!</v>
      </c>
      <c r="S8" t="str">
        <f>AND(#REF!,"AAAAAA/K9RI=")</f>
        <v>#REF!</v>
      </c>
      <c r="T8" t="str">
        <f>AND(#REF!,"AAAAAA/K9RM=")</f>
        <v>#REF!</v>
      </c>
      <c r="U8" t="str">
        <f>AND(#REF!,"AAAAAA/K9RQ=")</f>
        <v>#REF!</v>
      </c>
      <c r="V8" t="str">
        <f>AND(#REF!,"AAAAAA/K9RU=")</f>
        <v>#REF!</v>
      </c>
      <c r="W8" t="str">
        <f>AND(#REF!,"AAAAAA/K9RY=")</f>
        <v>#REF!</v>
      </c>
      <c r="X8" t="str">
        <f>AND(#REF!,"AAAAAA/K9Rc=")</f>
        <v>#REF!</v>
      </c>
      <c r="Y8" t="str">
        <f>AND(#REF!,"AAAAAA/K9Rg=")</f>
        <v>#REF!</v>
      </c>
      <c r="Z8" t="str">
        <f>AND(#REF!,"AAAAAA/K9Rk=")</f>
        <v>#REF!</v>
      </c>
      <c r="AA8" t="str">
        <f>AND(#REF!,"AAAAAA/K9Ro=")</f>
        <v>#REF!</v>
      </c>
      <c r="AB8" t="str">
        <f>AND(#REF!,"AAAAAA/K9Rs=")</f>
        <v>#REF!</v>
      </c>
      <c r="AC8" t="str">
        <f>AND(#REF!,"AAAAAA/K9Rw=")</f>
        <v>#REF!</v>
      </c>
      <c r="AD8" t="str">
        <f>AND(#REF!,"AAAAAA/K9R0=")</f>
        <v>#REF!</v>
      </c>
      <c r="AE8" t="str">
        <f>AND(#REF!,"AAAAAA/K9R4=")</f>
        <v>#REF!</v>
      </c>
      <c r="AF8" t="str">
        <f>AND(#REF!,"AAAAAA/K9R8=")</f>
        <v>#REF!</v>
      </c>
      <c r="AG8" t="str">
        <f>IF(#REF!,"AAAAAA/K9SA=",0)</f>
        <v>#REF!</v>
      </c>
      <c r="AH8" t="str">
        <f>AND(#REF!,"AAAAAA/K9SE=")</f>
        <v>#REF!</v>
      </c>
      <c r="AI8" t="str">
        <f>AND(#REF!,"AAAAAA/K9SI=")</f>
        <v>#REF!</v>
      </c>
      <c r="AJ8" t="str">
        <f>AND(#REF!,"AAAAAA/K9SM=")</f>
        <v>#REF!</v>
      </c>
      <c r="AK8" t="str">
        <f>AND(#REF!,"AAAAAA/K9SQ=")</f>
        <v>#REF!</v>
      </c>
      <c r="AL8" t="str">
        <f>AND(#REF!,"AAAAAA/K9SU=")</f>
        <v>#REF!</v>
      </c>
      <c r="AM8" t="str">
        <f>AND(#REF!,"AAAAAA/K9SY=")</f>
        <v>#REF!</v>
      </c>
      <c r="AN8" t="str">
        <f>AND(#REF!,"AAAAAA/K9Sc=")</f>
        <v>#REF!</v>
      </c>
      <c r="AO8" t="str">
        <f>AND(#REF!,"AAAAAA/K9Sg=")</f>
        <v>#REF!</v>
      </c>
      <c r="AP8" t="str">
        <f>AND(#REF!,"AAAAAA/K9Sk=")</f>
        <v>#REF!</v>
      </c>
      <c r="AQ8" t="str">
        <f>AND(#REF!,"AAAAAA/K9So=")</f>
        <v>#REF!</v>
      </c>
      <c r="AR8" t="str">
        <f>AND(#REF!,"AAAAAA/K9Ss=")</f>
        <v>#REF!</v>
      </c>
      <c r="AS8" t="str">
        <f>AND(#REF!,"AAAAAA/K9Sw=")</f>
        <v>#REF!</v>
      </c>
      <c r="AT8" t="str">
        <f>AND(#REF!,"AAAAAA/K9S0=")</f>
        <v>#REF!</v>
      </c>
      <c r="AU8" t="str">
        <f>AND(#REF!,"AAAAAA/K9S4=")</f>
        <v>#REF!</v>
      </c>
      <c r="AV8" t="str">
        <f>AND(#REF!,"AAAAAA/K9S8=")</f>
        <v>#REF!</v>
      </c>
      <c r="AW8" t="str">
        <f>AND(#REF!,"AAAAAA/K9TA=")</f>
        <v>#REF!</v>
      </c>
      <c r="AX8" t="str">
        <f>AND(#REF!,"AAAAAA/K9TE=")</f>
        <v>#REF!</v>
      </c>
      <c r="AY8" t="str">
        <f>AND(#REF!,"AAAAAA/K9TI=")</f>
        <v>#REF!</v>
      </c>
      <c r="AZ8" t="str">
        <f>AND(#REF!,"AAAAAA/K9TM=")</f>
        <v>#REF!</v>
      </c>
      <c r="BA8" t="str">
        <f>AND(#REF!,"AAAAAA/K9TQ=")</f>
        <v>#REF!</v>
      </c>
      <c r="BB8" t="str">
        <f>AND(#REF!,"AAAAAA/K9TU=")</f>
        <v>#REF!</v>
      </c>
      <c r="BC8" t="str">
        <f>AND(#REF!,"AAAAAA/K9TY=")</f>
        <v>#REF!</v>
      </c>
      <c r="BD8" t="str">
        <f>AND(#REF!,"AAAAAA/K9Tc=")</f>
        <v>#REF!</v>
      </c>
      <c r="BE8" t="str">
        <f>AND(#REF!,"AAAAAA/K9Tg=")</f>
        <v>#REF!</v>
      </c>
      <c r="BF8" t="str">
        <f>AND(#REF!,"AAAAAA/K9Tk=")</f>
        <v>#REF!</v>
      </c>
      <c r="BG8" t="str">
        <f>AND(#REF!,"AAAAAA/K9To=")</f>
        <v>#REF!</v>
      </c>
      <c r="BH8" t="str">
        <f>AND(#REF!,"AAAAAA/K9Ts=")</f>
        <v>#REF!</v>
      </c>
      <c r="BI8" t="str">
        <f>AND(#REF!,"AAAAAA/K9Tw=")</f>
        <v>#REF!</v>
      </c>
      <c r="BJ8" t="str">
        <f>AND(#REF!,"AAAAAA/K9T0=")</f>
        <v>#REF!</v>
      </c>
      <c r="BK8" t="str">
        <f>AND(#REF!,"AAAAAA/K9T4=")</f>
        <v>#REF!</v>
      </c>
      <c r="BL8" t="str">
        <f>AND(#REF!,"AAAAAA/K9T8=")</f>
        <v>#REF!</v>
      </c>
      <c r="BM8" t="str">
        <f>AND(#REF!,"AAAAAA/K9UA=")</f>
        <v>#REF!</v>
      </c>
      <c r="BN8" t="str">
        <f>AND(#REF!,"AAAAAA/K9UE=")</f>
        <v>#REF!</v>
      </c>
      <c r="BO8" t="str">
        <f>AND(#REF!,"AAAAAA/K9UI=")</f>
        <v>#REF!</v>
      </c>
      <c r="BP8" t="str">
        <f>AND(#REF!,"AAAAAA/K9UM=")</f>
        <v>#REF!</v>
      </c>
      <c r="BQ8" t="str">
        <f>AND(#REF!,"AAAAAA/K9UQ=")</f>
        <v>#REF!</v>
      </c>
      <c r="BR8" t="str">
        <f>AND(#REF!,"AAAAAA/K9UU=")</f>
        <v>#REF!</v>
      </c>
      <c r="BS8" t="str">
        <f>AND(#REF!,"AAAAAA/K9UY=")</f>
        <v>#REF!</v>
      </c>
      <c r="BT8" t="str">
        <f>AND(#REF!,"AAAAAA/K9Uc=")</f>
        <v>#REF!</v>
      </c>
      <c r="BU8" t="str">
        <f>AND(#REF!,"AAAAAA/K9Ug=")</f>
        <v>#REF!</v>
      </c>
      <c r="BV8" t="str">
        <f>AND(#REF!,"AAAAAA/K9Uk=")</f>
        <v>#REF!</v>
      </c>
      <c r="BW8" t="str">
        <f>AND(#REF!,"AAAAAA/K9Uo=")</f>
        <v>#REF!</v>
      </c>
      <c r="BX8" t="str">
        <f>AND(#REF!,"AAAAAA/K9Us=")</f>
        <v>#REF!</v>
      </c>
      <c r="BY8" t="str">
        <f>AND(#REF!,"AAAAAA/K9Uw=")</f>
        <v>#REF!</v>
      </c>
      <c r="BZ8" t="str">
        <f>AND(#REF!,"AAAAAA/K9U0=")</f>
        <v>#REF!</v>
      </c>
      <c r="CA8" t="str">
        <f>AND(#REF!,"AAAAAA/K9U4=")</f>
        <v>#REF!</v>
      </c>
      <c r="CB8" t="str">
        <f>AND(#REF!,"AAAAAA/K9U8=")</f>
        <v>#REF!</v>
      </c>
      <c r="CC8" t="str">
        <f>AND(#REF!,"AAAAAA/K9VA=")</f>
        <v>#REF!</v>
      </c>
      <c r="CD8" t="str">
        <f>AND(#REF!,"AAAAAA/K9VE=")</f>
        <v>#REF!</v>
      </c>
      <c r="CE8" t="str">
        <f>AND(#REF!,"AAAAAA/K9VI=")</f>
        <v>#REF!</v>
      </c>
      <c r="CF8" t="str">
        <f>AND(#REF!,"AAAAAA/K9VM=")</f>
        <v>#REF!</v>
      </c>
      <c r="CG8" t="str">
        <f>AND(#REF!,"AAAAAA/K9VQ=")</f>
        <v>#REF!</v>
      </c>
      <c r="CH8" t="str">
        <f>AND(#REF!,"AAAAAA/K9VU=")</f>
        <v>#REF!</v>
      </c>
      <c r="CI8" t="str">
        <f>AND(#REF!,"AAAAAA/K9VY=")</f>
        <v>#REF!</v>
      </c>
      <c r="CJ8" t="str">
        <f>AND(#REF!,"AAAAAA/K9Vc=")</f>
        <v>#REF!</v>
      </c>
      <c r="CK8" t="str">
        <f>AND(#REF!,"AAAAAA/K9Vg=")</f>
        <v>#REF!</v>
      </c>
      <c r="CL8" t="str">
        <f>AND(#REF!,"AAAAAA/K9Vk=")</f>
        <v>#REF!</v>
      </c>
      <c r="CM8" t="str">
        <f>AND(#REF!,"AAAAAA/K9Vo=")</f>
        <v>#REF!</v>
      </c>
      <c r="CN8" t="str">
        <f>AND(#REF!,"AAAAAA/K9Vs=")</f>
        <v>#REF!</v>
      </c>
      <c r="CO8" t="str">
        <f>AND(#REF!,"AAAAAA/K9Vw=")</f>
        <v>#REF!</v>
      </c>
      <c r="CP8" t="str">
        <f>AND(#REF!,"AAAAAA/K9V0=")</f>
        <v>#REF!</v>
      </c>
      <c r="CQ8" t="str">
        <f>AND(#REF!,"AAAAAA/K9V4=")</f>
        <v>#REF!</v>
      </c>
      <c r="CR8" t="str">
        <f>AND(#REF!,"AAAAAA/K9V8=")</f>
        <v>#REF!</v>
      </c>
      <c r="CS8" t="str">
        <f>AND(#REF!,"AAAAAA/K9WA=")</f>
        <v>#REF!</v>
      </c>
      <c r="CT8" t="str">
        <f>AND(#REF!,"AAAAAA/K9WE=")</f>
        <v>#REF!</v>
      </c>
      <c r="CU8" t="str">
        <f>AND(#REF!,"AAAAAA/K9WI=")</f>
        <v>#REF!</v>
      </c>
      <c r="CV8" t="str">
        <f>AND(#REF!,"AAAAAA/K9WM=")</f>
        <v>#REF!</v>
      </c>
      <c r="CW8" t="str">
        <f>AND(#REF!,"AAAAAA/K9WQ=")</f>
        <v>#REF!</v>
      </c>
      <c r="CX8" t="str">
        <f>AND(#REF!,"AAAAAA/K9WU=")</f>
        <v>#REF!</v>
      </c>
      <c r="CY8" t="str">
        <f>AND(#REF!,"AAAAAA/K9WY=")</f>
        <v>#REF!</v>
      </c>
      <c r="CZ8" t="str">
        <f>AND(#REF!,"AAAAAA/K9Wc=")</f>
        <v>#REF!</v>
      </c>
      <c r="DA8" t="str">
        <f>AND(#REF!,"AAAAAA/K9Wg=")</f>
        <v>#REF!</v>
      </c>
      <c r="DB8" t="str">
        <f>AND(#REF!,"AAAAAA/K9Wk=")</f>
        <v>#REF!</v>
      </c>
      <c r="DC8" t="str">
        <f>AND(#REF!,"AAAAAA/K9Wo=")</f>
        <v>#REF!</v>
      </c>
      <c r="DD8" t="str">
        <f>AND(#REF!,"AAAAAA/K9Ws=")</f>
        <v>#REF!</v>
      </c>
      <c r="DE8" t="str">
        <f>IF(#REF!,"AAAAAA/K9Ww=",0)</f>
        <v>#REF!</v>
      </c>
      <c r="DF8" t="str">
        <f>AND(#REF!,"AAAAAA/K9W0=")</f>
        <v>#REF!</v>
      </c>
      <c r="DG8" t="str">
        <f>AND(#REF!,"AAAAAA/K9W4=")</f>
        <v>#REF!</v>
      </c>
      <c r="DH8" t="str">
        <f>AND(#REF!,"AAAAAA/K9W8=")</f>
        <v>#REF!</v>
      </c>
      <c r="DI8" t="str">
        <f>AND(#REF!,"AAAAAA/K9XA=")</f>
        <v>#REF!</v>
      </c>
      <c r="DJ8" t="str">
        <f>AND(#REF!,"AAAAAA/K9XE=")</f>
        <v>#REF!</v>
      </c>
      <c r="DK8" t="str">
        <f>AND(#REF!,"AAAAAA/K9XI=")</f>
        <v>#REF!</v>
      </c>
      <c r="DL8" t="str">
        <f>AND(#REF!,"AAAAAA/K9XM=")</f>
        <v>#REF!</v>
      </c>
      <c r="DM8" t="str">
        <f>AND(#REF!,"AAAAAA/K9XQ=")</f>
        <v>#REF!</v>
      </c>
      <c r="DN8" t="str">
        <f>AND(#REF!,"AAAAAA/K9XU=")</f>
        <v>#REF!</v>
      </c>
      <c r="DO8" t="str">
        <f>AND(#REF!,"AAAAAA/K9XY=")</f>
        <v>#REF!</v>
      </c>
      <c r="DP8" t="str">
        <f>AND(#REF!,"AAAAAA/K9Xc=")</f>
        <v>#REF!</v>
      </c>
      <c r="DQ8" t="str">
        <f>AND(#REF!,"AAAAAA/K9Xg=")</f>
        <v>#REF!</v>
      </c>
      <c r="DR8" t="str">
        <f>AND(#REF!,"AAAAAA/K9Xk=")</f>
        <v>#REF!</v>
      </c>
      <c r="DS8" t="str">
        <f>AND(#REF!,"AAAAAA/K9Xo=")</f>
        <v>#REF!</v>
      </c>
      <c r="DT8" t="str">
        <f>AND(#REF!,"AAAAAA/K9Xs=")</f>
        <v>#REF!</v>
      </c>
      <c r="DU8" t="str">
        <f>AND(#REF!,"AAAAAA/K9Xw=")</f>
        <v>#REF!</v>
      </c>
      <c r="DV8" t="str">
        <f>AND(#REF!,"AAAAAA/K9X0=")</f>
        <v>#REF!</v>
      </c>
      <c r="DW8" t="str">
        <f>AND(#REF!,"AAAAAA/K9X4=")</f>
        <v>#REF!</v>
      </c>
      <c r="DX8" t="str">
        <f>AND(#REF!,"AAAAAA/K9X8=")</f>
        <v>#REF!</v>
      </c>
      <c r="DY8" t="str">
        <f>AND(#REF!,"AAAAAA/K9YA=")</f>
        <v>#REF!</v>
      </c>
      <c r="DZ8" t="str">
        <f>AND(#REF!,"AAAAAA/K9YE=")</f>
        <v>#REF!</v>
      </c>
      <c r="EA8" t="str">
        <f>AND(#REF!,"AAAAAA/K9YI=")</f>
        <v>#REF!</v>
      </c>
      <c r="EB8" t="str">
        <f>AND(#REF!,"AAAAAA/K9YM=")</f>
        <v>#REF!</v>
      </c>
      <c r="EC8" t="str">
        <f>AND(#REF!,"AAAAAA/K9YQ=")</f>
        <v>#REF!</v>
      </c>
      <c r="ED8" t="str">
        <f>AND(#REF!,"AAAAAA/K9YU=")</f>
        <v>#REF!</v>
      </c>
      <c r="EE8" t="str">
        <f>AND(#REF!,"AAAAAA/K9YY=")</f>
        <v>#REF!</v>
      </c>
      <c r="EF8" t="str">
        <f>AND(#REF!,"AAAAAA/K9Yc=")</f>
        <v>#REF!</v>
      </c>
      <c r="EG8" t="str">
        <f>AND(#REF!,"AAAAAA/K9Yg=")</f>
        <v>#REF!</v>
      </c>
      <c r="EH8" t="str">
        <f>AND(#REF!,"AAAAAA/K9Yk=")</f>
        <v>#REF!</v>
      </c>
      <c r="EI8" t="str">
        <f>AND(#REF!,"AAAAAA/K9Yo=")</f>
        <v>#REF!</v>
      </c>
      <c r="EJ8" t="str">
        <f>AND(#REF!,"AAAAAA/K9Ys=")</f>
        <v>#REF!</v>
      </c>
      <c r="EK8" t="str">
        <f>AND(#REF!,"AAAAAA/K9Yw=")</f>
        <v>#REF!</v>
      </c>
      <c r="EL8" t="str">
        <f>AND(#REF!,"AAAAAA/K9Y0=")</f>
        <v>#REF!</v>
      </c>
      <c r="EM8" t="str">
        <f>AND(#REF!,"AAAAAA/K9Y4=")</f>
        <v>#REF!</v>
      </c>
      <c r="EN8" t="str">
        <f>AND(#REF!,"AAAAAA/K9Y8=")</f>
        <v>#REF!</v>
      </c>
      <c r="EO8" t="str">
        <f>AND(#REF!,"AAAAAA/K9ZA=")</f>
        <v>#REF!</v>
      </c>
      <c r="EP8" t="str">
        <f>AND(#REF!,"AAAAAA/K9ZE=")</f>
        <v>#REF!</v>
      </c>
      <c r="EQ8" t="str">
        <f>AND(#REF!,"AAAAAA/K9ZI=")</f>
        <v>#REF!</v>
      </c>
      <c r="ER8" t="str">
        <f>AND(#REF!,"AAAAAA/K9ZM=")</f>
        <v>#REF!</v>
      </c>
      <c r="ES8" t="str">
        <f>AND(#REF!,"AAAAAA/K9ZQ=")</f>
        <v>#REF!</v>
      </c>
      <c r="ET8" t="str">
        <f>AND(#REF!,"AAAAAA/K9ZU=")</f>
        <v>#REF!</v>
      </c>
      <c r="EU8" t="str">
        <f>AND(#REF!,"AAAAAA/K9ZY=")</f>
        <v>#REF!</v>
      </c>
      <c r="EV8" t="str">
        <f>AND(#REF!,"AAAAAA/K9Zc=")</f>
        <v>#REF!</v>
      </c>
      <c r="EW8" t="str">
        <f>AND(#REF!,"AAAAAA/K9Zg=")</f>
        <v>#REF!</v>
      </c>
      <c r="EX8" t="str">
        <f>AND(#REF!,"AAAAAA/K9Zk=")</f>
        <v>#REF!</v>
      </c>
      <c r="EY8" t="str">
        <f>AND(#REF!,"AAAAAA/K9Zo=")</f>
        <v>#REF!</v>
      </c>
      <c r="EZ8" t="str">
        <f>AND(#REF!,"AAAAAA/K9Zs=")</f>
        <v>#REF!</v>
      </c>
      <c r="FA8" t="str">
        <f>AND(#REF!,"AAAAAA/K9Zw=")</f>
        <v>#REF!</v>
      </c>
      <c r="FB8" t="str">
        <f>AND(#REF!,"AAAAAA/K9Z0=")</f>
        <v>#REF!</v>
      </c>
      <c r="FC8" t="str">
        <f>AND(#REF!,"AAAAAA/K9Z4=")</f>
        <v>#REF!</v>
      </c>
      <c r="FD8" t="str">
        <f>AND(#REF!,"AAAAAA/K9Z8=")</f>
        <v>#REF!</v>
      </c>
      <c r="FE8" t="str">
        <f>AND(#REF!,"AAAAAA/K9aA=")</f>
        <v>#REF!</v>
      </c>
      <c r="FF8" t="str">
        <f>AND(#REF!,"AAAAAA/K9aE=")</f>
        <v>#REF!</v>
      </c>
      <c r="FG8" t="str">
        <f>AND(#REF!,"AAAAAA/K9aI=")</f>
        <v>#REF!</v>
      </c>
      <c r="FH8" t="str">
        <f>AND(#REF!,"AAAAAA/K9aM=")</f>
        <v>#REF!</v>
      </c>
      <c r="FI8" t="str">
        <f>AND(#REF!,"AAAAAA/K9aQ=")</f>
        <v>#REF!</v>
      </c>
      <c r="FJ8" t="str">
        <f>AND(#REF!,"AAAAAA/K9aU=")</f>
        <v>#REF!</v>
      </c>
      <c r="FK8" t="str">
        <f>AND(#REF!,"AAAAAA/K9aY=")</f>
        <v>#REF!</v>
      </c>
      <c r="FL8" t="str">
        <f>AND(#REF!,"AAAAAA/K9ac=")</f>
        <v>#REF!</v>
      </c>
      <c r="FM8" t="str">
        <f>AND(#REF!,"AAAAAA/K9ag=")</f>
        <v>#REF!</v>
      </c>
      <c r="FN8" t="str">
        <f>AND(#REF!,"AAAAAA/K9ak=")</f>
        <v>#REF!</v>
      </c>
      <c r="FO8" t="str">
        <f>AND(#REF!,"AAAAAA/K9ao=")</f>
        <v>#REF!</v>
      </c>
      <c r="FP8" t="str">
        <f>AND(#REF!,"AAAAAA/K9as=")</f>
        <v>#REF!</v>
      </c>
      <c r="FQ8" t="str">
        <f>AND(#REF!,"AAAAAA/K9aw=")</f>
        <v>#REF!</v>
      </c>
      <c r="FR8" t="str">
        <f>AND(#REF!,"AAAAAA/K9a0=")</f>
        <v>#REF!</v>
      </c>
      <c r="FS8" t="str">
        <f>AND(#REF!,"AAAAAA/K9a4=")</f>
        <v>#REF!</v>
      </c>
      <c r="FT8" t="str">
        <f>AND(#REF!,"AAAAAA/K9a8=")</f>
        <v>#REF!</v>
      </c>
      <c r="FU8" t="str">
        <f>AND(#REF!,"AAAAAA/K9bA=")</f>
        <v>#REF!</v>
      </c>
      <c r="FV8" t="str">
        <f>AND(#REF!,"AAAAAA/K9bE=")</f>
        <v>#REF!</v>
      </c>
      <c r="FW8" t="str">
        <f>AND(#REF!,"AAAAAA/K9bI=")</f>
        <v>#REF!</v>
      </c>
      <c r="FX8" t="str">
        <f>AND(#REF!,"AAAAAA/K9bM=")</f>
        <v>#REF!</v>
      </c>
      <c r="FY8" t="str">
        <f>AND(#REF!,"AAAAAA/K9bQ=")</f>
        <v>#REF!</v>
      </c>
      <c r="FZ8" t="str">
        <f>AND(#REF!,"AAAAAA/K9bU=")</f>
        <v>#REF!</v>
      </c>
      <c r="GA8" t="str">
        <f>AND(#REF!,"AAAAAA/K9bY=")</f>
        <v>#REF!</v>
      </c>
      <c r="GB8" t="str">
        <f>AND(#REF!,"AAAAAA/K9bc=")</f>
        <v>#REF!</v>
      </c>
      <c r="GC8" t="str">
        <f>IF(#REF!,"AAAAAA/K9bg=",0)</f>
        <v>#REF!</v>
      </c>
      <c r="GD8" t="str">
        <f>AND(#REF!,"AAAAAA/K9bk=")</f>
        <v>#REF!</v>
      </c>
      <c r="GE8" t="str">
        <f>AND(#REF!,"AAAAAA/K9bo=")</f>
        <v>#REF!</v>
      </c>
      <c r="GF8" t="str">
        <f>AND(#REF!,"AAAAAA/K9bs=")</f>
        <v>#REF!</v>
      </c>
      <c r="GG8" t="str">
        <f>IF(#REF!,"AAAAAA/K9bw=",0)</f>
        <v>#REF!</v>
      </c>
      <c r="GH8" t="str">
        <f>AND(#REF!,"AAAAAA/K9b0=")</f>
        <v>#REF!</v>
      </c>
      <c r="GI8" t="str">
        <f>AND(#REF!,"AAAAAA/K9b4=")</f>
        <v>#REF!</v>
      </c>
      <c r="GJ8" t="str">
        <f>AND(#REF!,"AAAAAA/K9b8=")</f>
        <v>#REF!</v>
      </c>
      <c r="GK8" t="str">
        <f>IF(#REF!,"AAAAAA/K9cA=",0)</f>
        <v>#REF!</v>
      </c>
      <c r="GL8" t="str">
        <f>IF(#REF!,"AAAAAA/K9cE=",0)</f>
        <v>#REF!</v>
      </c>
      <c r="GM8" t="str">
        <f>IF(#REF!,"AAAAAA/K9cI=",0)</f>
        <v>#REF!</v>
      </c>
      <c r="GN8" t="str">
        <f>IF(#REF!,"AAAAAA/K9cM=",0)</f>
        <v>#REF!</v>
      </c>
      <c r="GO8" t="str">
        <f>IF(#REF!,"AAAAAA/K9cQ=",0)</f>
        <v>#REF!</v>
      </c>
      <c r="GP8" t="str">
        <f>IF(#REF!,"AAAAAA/K9cU=",0)</f>
        <v>#REF!</v>
      </c>
      <c r="GQ8" t="str">
        <f>IF(#REF!,"AAAAAA/K9cY=",0)</f>
        <v>#REF!</v>
      </c>
      <c r="GR8" t="str">
        <f>IF(#REF!,"AAAAAA/K9cc=",0)</f>
        <v>#REF!</v>
      </c>
      <c r="GS8" t="str">
        <f>IF(#REF!,"AAAAAA/K9cg=",0)</f>
        <v>#REF!</v>
      </c>
      <c r="GT8" t="str">
        <f>IF(#REF!,"AAAAAA/K9ck=",0)</f>
        <v>#REF!</v>
      </c>
      <c r="GU8" t="str">
        <f>IF(#REF!,"AAAAAA/K9co=",0)</f>
        <v>#REF!</v>
      </c>
      <c r="GV8" t="str">
        <f>IF(#REF!,"AAAAAA/K9cs=",0)</f>
        <v>#REF!</v>
      </c>
      <c r="GW8" t="str">
        <f>IF(#REF!,"AAAAAA/K9cw=",0)</f>
        <v>#REF!</v>
      </c>
      <c r="GX8" t="str">
        <f>IF(#REF!,"AAAAAA/K9c0=",0)</f>
        <v>#REF!</v>
      </c>
      <c r="GY8" t="str">
        <f>IF(#REF!,"AAAAAA/K9c4=",0)</f>
        <v>#REF!</v>
      </c>
      <c r="GZ8" t="str">
        <f>IF(#REF!,"AAAAAA/K9c8=",0)</f>
        <v>#REF!</v>
      </c>
      <c r="HA8" t="str">
        <f>IF(#REF!,"AAAAAA/K9dA=",0)</f>
        <v>#REF!</v>
      </c>
      <c r="HB8" t="str">
        <f>IF(#REF!,"AAAAAA/K9dE=",0)</f>
        <v>#REF!</v>
      </c>
      <c r="HC8" t="str">
        <f>IF(#REF!,"AAAAAA/K9dI=",0)</f>
        <v>#REF!</v>
      </c>
      <c r="HD8" t="str">
        <f>IF(#REF!,"AAAAAA/K9dM=",0)</f>
        <v>#REF!</v>
      </c>
      <c r="HE8" t="str">
        <f>IF(#REF!,"AAAAAA/K9dQ=",0)</f>
        <v>#REF!</v>
      </c>
      <c r="HF8" t="str">
        <f>IF(#REF!,"AAAAAA/K9dU=",0)</f>
        <v>#REF!</v>
      </c>
      <c r="HG8" t="str">
        <f>IF(#REF!,"AAAAAA/K9dY=",0)</f>
        <v>#REF!</v>
      </c>
      <c r="HH8" t="str">
        <f>IF(#REF!,"AAAAAA/K9dc=",0)</f>
        <v>#REF!</v>
      </c>
      <c r="HI8" t="str">
        <f>IF(#REF!,"AAAAAA/K9dg=",0)</f>
        <v>#REF!</v>
      </c>
      <c r="HJ8" t="str">
        <f>IF(#REF!,"AAAAAA/K9dk=",0)</f>
        <v>#REF!</v>
      </c>
      <c r="HK8" t="str">
        <f>IF(#REF!,"AAAAAA/K9do=",0)</f>
        <v>#REF!</v>
      </c>
      <c r="HL8" t="str">
        <f>IF(#REF!,"AAAAAA/K9ds=",0)</f>
        <v>#REF!</v>
      </c>
      <c r="HM8" t="str">
        <f>IF(#REF!,"AAAAAA/K9dw=",0)</f>
        <v>#REF!</v>
      </c>
      <c r="HN8" t="str">
        <f>IF(#REF!,"AAAAAA/K9d0=",0)</f>
        <v>#REF!</v>
      </c>
      <c r="HO8" t="str">
        <f>IF(#REF!,"AAAAAA/K9d4=",0)</f>
        <v>#REF!</v>
      </c>
      <c r="HP8" t="str">
        <f>IF(#REF!,"AAAAAA/K9d8=",0)</f>
        <v>#REF!</v>
      </c>
      <c r="HQ8" t="str">
        <f>IF(#REF!,"AAAAAA/K9eA=",0)</f>
        <v>#REF!</v>
      </c>
      <c r="HR8" t="str">
        <f>IF(#REF!,"AAAAAA/K9eE=",0)</f>
        <v>#REF!</v>
      </c>
      <c r="HS8" t="str">
        <f>IF(#REF!,"AAAAAA/K9eI=",0)</f>
        <v>#REF!</v>
      </c>
      <c r="HT8" t="str">
        <f>IF(#REF!,"AAAAAA/K9eM=",0)</f>
        <v>#REF!</v>
      </c>
      <c r="HU8" t="str">
        <f>IF(#REF!,"AAAAAA/K9eQ=",0)</f>
        <v>#REF!</v>
      </c>
      <c r="HV8" t="str">
        <f>IF(#REF!,"AAAAAA/K9eU=",0)</f>
        <v>#REF!</v>
      </c>
      <c r="HW8" t="str">
        <f>IF(#REF!,"AAAAAA/K9eY=",0)</f>
        <v>#REF!</v>
      </c>
      <c r="HX8" t="str">
        <f>IF(#REF!,"AAAAAA/K9ec=",0)</f>
        <v>#REF!</v>
      </c>
      <c r="HY8" t="str">
        <f>IF(#REF!,"AAAAAA/K9eg=",0)</f>
        <v>#REF!</v>
      </c>
      <c r="HZ8" t="str">
        <f>IF(#REF!,"AAAAAA/K9ek=",0)</f>
        <v>#REF!</v>
      </c>
      <c r="IA8" t="str">
        <f>IF(#REF!,"AAAAAA/K9eo=",0)</f>
        <v>#REF!</v>
      </c>
      <c r="IB8" t="str">
        <f>IF(#REF!,"AAAAAA/K9es=",0)</f>
        <v>#REF!</v>
      </c>
      <c r="IC8" t="str">
        <f>IF(#REF!,"AAAAAA/K9ew=",0)</f>
        <v>#REF!</v>
      </c>
      <c r="ID8" t="str">
        <f>IF(#REF!,"AAAAAA/K9e0=",0)</f>
        <v>#REF!</v>
      </c>
      <c r="IE8" t="str">
        <f>IF(#REF!,"AAAAAA/K9e4=",0)</f>
        <v>#REF!</v>
      </c>
      <c r="IF8" t="str">
        <f>IF(#REF!,"AAAAAA/K9e8=",0)</f>
        <v>#REF!</v>
      </c>
      <c r="IG8" t="str">
        <f>IF(#REF!,"AAAAAA/K9fA=",0)</f>
        <v>#REF!</v>
      </c>
      <c r="IH8" t="str">
        <f>IF(#REF!,"AAAAAA/K9fE=",0)</f>
        <v>#REF!</v>
      </c>
      <c r="II8" t="str">
        <f>IF(#REF!,"AAAAAA/K9fI=",0)</f>
        <v>#REF!</v>
      </c>
      <c r="IJ8" t="str">
        <f>IF(#REF!,"AAAAAA/K9fM=",0)</f>
        <v>#REF!</v>
      </c>
      <c r="IK8" t="str">
        <f>IF(#REF!,"AAAAAA/K9fQ=",0)</f>
        <v>#REF!</v>
      </c>
      <c r="IL8" t="str">
        <f>IF(#REF!,"AAAAAA/K9fU=",0)</f>
        <v>#REF!</v>
      </c>
      <c r="IM8" t="str">
        <f>IF(#REF!,"AAAAAA/K9fY=",0)</f>
        <v>#REF!</v>
      </c>
      <c r="IN8" t="str">
        <f>IF(#REF!,"AAAAAA/K9fc=",0)</f>
        <v>#REF!</v>
      </c>
      <c r="IO8" t="str">
        <f>IF(#REF!,"AAAAAA/K9fg=",0)</f>
        <v>#REF!</v>
      </c>
      <c r="IP8" t="str">
        <f>IF(#REF!,"AAAAAA/K9fk=",0)</f>
        <v>#REF!</v>
      </c>
      <c r="IQ8" t="str">
        <f>IF(#REF!,"AAAAAA/K9fo=",0)</f>
        <v>#REF!</v>
      </c>
      <c r="IR8" t="str">
        <f>IF(#REF!,"AAAAAA/K9fs=",0)</f>
        <v>#REF!</v>
      </c>
      <c r="IS8" t="str">
        <f>IF(#REF!,"AAAAAA/K9fw=",0)</f>
        <v>#REF!</v>
      </c>
      <c r="IT8" t="str">
        <f>IF(#REF!,"AAAAAA/K9f0=",0)</f>
        <v>#REF!</v>
      </c>
      <c r="IU8" t="str">
        <f>IF(#REF!,"AAAAAA/K9f4=",0)</f>
        <v>#REF!</v>
      </c>
      <c r="IV8" t="str">
        <f>IF(#REF!,"AAAAAA/K9f8=",0)</f>
        <v>#REF!</v>
      </c>
    </row>
    <row r="9">
      <c r="A9" t="str">
        <f>IF(#REF!,"AAAAAFrm/wA=",0)</f>
        <v>#REF!</v>
      </c>
      <c r="B9" t="str">
        <f>IF(#REF!,"AAAAAFrm/wE=",0)</f>
        <v>#REF!</v>
      </c>
      <c r="C9" t="str">
        <f>IF(#REF!,"AAAAAFrm/wI=",0)</f>
        <v>#REF!</v>
      </c>
      <c r="D9" t="str">
        <f>IF(#REF!,"AAAAAFrm/wM=",0)</f>
        <v>#REF!</v>
      </c>
      <c r="E9" t="str">
        <f>IF(#REF!,"AAAAAFrm/wQ=",0)</f>
        <v>#REF!</v>
      </c>
      <c r="F9" t="str">
        <f>IF(#REF!,"AAAAAFrm/wU=",0)</f>
        <v>#REF!</v>
      </c>
      <c r="G9" t="str">
        <f>IF(#REF!,"AAAAAFrm/wY=",0)</f>
        <v>#REF!</v>
      </c>
      <c r="H9" t="str">
        <f>IF(#REF!,"AAAAAFrm/wc=",0)</f>
        <v>#REF!</v>
      </c>
      <c r="I9" t="str">
        <f>IF(#REF!,"AAAAAFrm/wg=",0)</f>
        <v>#REF!</v>
      </c>
      <c r="J9" t="str">
        <f>IF(#REF!,"AAAAAFrm/wk=",0)</f>
        <v>#REF!</v>
      </c>
      <c r="K9" t="str">
        <f>IF(#REF!,"AAAAAFrm/wo=",0)</f>
        <v>#REF!</v>
      </c>
      <c r="L9" t="str">
        <f>IF(#REF!,"AAAAAFrm/ws=",0)</f>
        <v>#REF!</v>
      </c>
      <c r="M9" t="str">
        <f>AND(#REF!,"AAAAAFrm/ww=")</f>
        <v>#REF!</v>
      </c>
      <c r="N9" t="str">
        <f>AND(#REF!,"AAAAAFrm/w0=")</f>
        <v>#REF!</v>
      </c>
      <c r="O9" t="str">
        <f>AND(#REF!,"AAAAAFrm/w4=")</f>
        <v>#REF!</v>
      </c>
      <c r="P9" t="str">
        <f>AND(#REF!,"AAAAAFrm/w8=")</f>
        <v>#REF!</v>
      </c>
      <c r="Q9" t="str">
        <f>AND(#REF!,"AAAAAFrm/xA=")</f>
        <v>#REF!</v>
      </c>
      <c r="R9" t="str">
        <f>AND(#REF!,"AAAAAFrm/xE=")</f>
        <v>#REF!</v>
      </c>
      <c r="S9" t="str">
        <f>AND(#REF!,"AAAAAFrm/xI=")</f>
        <v>#REF!</v>
      </c>
      <c r="T9" t="str">
        <f>AND(#REF!,"AAAAAFrm/xM=")</f>
        <v>#REF!</v>
      </c>
      <c r="U9" t="str">
        <f>AND(#REF!,"AAAAAFrm/xQ=")</f>
        <v>#REF!</v>
      </c>
      <c r="V9" t="str">
        <f>AND(#REF!,"AAAAAFrm/xU=")</f>
        <v>#REF!</v>
      </c>
      <c r="W9" t="str">
        <f>AND(#REF!,"AAAAAFrm/xY=")</f>
        <v>#REF!</v>
      </c>
      <c r="X9" t="str">
        <f>AND(#REF!,"AAAAAFrm/xc=")</f>
        <v>#REF!</v>
      </c>
      <c r="Y9" t="str">
        <f>AND(#REF!,"AAAAAFrm/xg=")</f>
        <v>#REF!</v>
      </c>
      <c r="Z9" t="str">
        <f>AND(#REF!,"AAAAAFrm/xk=")</f>
        <v>#REF!</v>
      </c>
      <c r="AA9" t="str">
        <f>AND(#REF!,"AAAAAFrm/xo=")</f>
        <v>#REF!</v>
      </c>
      <c r="AB9" t="str">
        <f>AND(#REF!,"AAAAAFrm/xs=")</f>
        <v>#REF!</v>
      </c>
      <c r="AC9" t="str">
        <f>AND(#REF!,"AAAAAFrm/xw=")</f>
        <v>#REF!</v>
      </c>
      <c r="AD9" t="str">
        <f>AND(#REF!,"AAAAAFrm/x0=")</f>
        <v>#REF!</v>
      </c>
      <c r="AE9" t="str">
        <f>AND(#REF!,"AAAAAFrm/x4=")</f>
        <v>#REF!</v>
      </c>
      <c r="AF9" t="str">
        <f>AND(#REF!,"AAAAAFrm/x8=")</f>
        <v>#REF!</v>
      </c>
      <c r="AG9" t="str">
        <f>AND(#REF!,"AAAAAFrm/yA=")</f>
        <v>#REF!</v>
      </c>
      <c r="AH9" t="str">
        <f>AND(#REF!,"AAAAAFrm/yE=")</f>
        <v>#REF!</v>
      </c>
      <c r="AI9" t="str">
        <f>AND(#REF!,"AAAAAFrm/yI=")</f>
        <v>#REF!</v>
      </c>
      <c r="AJ9" t="str">
        <f>AND(#REF!,"AAAAAFrm/yM=")</f>
        <v>#REF!</v>
      </c>
      <c r="AK9" t="str">
        <f>AND(#REF!,"AAAAAFrm/yQ=")</f>
        <v>#REF!</v>
      </c>
      <c r="AL9" t="str">
        <f>AND(#REF!,"AAAAAFrm/yU=")</f>
        <v>#REF!</v>
      </c>
      <c r="AM9" t="str">
        <f>AND(#REF!,"AAAAAFrm/yY=")</f>
        <v>#REF!</v>
      </c>
      <c r="AN9" t="str">
        <f>AND(#REF!,"AAAAAFrm/yc=")</f>
        <v>#REF!</v>
      </c>
      <c r="AO9" t="str">
        <f>AND(#REF!,"AAAAAFrm/yg=")</f>
        <v>#REF!</v>
      </c>
      <c r="AP9" t="str">
        <f>AND(#REF!,"AAAAAFrm/yk=")</f>
        <v>#REF!</v>
      </c>
      <c r="AQ9" t="str">
        <f>AND(#REF!,"AAAAAFrm/yo=")</f>
        <v>#REF!</v>
      </c>
      <c r="AR9" t="str">
        <f>AND(#REF!,"AAAAAFrm/ys=")</f>
        <v>#REF!</v>
      </c>
      <c r="AS9" t="str">
        <f>AND(#REF!,"AAAAAFrm/yw=")</f>
        <v>#REF!</v>
      </c>
      <c r="AT9" t="str">
        <f>AND(#REF!,"AAAAAFrm/y0=")</f>
        <v>#REF!</v>
      </c>
      <c r="AU9" t="str">
        <f>AND(#REF!,"AAAAAFrm/y4=")</f>
        <v>#REF!</v>
      </c>
      <c r="AV9" t="str">
        <f>AND(#REF!,"AAAAAFrm/y8=")</f>
        <v>#REF!</v>
      </c>
      <c r="AW9" t="str">
        <f>AND(#REF!,"AAAAAFrm/zA=")</f>
        <v>#REF!</v>
      </c>
      <c r="AX9" t="str">
        <f>AND(#REF!,"AAAAAFrm/zE=")</f>
        <v>#REF!</v>
      </c>
      <c r="AY9" t="str">
        <f>AND(#REF!,"AAAAAFrm/zI=")</f>
        <v>#REF!</v>
      </c>
      <c r="AZ9" t="str">
        <f>AND(#REF!,"AAAAAFrm/zM=")</f>
        <v>#REF!</v>
      </c>
      <c r="BA9" t="str">
        <f>AND(#REF!,"AAAAAFrm/zQ=")</f>
        <v>#REF!</v>
      </c>
      <c r="BB9" t="str">
        <f>AND(#REF!,"AAAAAFrm/zU=")</f>
        <v>#REF!</v>
      </c>
      <c r="BC9" t="str">
        <f>AND(#REF!,"AAAAAFrm/zY=")</f>
        <v>#REF!</v>
      </c>
      <c r="BD9" t="str">
        <f>AND(#REF!,"AAAAAFrm/zc=")</f>
        <v>#REF!</v>
      </c>
      <c r="BE9" t="str">
        <f>AND(#REF!,"AAAAAFrm/zg=")</f>
        <v>#REF!</v>
      </c>
      <c r="BF9" t="str">
        <f>AND(#REF!,"AAAAAFrm/zk=")</f>
        <v>#REF!</v>
      </c>
      <c r="BG9" t="str">
        <f>AND(#REF!,"AAAAAFrm/zo=")</f>
        <v>#REF!</v>
      </c>
      <c r="BH9" t="str">
        <f>AND(#REF!,"AAAAAFrm/zs=")</f>
        <v>#REF!</v>
      </c>
      <c r="BI9" t="str">
        <f>AND(#REF!,"AAAAAFrm/zw=")</f>
        <v>#REF!</v>
      </c>
      <c r="BJ9" t="str">
        <f>AND(#REF!,"AAAAAFrm/z0=")</f>
        <v>#REF!</v>
      </c>
      <c r="BK9" t="str">
        <f>AND(#REF!,"AAAAAFrm/z4=")</f>
        <v>#REF!</v>
      </c>
      <c r="BL9" t="str">
        <f>AND(#REF!,"AAAAAFrm/z8=")</f>
        <v>#REF!</v>
      </c>
      <c r="BM9" t="str">
        <f>AND(#REF!,"AAAAAFrm/0A=")</f>
        <v>#REF!</v>
      </c>
      <c r="BN9" t="str">
        <f>AND(#REF!,"AAAAAFrm/0E=")</f>
        <v>#REF!</v>
      </c>
      <c r="BO9" t="str">
        <f>AND(#REF!,"AAAAAFrm/0I=")</f>
        <v>#REF!</v>
      </c>
      <c r="BP9" t="str">
        <f>AND(#REF!,"AAAAAFrm/0M=")</f>
        <v>#REF!</v>
      </c>
      <c r="BQ9" t="str">
        <f>AND(#REF!,"AAAAAFrm/0Q=")</f>
        <v>#REF!</v>
      </c>
      <c r="BR9" t="str">
        <f>AND(#REF!,"AAAAAFrm/0U=")</f>
        <v>#REF!</v>
      </c>
      <c r="BS9" t="str">
        <f>AND(#REF!,"AAAAAFrm/0Y=")</f>
        <v>#REF!</v>
      </c>
      <c r="BT9" t="str">
        <f>AND(#REF!,"AAAAAFrm/0c=")</f>
        <v>#REF!</v>
      </c>
      <c r="BU9" t="str">
        <f>AND(#REF!,"AAAAAFrm/0g=")</f>
        <v>#REF!</v>
      </c>
      <c r="BV9" t="str">
        <f>AND(#REF!,"AAAAAFrm/0k=")</f>
        <v>#REF!</v>
      </c>
      <c r="BW9" t="str">
        <f>AND(#REF!,"AAAAAFrm/0o=")</f>
        <v>#REF!</v>
      </c>
      <c r="BX9" t="str">
        <f>AND(#REF!,"AAAAAFrm/0s=")</f>
        <v>#REF!</v>
      </c>
      <c r="BY9" t="str">
        <f>AND(#REF!,"AAAAAFrm/0w=")</f>
        <v>#REF!</v>
      </c>
      <c r="BZ9" t="str">
        <f>AND(#REF!,"AAAAAFrm/00=")</f>
        <v>#REF!</v>
      </c>
      <c r="CA9" t="str">
        <f>AND(#REF!,"AAAAAFrm/04=")</f>
        <v>#REF!</v>
      </c>
      <c r="CB9" t="str">
        <f>AND(#REF!,"AAAAAFrm/08=")</f>
        <v>#REF!</v>
      </c>
      <c r="CC9" t="str">
        <f>AND(#REF!,"AAAAAFrm/1A=")</f>
        <v>#REF!</v>
      </c>
      <c r="CD9" t="str">
        <f>AND(#REF!,"AAAAAFrm/1E=")</f>
        <v>#REF!</v>
      </c>
      <c r="CE9" t="str">
        <f>AND(#REF!,"AAAAAFrm/1I=")</f>
        <v>#REF!</v>
      </c>
      <c r="CF9" t="str">
        <f>AND(#REF!,"AAAAAFrm/1M=")</f>
        <v>#REF!</v>
      </c>
      <c r="CG9" t="str">
        <f>AND(#REF!,"AAAAAFrm/1Q=")</f>
        <v>#REF!</v>
      </c>
      <c r="CH9" t="str">
        <f>AND(#REF!,"AAAAAFrm/1U=")</f>
        <v>#REF!</v>
      </c>
      <c r="CI9" t="str">
        <f>AND(#REF!,"AAAAAFrm/1Y=")</f>
        <v>#REF!</v>
      </c>
      <c r="CJ9" t="str">
        <f>IF(#REF!,"AAAAAFrm/1c=",0)</f>
        <v>#REF!</v>
      </c>
      <c r="CK9" t="str">
        <f>AND(#REF!,"AAAAAFrm/1g=")</f>
        <v>#REF!</v>
      </c>
      <c r="CL9" t="str">
        <f>AND(#REF!,"AAAAAFrm/1k=")</f>
        <v>#REF!</v>
      </c>
      <c r="CM9" t="str">
        <f>AND(#REF!,"AAAAAFrm/1o=")</f>
        <v>#REF!</v>
      </c>
      <c r="CN9" t="str">
        <f>AND(#REF!,"AAAAAFrm/1s=")</f>
        <v>#REF!</v>
      </c>
      <c r="CO9" t="str">
        <f>AND(#REF!,"AAAAAFrm/1w=")</f>
        <v>#REF!</v>
      </c>
      <c r="CP9" t="str">
        <f>AND(#REF!,"AAAAAFrm/10=")</f>
        <v>#REF!</v>
      </c>
      <c r="CQ9" t="str">
        <f>AND(#REF!,"AAAAAFrm/14=")</f>
        <v>#REF!</v>
      </c>
      <c r="CR9" t="str">
        <f>AND(#REF!,"AAAAAFrm/18=")</f>
        <v>#REF!</v>
      </c>
      <c r="CS9" t="str">
        <f>AND(#REF!,"AAAAAFrm/2A=")</f>
        <v>#REF!</v>
      </c>
      <c r="CT9" t="str">
        <f>AND(#REF!,"AAAAAFrm/2E=")</f>
        <v>#REF!</v>
      </c>
      <c r="CU9" t="str">
        <f>AND(#REF!,"AAAAAFrm/2I=")</f>
        <v>#REF!</v>
      </c>
      <c r="CV9" t="str">
        <f>AND(#REF!,"AAAAAFrm/2M=")</f>
        <v>#REF!</v>
      </c>
      <c r="CW9" t="str">
        <f>AND(#REF!,"AAAAAFrm/2Q=")</f>
        <v>#REF!</v>
      </c>
      <c r="CX9" t="str">
        <f>AND(#REF!,"AAAAAFrm/2U=")</f>
        <v>#REF!</v>
      </c>
      <c r="CY9" t="str">
        <f>AND(#REF!,"AAAAAFrm/2Y=")</f>
        <v>#REF!</v>
      </c>
      <c r="CZ9" t="str">
        <f>AND(#REF!,"AAAAAFrm/2c=")</f>
        <v>#REF!</v>
      </c>
      <c r="DA9" t="str">
        <f>AND(#REF!,"AAAAAFrm/2g=")</f>
        <v>#REF!</v>
      </c>
      <c r="DB9" t="str">
        <f>AND(#REF!,"AAAAAFrm/2k=")</f>
        <v>#REF!</v>
      </c>
      <c r="DC9" t="str">
        <f>AND(#REF!,"AAAAAFrm/2o=")</f>
        <v>#REF!</v>
      </c>
      <c r="DD9" t="str">
        <f>AND(#REF!,"AAAAAFrm/2s=")</f>
        <v>#REF!</v>
      </c>
      <c r="DE9" t="str">
        <f>AND(#REF!,"AAAAAFrm/2w=")</f>
        <v>#REF!</v>
      </c>
      <c r="DF9" t="str">
        <f>AND(#REF!,"AAAAAFrm/20=")</f>
        <v>#REF!</v>
      </c>
      <c r="DG9" t="str">
        <f>AND(#REF!,"AAAAAFrm/24=")</f>
        <v>#REF!</v>
      </c>
      <c r="DH9" t="str">
        <f>AND(#REF!,"AAAAAFrm/28=")</f>
        <v>#REF!</v>
      </c>
      <c r="DI9" t="str">
        <f>AND(#REF!,"AAAAAFrm/3A=")</f>
        <v>#REF!</v>
      </c>
      <c r="DJ9" t="str">
        <f>AND(#REF!,"AAAAAFrm/3E=")</f>
        <v>#REF!</v>
      </c>
      <c r="DK9" t="str">
        <f>AND(#REF!,"AAAAAFrm/3I=")</f>
        <v>#REF!</v>
      </c>
      <c r="DL9" t="str">
        <f>AND(#REF!,"AAAAAFrm/3M=")</f>
        <v>#REF!</v>
      </c>
      <c r="DM9" t="str">
        <f>AND(#REF!,"AAAAAFrm/3Q=")</f>
        <v>#REF!</v>
      </c>
      <c r="DN9" t="str">
        <f>AND(#REF!,"AAAAAFrm/3U=")</f>
        <v>#REF!</v>
      </c>
      <c r="DO9" t="str">
        <f>AND(#REF!,"AAAAAFrm/3Y=")</f>
        <v>#REF!</v>
      </c>
      <c r="DP9" t="str">
        <f>AND(#REF!,"AAAAAFrm/3c=")</f>
        <v>#REF!</v>
      </c>
      <c r="DQ9" t="str">
        <f>AND(#REF!,"AAAAAFrm/3g=")</f>
        <v>#REF!</v>
      </c>
      <c r="DR9" t="str">
        <f>AND(#REF!,"AAAAAFrm/3k=")</f>
        <v>#REF!</v>
      </c>
      <c r="DS9" t="str">
        <f>AND(#REF!,"AAAAAFrm/3o=")</f>
        <v>#REF!</v>
      </c>
      <c r="DT9" t="str">
        <f>AND(#REF!,"AAAAAFrm/3s=")</f>
        <v>#REF!</v>
      </c>
      <c r="DU9" t="str">
        <f>AND(#REF!,"AAAAAFrm/3w=")</f>
        <v>#REF!</v>
      </c>
      <c r="DV9" t="str">
        <f>AND(#REF!,"AAAAAFrm/30=")</f>
        <v>#REF!</v>
      </c>
      <c r="DW9" t="str">
        <f>AND(#REF!,"AAAAAFrm/34=")</f>
        <v>#REF!</v>
      </c>
      <c r="DX9" t="str">
        <f>AND(#REF!,"AAAAAFrm/38=")</f>
        <v>#REF!</v>
      </c>
      <c r="DY9" t="str">
        <f>AND(#REF!,"AAAAAFrm/4A=")</f>
        <v>#REF!</v>
      </c>
      <c r="DZ9" t="str">
        <f>AND(#REF!,"AAAAAFrm/4E=")</f>
        <v>#REF!</v>
      </c>
      <c r="EA9" t="str">
        <f>AND(#REF!,"AAAAAFrm/4I=")</f>
        <v>#REF!</v>
      </c>
      <c r="EB9" t="str">
        <f>AND(#REF!,"AAAAAFrm/4M=")</f>
        <v>#REF!</v>
      </c>
      <c r="EC9" t="str">
        <f>AND(#REF!,"AAAAAFrm/4Q=")</f>
        <v>#REF!</v>
      </c>
      <c r="ED9" t="str">
        <f>AND(#REF!,"AAAAAFrm/4U=")</f>
        <v>#REF!</v>
      </c>
      <c r="EE9" t="str">
        <f>AND(#REF!,"AAAAAFrm/4Y=")</f>
        <v>#REF!</v>
      </c>
      <c r="EF9" t="str">
        <f>AND(#REF!,"AAAAAFrm/4c=")</f>
        <v>#REF!</v>
      </c>
      <c r="EG9" t="str">
        <f>AND(#REF!,"AAAAAFrm/4g=")</f>
        <v>#REF!</v>
      </c>
      <c r="EH9" t="str">
        <f>AND(#REF!,"AAAAAFrm/4k=")</f>
        <v>#REF!</v>
      </c>
      <c r="EI9" t="str">
        <f>AND(#REF!,"AAAAAFrm/4o=")</f>
        <v>#REF!</v>
      </c>
      <c r="EJ9" t="str">
        <f>AND(#REF!,"AAAAAFrm/4s=")</f>
        <v>#REF!</v>
      </c>
      <c r="EK9" t="str">
        <f>AND(#REF!,"AAAAAFrm/4w=")</f>
        <v>#REF!</v>
      </c>
      <c r="EL9" t="str">
        <f>AND(#REF!,"AAAAAFrm/40=")</f>
        <v>#REF!</v>
      </c>
      <c r="EM9" t="str">
        <f>AND(#REF!,"AAAAAFrm/44=")</f>
        <v>#REF!</v>
      </c>
      <c r="EN9" t="str">
        <f>AND(#REF!,"AAAAAFrm/48=")</f>
        <v>#REF!</v>
      </c>
      <c r="EO9" t="str">
        <f>AND(#REF!,"AAAAAFrm/5A=")</f>
        <v>#REF!</v>
      </c>
      <c r="EP9" t="str">
        <f>AND(#REF!,"AAAAAFrm/5E=")</f>
        <v>#REF!</v>
      </c>
      <c r="EQ9" t="str">
        <f>AND(#REF!,"AAAAAFrm/5I=")</f>
        <v>#REF!</v>
      </c>
      <c r="ER9" t="str">
        <f>AND(#REF!,"AAAAAFrm/5M=")</f>
        <v>#REF!</v>
      </c>
      <c r="ES9" t="str">
        <f>AND(#REF!,"AAAAAFrm/5Q=")</f>
        <v>#REF!</v>
      </c>
      <c r="ET9" t="str">
        <f>AND(#REF!,"AAAAAFrm/5U=")</f>
        <v>#REF!</v>
      </c>
      <c r="EU9" t="str">
        <f>AND(#REF!,"AAAAAFrm/5Y=")</f>
        <v>#REF!</v>
      </c>
      <c r="EV9" t="str">
        <f>AND(#REF!,"AAAAAFrm/5c=")</f>
        <v>#REF!</v>
      </c>
      <c r="EW9" t="str">
        <f>AND(#REF!,"AAAAAFrm/5g=")</f>
        <v>#REF!</v>
      </c>
      <c r="EX9" t="str">
        <f>AND(#REF!,"AAAAAFrm/5k=")</f>
        <v>#REF!</v>
      </c>
      <c r="EY9" t="str">
        <f>AND(#REF!,"AAAAAFrm/5o=")</f>
        <v>#REF!</v>
      </c>
      <c r="EZ9" t="str">
        <f>AND(#REF!,"AAAAAFrm/5s=")</f>
        <v>#REF!</v>
      </c>
      <c r="FA9" t="str">
        <f>AND(#REF!,"AAAAAFrm/5w=")</f>
        <v>#REF!</v>
      </c>
      <c r="FB9" t="str">
        <f>AND(#REF!,"AAAAAFrm/50=")</f>
        <v>#REF!</v>
      </c>
      <c r="FC9" t="str">
        <f>AND(#REF!,"AAAAAFrm/54=")</f>
        <v>#REF!</v>
      </c>
      <c r="FD9" t="str">
        <f>AND(#REF!,"AAAAAFrm/58=")</f>
        <v>#REF!</v>
      </c>
      <c r="FE9" t="str">
        <f>AND(#REF!,"AAAAAFrm/6A=")</f>
        <v>#REF!</v>
      </c>
      <c r="FF9" t="str">
        <f>AND(#REF!,"AAAAAFrm/6E=")</f>
        <v>#REF!</v>
      </c>
      <c r="FG9" t="str">
        <f>AND(#REF!,"AAAAAFrm/6I=")</f>
        <v>#REF!</v>
      </c>
      <c r="FH9" t="str">
        <f>IF(#REF!,"AAAAAFrm/6M=",0)</f>
        <v>#REF!</v>
      </c>
      <c r="FI9" t="str">
        <f>AND(#REF!,"AAAAAFrm/6Q=")</f>
        <v>#REF!</v>
      </c>
      <c r="FJ9" t="str">
        <f>AND(#REF!,"AAAAAFrm/6U=")</f>
        <v>#REF!</v>
      </c>
      <c r="FK9" t="str">
        <f>AND(#REF!,"AAAAAFrm/6Y=")</f>
        <v>#REF!</v>
      </c>
      <c r="FL9" t="str">
        <f>AND(#REF!,"AAAAAFrm/6c=")</f>
        <v>#REF!</v>
      </c>
      <c r="FM9" t="str">
        <f>AND(#REF!,"AAAAAFrm/6g=")</f>
        <v>#REF!</v>
      </c>
      <c r="FN9" t="str">
        <f>AND(#REF!,"AAAAAFrm/6k=")</f>
        <v>#REF!</v>
      </c>
      <c r="FO9" t="str">
        <f>AND(#REF!,"AAAAAFrm/6o=")</f>
        <v>#REF!</v>
      </c>
      <c r="FP9" t="str">
        <f>AND(#REF!,"AAAAAFrm/6s=")</f>
        <v>#REF!</v>
      </c>
      <c r="FQ9" t="str">
        <f>AND(#REF!,"AAAAAFrm/6w=")</f>
        <v>#REF!</v>
      </c>
      <c r="FR9" t="str">
        <f>AND(#REF!,"AAAAAFrm/60=")</f>
        <v>#REF!</v>
      </c>
      <c r="FS9" t="str">
        <f>AND(#REF!,"AAAAAFrm/64=")</f>
        <v>#REF!</v>
      </c>
      <c r="FT9" t="str">
        <f>AND(#REF!,"AAAAAFrm/68=")</f>
        <v>#REF!</v>
      </c>
      <c r="FU9" t="str">
        <f>AND(#REF!,"AAAAAFrm/7A=")</f>
        <v>#REF!</v>
      </c>
      <c r="FV9" t="str">
        <f>AND(#REF!,"AAAAAFrm/7E=")</f>
        <v>#REF!</v>
      </c>
      <c r="FW9" t="str">
        <f>AND(#REF!,"AAAAAFrm/7I=")</f>
        <v>#REF!</v>
      </c>
      <c r="FX9" t="str">
        <f>AND(#REF!,"AAAAAFrm/7M=")</f>
        <v>#REF!</v>
      </c>
      <c r="FY9" t="str">
        <f>AND(#REF!,"AAAAAFrm/7Q=")</f>
        <v>#REF!</v>
      </c>
      <c r="FZ9" t="str">
        <f>AND(#REF!,"AAAAAFrm/7U=")</f>
        <v>#REF!</v>
      </c>
      <c r="GA9" t="str">
        <f>AND(#REF!,"AAAAAFrm/7Y=")</f>
        <v>#REF!</v>
      </c>
      <c r="GB9" t="str">
        <f>AND(#REF!,"AAAAAFrm/7c=")</f>
        <v>#REF!</v>
      </c>
      <c r="GC9" t="str">
        <f>AND(#REF!,"AAAAAFrm/7g=")</f>
        <v>#REF!</v>
      </c>
      <c r="GD9" t="str">
        <f>AND(#REF!,"AAAAAFrm/7k=")</f>
        <v>#REF!</v>
      </c>
      <c r="GE9" t="str">
        <f>AND(#REF!,"AAAAAFrm/7o=")</f>
        <v>#REF!</v>
      </c>
      <c r="GF9" t="str">
        <f>AND(#REF!,"AAAAAFrm/7s=")</f>
        <v>#REF!</v>
      </c>
      <c r="GG9" t="str">
        <f>AND(#REF!,"AAAAAFrm/7w=")</f>
        <v>#REF!</v>
      </c>
      <c r="GH9" t="str">
        <f>AND(#REF!,"AAAAAFrm/70=")</f>
        <v>#REF!</v>
      </c>
      <c r="GI9" t="str">
        <f>AND(#REF!,"AAAAAFrm/74=")</f>
        <v>#REF!</v>
      </c>
      <c r="GJ9" t="str">
        <f>AND(#REF!,"AAAAAFrm/78=")</f>
        <v>#REF!</v>
      </c>
      <c r="GK9" t="str">
        <f>AND(#REF!,"AAAAAFrm/8A=")</f>
        <v>#REF!</v>
      </c>
      <c r="GL9" t="str">
        <f>AND(#REF!,"AAAAAFrm/8E=")</f>
        <v>#REF!</v>
      </c>
      <c r="GM9" t="str">
        <f>AND(#REF!,"AAAAAFrm/8I=")</f>
        <v>#REF!</v>
      </c>
      <c r="GN9" t="str">
        <f>AND(#REF!,"AAAAAFrm/8M=")</f>
        <v>#REF!</v>
      </c>
      <c r="GO9" t="str">
        <f>AND(#REF!,"AAAAAFrm/8Q=")</f>
        <v>#REF!</v>
      </c>
      <c r="GP9" t="str">
        <f>AND(#REF!,"AAAAAFrm/8U=")</f>
        <v>#REF!</v>
      </c>
      <c r="GQ9" t="str">
        <f>AND(#REF!,"AAAAAFrm/8Y=")</f>
        <v>#REF!</v>
      </c>
      <c r="GR9" t="str">
        <f>AND(#REF!,"AAAAAFrm/8c=")</f>
        <v>#REF!</v>
      </c>
      <c r="GS9" t="str">
        <f>AND(#REF!,"AAAAAFrm/8g=")</f>
        <v>#REF!</v>
      </c>
      <c r="GT9" t="str">
        <f>AND(#REF!,"AAAAAFrm/8k=")</f>
        <v>#REF!</v>
      </c>
      <c r="GU9" t="str">
        <f>AND(#REF!,"AAAAAFrm/8o=")</f>
        <v>#REF!</v>
      </c>
      <c r="GV9" t="str">
        <f>AND(#REF!,"AAAAAFrm/8s=")</f>
        <v>#REF!</v>
      </c>
      <c r="GW9" t="str">
        <f>AND(#REF!,"AAAAAFrm/8w=")</f>
        <v>#REF!</v>
      </c>
      <c r="GX9" t="str">
        <f>AND(#REF!,"AAAAAFrm/80=")</f>
        <v>#REF!</v>
      </c>
      <c r="GY9" t="str">
        <f>AND(#REF!,"AAAAAFrm/84=")</f>
        <v>#REF!</v>
      </c>
      <c r="GZ9" t="str">
        <f>AND(#REF!,"AAAAAFrm/88=")</f>
        <v>#REF!</v>
      </c>
      <c r="HA9" t="str">
        <f>AND(#REF!,"AAAAAFrm/9A=")</f>
        <v>#REF!</v>
      </c>
      <c r="HB9" t="str">
        <f>AND(#REF!,"AAAAAFrm/9E=")</f>
        <v>#REF!</v>
      </c>
      <c r="HC9" t="str">
        <f>AND(#REF!,"AAAAAFrm/9I=")</f>
        <v>#REF!</v>
      </c>
      <c r="HD9" t="str">
        <f>AND(#REF!,"AAAAAFrm/9M=")</f>
        <v>#REF!</v>
      </c>
      <c r="HE9" t="str">
        <f>AND(#REF!,"AAAAAFrm/9Q=")</f>
        <v>#REF!</v>
      </c>
      <c r="HF9" t="str">
        <f>AND(#REF!,"AAAAAFrm/9U=")</f>
        <v>#REF!</v>
      </c>
      <c r="HG9" t="str">
        <f>AND(#REF!,"AAAAAFrm/9Y=")</f>
        <v>#REF!</v>
      </c>
      <c r="HH9" t="str">
        <f>AND(#REF!,"AAAAAFrm/9c=")</f>
        <v>#REF!</v>
      </c>
      <c r="HI9" t="str">
        <f>AND(#REF!,"AAAAAFrm/9g=")</f>
        <v>#REF!</v>
      </c>
      <c r="HJ9" t="str">
        <f>AND(#REF!,"AAAAAFrm/9k=")</f>
        <v>#REF!</v>
      </c>
      <c r="HK9" t="str">
        <f>AND(#REF!,"AAAAAFrm/9o=")</f>
        <v>#REF!</v>
      </c>
      <c r="HL9" t="str">
        <f>AND(#REF!,"AAAAAFrm/9s=")</f>
        <v>#REF!</v>
      </c>
      <c r="HM9" t="str">
        <f>AND(#REF!,"AAAAAFrm/9w=")</f>
        <v>#REF!</v>
      </c>
      <c r="HN9" t="str">
        <f>AND(#REF!,"AAAAAFrm/90=")</f>
        <v>#REF!</v>
      </c>
      <c r="HO9" t="str">
        <f>AND(#REF!,"AAAAAFrm/94=")</f>
        <v>#REF!</v>
      </c>
      <c r="HP9" t="str">
        <f>AND(#REF!,"AAAAAFrm/98=")</f>
        <v>#REF!</v>
      </c>
      <c r="HQ9" t="str">
        <f>AND(#REF!,"AAAAAFrm/+A=")</f>
        <v>#REF!</v>
      </c>
      <c r="HR9" t="str">
        <f>AND(#REF!,"AAAAAFrm/+E=")</f>
        <v>#REF!</v>
      </c>
      <c r="HS9" t="str">
        <f>AND(#REF!,"AAAAAFrm/+I=")</f>
        <v>#REF!</v>
      </c>
      <c r="HT9" t="str">
        <f>AND(#REF!,"AAAAAFrm/+M=")</f>
        <v>#REF!</v>
      </c>
      <c r="HU9" t="str">
        <f>AND(#REF!,"AAAAAFrm/+Q=")</f>
        <v>#REF!</v>
      </c>
      <c r="HV9" t="str">
        <f>AND(#REF!,"AAAAAFrm/+U=")</f>
        <v>#REF!</v>
      </c>
      <c r="HW9" t="str">
        <f>AND(#REF!,"AAAAAFrm/+Y=")</f>
        <v>#REF!</v>
      </c>
      <c r="HX9" t="str">
        <f>AND(#REF!,"AAAAAFrm/+c=")</f>
        <v>#REF!</v>
      </c>
      <c r="HY9" t="str">
        <f>AND(#REF!,"AAAAAFrm/+g=")</f>
        <v>#REF!</v>
      </c>
      <c r="HZ9" t="str">
        <f>AND(#REF!,"AAAAAFrm/+k=")</f>
        <v>#REF!</v>
      </c>
      <c r="IA9" t="str">
        <f>AND(#REF!,"AAAAAFrm/+o=")</f>
        <v>#REF!</v>
      </c>
      <c r="IB9" t="str">
        <f>AND(#REF!,"AAAAAFrm/+s=")</f>
        <v>#REF!</v>
      </c>
      <c r="IC9" t="str">
        <f>AND(#REF!,"AAAAAFrm/+w=")</f>
        <v>#REF!</v>
      </c>
      <c r="ID9" t="str">
        <f>AND(#REF!,"AAAAAFrm/+0=")</f>
        <v>#REF!</v>
      </c>
      <c r="IE9" t="str">
        <f>AND(#REF!,"AAAAAFrm/+4=")</f>
        <v>#REF!</v>
      </c>
      <c r="IF9" t="str">
        <f>IF(#REF!,"AAAAAFrm/+8=",0)</f>
        <v>#REF!</v>
      </c>
      <c r="IG9" t="str">
        <f>AND(#REF!,"AAAAAFrm//A=")</f>
        <v>#REF!</v>
      </c>
      <c r="IH9" t="str">
        <f>AND(#REF!,"AAAAAFrm//E=")</f>
        <v>#REF!</v>
      </c>
      <c r="II9" t="str">
        <f>AND(#REF!,"AAAAAFrm//I=")</f>
        <v>#REF!</v>
      </c>
      <c r="IJ9" t="str">
        <f>AND(#REF!,"AAAAAFrm//M=")</f>
        <v>#REF!</v>
      </c>
      <c r="IK9" t="str">
        <f>AND(#REF!,"AAAAAFrm//Q=")</f>
        <v>#REF!</v>
      </c>
      <c r="IL9" t="str">
        <f>AND(#REF!,"AAAAAFrm//U=")</f>
        <v>#REF!</v>
      </c>
      <c r="IM9" t="str">
        <f>AND(#REF!,"AAAAAFrm//Y=")</f>
        <v>#REF!</v>
      </c>
      <c r="IN9" t="str">
        <f>AND(#REF!,"AAAAAFrm//c=")</f>
        <v>#REF!</v>
      </c>
      <c r="IO9" t="str">
        <f>AND(#REF!,"AAAAAFrm//g=")</f>
        <v>#REF!</v>
      </c>
      <c r="IP9" t="str">
        <f>AND(#REF!,"AAAAAFrm//k=")</f>
        <v>#REF!</v>
      </c>
      <c r="IQ9" t="str">
        <f>AND(#REF!,"AAAAAFrm//o=")</f>
        <v>#REF!</v>
      </c>
      <c r="IR9" t="str">
        <f>AND(#REF!,"AAAAAFrm//s=")</f>
        <v>#REF!</v>
      </c>
      <c r="IS9" t="str">
        <f>AND(#REF!,"AAAAAFrm//w=")</f>
        <v>#REF!</v>
      </c>
      <c r="IT9" t="str">
        <f>AND(#REF!,"AAAAAFrm//0=")</f>
        <v>#REF!</v>
      </c>
      <c r="IU9" t="str">
        <f>AND(#REF!,"AAAAAFrm//4=")</f>
        <v>#REF!</v>
      </c>
      <c r="IV9" t="str">
        <f>AND(#REF!,"AAAAAFrm//8=")</f>
        <v>#REF!</v>
      </c>
    </row>
    <row r="10">
      <c r="A10" t="str">
        <f>AND(#REF!,"AAAAAD8+/wA=")</f>
        <v>#REF!</v>
      </c>
      <c r="B10" t="str">
        <f>AND(#REF!,"AAAAAD8+/wE=")</f>
        <v>#REF!</v>
      </c>
      <c r="C10" t="str">
        <f>AND(#REF!,"AAAAAD8+/wI=")</f>
        <v>#REF!</v>
      </c>
      <c r="D10" t="str">
        <f>AND(#REF!,"AAAAAD8+/wM=")</f>
        <v>#REF!</v>
      </c>
      <c r="E10" t="str">
        <f>AND(#REF!,"AAAAAD8+/wQ=")</f>
        <v>#REF!</v>
      </c>
      <c r="F10" t="str">
        <f>AND(#REF!,"AAAAAD8+/wU=")</f>
        <v>#REF!</v>
      </c>
      <c r="G10" t="str">
        <f>AND(#REF!,"AAAAAD8+/wY=")</f>
        <v>#REF!</v>
      </c>
      <c r="H10" t="str">
        <f>AND(#REF!,"AAAAAD8+/wc=")</f>
        <v>#REF!</v>
      </c>
      <c r="I10" t="str">
        <f>AND(#REF!,"AAAAAD8+/wg=")</f>
        <v>#REF!</v>
      </c>
      <c r="J10" t="str">
        <f>AND(#REF!,"AAAAAD8+/wk=")</f>
        <v>#REF!</v>
      </c>
      <c r="K10" t="str">
        <f>AND(#REF!,"AAAAAD8+/wo=")</f>
        <v>#REF!</v>
      </c>
      <c r="L10" t="str">
        <f>AND(#REF!,"AAAAAD8+/ws=")</f>
        <v>#REF!</v>
      </c>
      <c r="M10" t="str">
        <f>AND(#REF!,"AAAAAD8+/ww=")</f>
        <v>#REF!</v>
      </c>
      <c r="N10" t="str">
        <f>AND(#REF!,"AAAAAD8+/w0=")</f>
        <v>#REF!</v>
      </c>
      <c r="O10" t="str">
        <f>AND(#REF!,"AAAAAD8+/w4=")</f>
        <v>#REF!</v>
      </c>
      <c r="P10" t="str">
        <f>AND(#REF!,"AAAAAD8+/w8=")</f>
        <v>#REF!</v>
      </c>
      <c r="Q10" t="str">
        <f>AND(#REF!,"AAAAAD8+/xA=")</f>
        <v>#REF!</v>
      </c>
      <c r="R10" t="str">
        <f>AND(#REF!,"AAAAAD8+/xE=")</f>
        <v>#REF!</v>
      </c>
      <c r="S10" t="str">
        <f>AND(#REF!,"AAAAAD8+/xI=")</f>
        <v>#REF!</v>
      </c>
      <c r="T10" t="str">
        <f>AND(#REF!,"AAAAAD8+/xM=")</f>
        <v>#REF!</v>
      </c>
      <c r="U10" t="str">
        <f>AND(#REF!,"AAAAAD8+/xQ=")</f>
        <v>#REF!</v>
      </c>
      <c r="V10" t="str">
        <f>AND(#REF!,"AAAAAD8+/xU=")</f>
        <v>#REF!</v>
      </c>
      <c r="W10" t="str">
        <f>AND(#REF!,"AAAAAD8+/xY=")</f>
        <v>#REF!</v>
      </c>
      <c r="X10" t="str">
        <f>AND(#REF!,"AAAAAD8+/xc=")</f>
        <v>#REF!</v>
      </c>
      <c r="Y10" t="str">
        <f>AND(#REF!,"AAAAAD8+/xg=")</f>
        <v>#REF!</v>
      </c>
      <c r="Z10" t="str">
        <f>AND(#REF!,"AAAAAD8+/xk=")</f>
        <v>#REF!</v>
      </c>
      <c r="AA10" t="str">
        <f>AND(#REF!,"AAAAAD8+/xo=")</f>
        <v>#REF!</v>
      </c>
      <c r="AB10" t="str">
        <f>AND(#REF!,"AAAAAD8+/xs=")</f>
        <v>#REF!</v>
      </c>
      <c r="AC10" t="str">
        <f>AND(#REF!,"AAAAAD8+/xw=")</f>
        <v>#REF!</v>
      </c>
      <c r="AD10" t="str">
        <f>AND(#REF!,"AAAAAD8+/x0=")</f>
        <v>#REF!</v>
      </c>
      <c r="AE10" t="str">
        <f>AND(#REF!,"AAAAAD8+/x4=")</f>
        <v>#REF!</v>
      </c>
      <c r="AF10" t="str">
        <f>AND(#REF!,"AAAAAD8+/x8=")</f>
        <v>#REF!</v>
      </c>
      <c r="AG10" t="str">
        <f>AND(#REF!,"AAAAAD8+/yA=")</f>
        <v>#REF!</v>
      </c>
      <c r="AH10" t="str">
        <f>AND(#REF!,"AAAAAD8+/yE=")</f>
        <v>#REF!</v>
      </c>
      <c r="AI10" t="str">
        <f>AND(#REF!,"AAAAAD8+/yI=")</f>
        <v>#REF!</v>
      </c>
      <c r="AJ10" t="str">
        <f>AND(#REF!,"AAAAAD8+/yM=")</f>
        <v>#REF!</v>
      </c>
      <c r="AK10" t="str">
        <f>AND(#REF!,"AAAAAD8+/yQ=")</f>
        <v>#REF!</v>
      </c>
      <c r="AL10" t="str">
        <f>AND(#REF!,"AAAAAD8+/yU=")</f>
        <v>#REF!</v>
      </c>
      <c r="AM10" t="str">
        <f>AND(#REF!,"AAAAAD8+/yY=")</f>
        <v>#REF!</v>
      </c>
      <c r="AN10" t="str">
        <f>AND(#REF!,"AAAAAD8+/yc=")</f>
        <v>#REF!</v>
      </c>
      <c r="AO10" t="str">
        <f>AND(#REF!,"AAAAAD8+/yg=")</f>
        <v>#REF!</v>
      </c>
      <c r="AP10" t="str">
        <f>AND(#REF!,"AAAAAD8+/yk=")</f>
        <v>#REF!</v>
      </c>
      <c r="AQ10" t="str">
        <f>AND(#REF!,"AAAAAD8+/yo=")</f>
        <v>#REF!</v>
      </c>
      <c r="AR10" t="str">
        <f>AND(#REF!,"AAAAAD8+/ys=")</f>
        <v>#REF!</v>
      </c>
      <c r="AS10" t="str">
        <f>AND(#REF!,"AAAAAD8+/yw=")</f>
        <v>#REF!</v>
      </c>
      <c r="AT10" t="str">
        <f>AND(#REF!,"AAAAAD8+/y0=")</f>
        <v>#REF!</v>
      </c>
      <c r="AU10" t="str">
        <f>AND(#REF!,"AAAAAD8+/y4=")</f>
        <v>#REF!</v>
      </c>
      <c r="AV10" t="str">
        <f>AND(#REF!,"AAAAAD8+/y8=")</f>
        <v>#REF!</v>
      </c>
      <c r="AW10" t="str">
        <f>AND(#REF!,"AAAAAD8+/zA=")</f>
        <v>#REF!</v>
      </c>
      <c r="AX10" t="str">
        <f>AND(#REF!,"AAAAAD8+/zE=")</f>
        <v>#REF!</v>
      </c>
      <c r="AY10" t="str">
        <f>AND(#REF!,"AAAAAD8+/zI=")</f>
        <v>#REF!</v>
      </c>
      <c r="AZ10" t="str">
        <f>AND(#REF!,"AAAAAD8+/zM=")</f>
        <v>#REF!</v>
      </c>
      <c r="BA10" t="str">
        <f>AND(#REF!,"AAAAAD8+/zQ=")</f>
        <v>#REF!</v>
      </c>
      <c r="BB10" t="str">
        <f>AND(#REF!,"AAAAAD8+/zU=")</f>
        <v>#REF!</v>
      </c>
      <c r="BC10" t="str">
        <f>AND(#REF!,"AAAAAD8+/zY=")</f>
        <v>#REF!</v>
      </c>
      <c r="BD10" t="str">
        <f>AND(#REF!,"AAAAAD8+/zc=")</f>
        <v>#REF!</v>
      </c>
      <c r="BE10" t="str">
        <f>AND(#REF!,"AAAAAD8+/zg=")</f>
        <v>#REF!</v>
      </c>
      <c r="BF10" t="str">
        <f>AND(#REF!,"AAAAAD8+/zk=")</f>
        <v>#REF!</v>
      </c>
      <c r="BG10" t="str">
        <f>AND(#REF!,"AAAAAD8+/zo=")</f>
        <v>#REF!</v>
      </c>
      <c r="BH10" t="str">
        <f>IF(#REF!,"AAAAAD8+/zs=",0)</f>
        <v>#REF!</v>
      </c>
      <c r="BI10" t="str">
        <f>AND(#REF!,"AAAAAD8+/zw=")</f>
        <v>#REF!</v>
      </c>
      <c r="BJ10" t="str">
        <f>AND(#REF!,"AAAAAD8+/z0=")</f>
        <v>#REF!</v>
      </c>
      <c r="BK10" t="str">
        <f>AND(#REF!,"AAAAAD8+/z4=")</f>
        <v>#REF!</v>
      </c>
      <c r="BL10" t="str">
        <f>AND(#REF!,"AAAAAD8+/z8=")</f>
        <v>#REF!</v>
      </c>
      <c r="BM10" t="str">
        <f>AND(#REF!,"AAAAAD8+/0A=")</f>
        <v>#REF!</v>
      </c>
      <c r="BN10" t="str">
        <f>AND(#REF!,"AAAAAD8+/0E=")</f>
        <v>#REF!</v>
      </c>
      <c r="BO10" t="str">
        <f>AND(#REF!,"AAAAAD8+/0I=")</f>
        <v>#REF!</v>
      </c>
      <c r="BP10" t="str">
        <f>AND(#REF!,"AAAAAD8+/0M=")</f>
        <v>#REF!</v>
      </c>
      <c r="BQ10" t="str">
        <f>AND(#REF!,"AAAAAD8+/0Q=")</f>
        <v>#REF!</v>
      </c>
      <c r="BR10" t="str">
        <f>AND(#REF!,"AAAAAD8+/0U=")</f>
        <v>#REF!</v>
      </c>
      <c r="BS10" t="str">
        <f>AND(#REF!,"AAAAAD8+/0Y=")</f>
        <v>#REF!</v>
      </c>
      <c r="BT10" t="str">
        <f>AND(#REF!,"AAAAAD8+/0c=")</f>
        <v>#REF!</v>
      </c>
      <c r="BU10" t="str">
        <f>AND(#REF!,"AAAAAD8+/0g=")</f>
        <v>#REF!</v>
      </c>
      <c r="BV10" t="str">
        <f>AND(#REF!,"AAAAAD8+/0k=")</f>
        <v>#REF!</v>
      </c>
      <c r="BW10" t="str">
        <f>AND(#REF!,"AAAAAD8+/0o=")</f>
        <v>#REF!</v>
      </c>
      <c r="BX10" t="str">
        <f>AND(#REF!,"AAAAAD8+/0s=")</f>
        <v>#REF!</v>
      </c>
      <c r="BY10" t="str">
        <f>AND(#REF!,"AAAAAD8+/0w=")</f>
        <v>#REF!</v>
      </c>
      <c r="BZ10" t="str">
        <f>AND(#REF!,"AAAAAD8+/00=")</f>
        <v>#REF!</v>
      </c>
      <c r="CA10" t="str">
        <f>AND(#REF!,"AAAAAD8+/04=")</f>
        <v>#REF!</v>
      </c>
      <c r="CB10" t="str">
        <f>AND(#REF!,"AAAAAD8+/08=")</f>
        <v>#REF!</v>
      </c>
      <c r="CC10" t="str">
        <f>AND(#REF!,"AAAAAD8+/1A=")</f>
        <v>#REF!</v>
      </c>
      <c r="CD10" t="str">
        <f>AND(#REF!,"AAAAAD8+/1E=")</f>
        <v>#REF!</v>
      </c>
      <c r="CE10" t="str">
        <f>AND(#REF!,"AAAAAD8+/1I=")</f>
        <v>#REF!</v>
      </c>
      <c r="CF10" t="str">
        <f>AND(#REF!,"AAAAAD8+/1M=")</f>
        <v>#REF!</v>
      </c>
      <c r="CG10" t="str">
        <f>AND(#REF!,"AAAAAD8+/1Q=")</f>
        <v>#REF!</v>
      </c>
      <c r="CH10" t="str">
        <f>AND(#REF!,"AAAAAD8+/1U=")</f>
        <v>#REF!</v>
      </c>
      <c r="CI10" t="str">
        <f>AND(#REF!,"AAAAAD8+/1Y=")</f>
        <v>#REF!</v>
      </c>
      <c r="CJ10" t="str">
        <f>AND(#REF!,"AAAAAD8+/1c=")</f>
        <v>#REF!</v>
      </c>
      <c r="CK10" t="str">
        <f>AND(#REF!,"AAAAAD8+/1g=")</f>
        <v>#REF!</v>
      </c>
      <c r="CL10" t="str">
        <f>AND(#REF!,"AAAAAD8+/1k=")</f>
        <v>#REF!</v>
      </c>
      <c r="CM10" t="str">
        <f>AND(#REF!,"AAAAAD8+/1o=")</f>
        <v>#REF!</v>
      </c>
      <c r="CN10" t="str">
        <f>AND(#REF!,"AAAAAD8+/1s=")</f>
        <v>#REF!</v>
      </c>
      <c r="CO10" t="str">
        <f>AND(#REF!,"AAAAAD8+/1w=")</f>
        <v>#REF!</v>
      </c>
      <c r="CP10" t="str">
        <f>AND(#REF!,"AAAAAD8+/10=")</f>
        <v>#REF!</v>
      </c>
      <c r="CQ10" t="str">
        <f>AND(#REF!,"AAAAAD8+/14=")</f>
        <v>#REF!</v>
      </c>
      <c r="CR10" t="str">
        <f>AND(#REF!,"AAAAAD8+/18=")</f>
        <v>#REF!</v>
      </c>
      <c r="CS10" t="str">
        <f>AND(#REF!,"AAAAAD8+/2A=")</f>
        <v>#REF!</v>
      </c>
      <c r="CT10" t="str">
        <f>AND(#REF!,"AAAAAD8+/2E=")</f>
        <v>#REF!</v>
      </c>
      <c r="CU10" t="str">
        <f>AND(#REF!,"AAAAAD8+/2I=")</f>
        <v>#REF!</v>
      </c>
      <c r="CV10" t="str">
        <f>AND(#REF!,"AAAAAD8+/2M=")</f>
        <v>#REF!</v>
      </c>
      <c r="CW10" t="str">
        <f>AND(#REF!,"AAAAAD8+/2Q=")</f>
        <v>#REF!</v>
      </c>
      <c r="CX10" t="str">
        <f>AND(#REF!,"AAAAAD8+/2U=")</f>
        <v>#REF!</v>
      </c>
      <c r="CY10" t="str">
        <f>AND(#REF!,"AAAAAD8+/2Y=")</f>
        <v>#REF!</v>
      </c>
      <c r="CZ10" t="str">
        <f>AND(#REF!,"AAAAAD8+/2c=")</f>
        <v>#REF!</v>
      </c>
      <c r="DA10" t="str">
        <f>AND(#REF!,"AAAAAD8+/2g=")</f>
        <v>#REF!</v>
      </c>
      <c r="DB10" t="str">
        <f>AND(#REF!,"AAAAAD8+/2k=")</f>
        <v>#REF!</v>
      </c>
      <c r="DC10" t="str">
        <f>AND(#REF!,"AAAAAD8+/2o=")</f>
        <v>#REF!</v>
      </c>
      <c r="DD10" t="str">
        <f>AND(#REF!,"AAAAAD8+/2s=")</f>
        <v>#REF!</v>
      </c>
      <c r="DE10" t="str">
        <f>AND(#REF!,"AAAAAD8+/2w=")</f>
        <v>#REF!</v>
      </c>
      <c r="DF10" t="str">
        <f>AND(#REF!,"AAAAAD8+/20=")</f>
        <v>#REF!</v>
      </c>
      <c r="DG10" t="str">
        <f>AND(#REF!,"AAAAAD8+/24=")</f>
        <v>#REF!</v>
      </c>
      <c r="DH10" t="str">
        <f>AND(#REF!,"AAAAAD8+/28=")</f>
        <v>#REF!</v>
      </c>
      <c r="DI10" t="str">
        <f>AND(#REF!,"AAAAAD8+/3A=")</f>
        <v>#REF!</v>
      </c>
      <c r="DJ10" t="str">
        <f>AND(#REF!,"AAAAAD8+/3E=")</f>
        <v>#REF!</v>
      </c>
      <c r="DK10" t="str">
        <f>AND(#REF!,"AAAAAD8+/3I=")</f>
        <v>#REF!</v>
      </c>
      <c r="DL10" t="str">
        <f>AND(#REF!,"AAAAAD8+/3M=")</f>
        <v>#REF!</v>
      </c>
      <c r="DM10" t="str">
        <f>AND(#REF!,"AAAAAD8+/3Q=")</f>
        <v>#REF!</v>
      </c>
      <c r="DN10" t="str">
        <f>AND(#REF!,"AAAAAD8+/3U=")</f>
        <v>#REF!</v>
      </c>
      <c r="DO10" t="str">
        <f>AND(#REF!,"AAAAAD8+/3Y=")</f>
        <v>#REF!</v>
      </c>
      <c r="DP10" t="str">
        <f>AND(#REF!,"AAAAAD8+/3c=")</f>
        <v>#REF!</v>
      </c>
      <c r="DQ10" t="str">
        <f>AND(#REF!,"AAAAAD8+/3g=")</f>
        <v>#REF!</v>
      </c>
      <c r="DR10" t="str">
        <f>AND(#REF!,"AAAAAD8+/3k=")</f>
        <v>#REF!</v>
      </c>
      <c r="DS10" t="str">
        <f>AND(#REF!,"AAAAAD8+/3o=")</f>
        <v>#REF!</v>
      </c>
      <c r="DT10" t="str">
        <f>AND(#REF!,"AAAAAD8+/3s=")</f>
        <v>#REF!</v>
      </c>
      <c r="DU10" t="str">
        <f>AND(#REF!,"AAAAAD8+/3w=")</f>
        <v>#REF!</v>
      </c>
      <c r="DV10" t="str">
        <f>AND(#REF!,"AAAAAD8+/30=")</f>
        <v>#REF!</v>
      </c>
      <c r="DW10" t="str">
        <f>AND(#REF!,"AAAAAD8+/34=")</f>
        <v>#REF!</v>
      </c>
      <c r="DX10" t="str">
        <f>AND(#REF!,"AAAAAD8+/38=")</f>
        <v>#REF!</v>
      </c>
      <c r="DY10" t="str">
        <f>AND(#REF!,"AAAAAD8+/4A=")</f>
        <v>#REF!</v>
      </c>
      <c r="DZ10" t="str">
        <f>AND(#REF!,"AAAAAD8+/4E=")</f>
        <v>#REF!</v>
      </c>
      <c r="EA10" t="str">
        <f>AND(#REF!,"AAAAAD8+/4I=")</f>
        <v>#REF!</v>
      </c>
      <c r="EB10" t="str">
        <f>AND(#REF!,"AAAAAD8+/4M=")</f>
        <v>#REF!</v>
      </c>
      <c r="EC10" t="str">
        <f>AND(#REF!,"AAAAAD8+/4Q=")</f>
        <v>#REF!</v>
      </c>
      <c r="ED10" t="str">
        <f>AND(#REF!,"AAAAAD8+/4U=")</f>
        <v>#REF!</v>
      </c>
      <c r="EE10" t="str">
        <f>AND(#REF!,"AAAAAD8+/4Y=")</f>
        <v>#REF!</v>
      </c>
      <c r="EF10" t="str">
        <f>IF(#REF!,"AAAAAD8+/4c=",0)</f>
        <v>#REF!</v>
      </c>
      <c r="EG10" t="str">
        <f>AND(#REF!,"AAAAAD8+/4g=")</f>
        <v>#REF!</v>
      </c>
      <c r="EH10" t="str">
        <f>AND(#REF!,"AAAAAD8+/4k=")</f>
        <v>#REF!</v>
      </c>
      <c r="EI10" t="str">
        <f>AND(#REF!,"AAAAAD8+/4o=")</f>
        <v>#REF!</v>
      </c>
      <c r="EJ10" t="str">
        <f>AND(#REF!,"AAAAAD8+/4s=")</f>
        <v>#REF!</v>
      </c>
      <c r="EK10" t="str">
        <f>AND(#REF!,"AAAAAD8+/4w=")</f>
        <v>#REF!</v>
      </c>
      <c r="EL10" t="str">
        <f>AND(#REF!,"AAAAAD8+/40=")</f>
        <v>#REF!</v>
      </c>
      <c r="EM10" t="str">
        <f>AND(#REF!,"AAAAAD8+/44=")</f>
        <v>#REF!</v>
      </c>
      <c r="EN10" t="str">
        <f>AND(#REF!,"AAAAAD8+/48=")</f>
        <v>#REF!</v>
      </c>
      <c r="EO10" t="str">
        <f>AND(#REF!,"AAAAAD8+/5A=")</f>
        <v>#REF!</v>
      </c>
      <c r="EP10" t="str">
        <f>AND(#REF!,"AAAAAD8+/5E=")</f>
        <v>#REF!</v>
      </c>
      <c r="EQ10" t="str">
        <f>AND(#REF!,"AAAAAD8+/5I=")</f>
        <v>#REF!</v>
      </c>
      <c r="ER10" t="str">
        <f>AND(#REF!,"AAAAAD8+/5M=")</f>
        <v>#REF!</v>
      </c>
      <c r="ES10" t="str">
        <f>AND(#REF!,"AAAAAD8+/5Q=")</f>
        <v>#REF!</v>
      </c>
      <c r="ET10" t="str">
        <f>AND(#REF!,"AAAAAD8+/5U=")</f>
        <v>#REF!</v>
      </c>
      <c r="EU10" t="str">
        <f>AND(#REF!,"AAAAAD8+/5Y=")</f>
        <v>#REF!</v>
      </c>
      <c r="EV10" t="str">
        <f>AND(#REF!,"AAAAAD8+/5c=")</f>
        <v>#REF!</v>
      </c>
      <c r="EW10" t="str">
        <f>AND(#REF!,"AAAAAD8+/5g=")</f>
        <v>#REF!</v>
      </c>
      <c r="EX10" t="str">
        <f>AND(#REF!,"AAAAAD8+/5k=")</f>
        <v>#REF!</v>
      </c>
      <c r="EY10" t="str">
        <f>AND(#REF!,"AAAAAD8+/5o=")</f>
        <v>#REF!</v>
      </c>
      <c r="EZ10" t="str">
        <f>AND(#REF!,"AAAAAD8+/5s=")</f>
        <v>#REF!</v>
      </c>
      <c r="FA10" t="str">
        <f>AND(#REF!,"AAAAAD8+/5w=")</f>
        <v>#REF!</v>
      </c>
      <c r="FB10" t="str">
        <f>AND(#REF!,"AAAAAD8+/50=")</f>
        <v>#REF!</v>
      </c>
      <c r="FC10" t="str">
        <f>AND(#REF!,"AAAAAD8+/54=")</f>
        <v>#REF!</v>
      </c>
      <c r="FD10" t="str">
        <f>AND(#REF!,"AAAAAD8+/58=")</f>
        <v>#REF!</v>
      </c>
      <c r="FE10" t="str">
        <f>AND(#REF!,"AAAAAD8+/6A=")</f>
        <v>#REF!</v>
      </c>
      <c r="FF10" t="str">
        <f>AND(#REF!,"AAAAAD8+/6E=")</f>
        <v>#REF!</v>
      </c>
      <c r="FG10" t="str">
        <f>AND(#REF!,"AAAAAD8+/6I=")</f>
        <v>#REF!</v>
      </c>
      <c r="FH10" t="str">
        <f>AND(#REF!,"AAAAAD8+/6M=")</f>
        <v>#REF!</v>
      </c>
      <c r="FI10" t="str">
        <f>AND(#REF!,"AAAAAD8+/6Q=")</f>
        <v>#REF!</v>
      </c>
      <c r="FJ10" t="str">
        <f>AND(#REF!,"AAAAAD8+/6U=")</f>
        <v>#REF!</v>
      </c>
      <c r="FK10" t="str">
        <f>AND(#REF!,"AAAAAD8+/6Y=")</f>
        <v>#REF!</v>
      </c>
      <c r="FL10" t="str">
        <f>AND(#REF!,"AAAAAD8+/6c=")</f>
        <v>#REF!</v>
      </c>
      <c r="FM10" t="str">
        <f>AND(#REF!,"AAAAAD8+/6g=")</f>
        <v>#REF!</v>
      </c>
      <c r="FN10" t="str">
        <f>AND(#REF!,"AAAAAD8+/6k=")</f>
        <v>#REF!</v>
      </c>
      <c r="FO10" t="str">
        <f>AND(#REF!,"AAAAAD8+/6o=")</f>
        <v>#REF!</v>
      </c>
      <c r="FP10" t="str">
        <f>AND(#REF!,"AAAAAD8+/6s=")</f>
        <v>#REF!</v>
      </c>
      <c r="FQ10" t="str">
        <f>AND(#REF!,"AAAAAD8+/6w=")</f>
        <v>#REF!</v>
      </c>
      <c r="FR10" t="str">
        <f>AND(#REF!,"AAAAAD8+/60=")</f>
        <v>#REF!</v>
      </c>
      <c r="FS10" t="str">
        <f>AND(#REF!,"AAAAAD8+/64=")</f>
        <v>#REF!</v>
      </c>
      <c r="FT10" t="str">
        <f>AND(#REF!,"AAAAAD8+/68=")</f>
        <v>#REF!</v>
      </c>
      <c r="FU10" t="str">
        <f>AND(#REF!,"AAAAAD8+/7A=")</f>
        <v>#REF!</v>
      </c>
      <c r="FV10" t="str">
        <f>AND(#REF!,"AAAAAD8+/7E=")</f>
        <v>#REF!</v>
      </c>
      <c r="FW10" t="str">
        <f>AND(#REF!,"AAAAAD8+/7I=")</f>
        <v>#REF!</v>
      </c>
      <c r="FX10" t="str">
        <f>AND(#REF!,"AAAAAD8+/7M=")</f>
        <v>#REF!</v>
      </c>
      <c r="FY10" t="str">
        <f>AND(#REF!,"AAAAAD8+/7Q=")</f>
        <v>#REF!</v>
      </c>
      <c r="FZ10" t="str">
        <f>AND(#REF!,"AAAAAD8+/7U=")</f>
        <v>#REF!</v>
      </c>
      <c r="GA10" t="str">
        <f>AND(#REF!,"AAAAAD8+/7Y=")</f>
        <v>#REF!</v>
      </c>
      <c r="GB10" t="str">
        <f>AND(#REF!,"AAAAAD8+/7c=")</f>
        <v>#REF!</v>
      </c>
      <c r="GC10" t="str">
        <f>AND(#REF!,"AAAAAD8+/7g=")</f>
        <v>#REF!</v>
      </c>
      <c r="GD10" t="str">
        <f>AND(#REF!,"AAAAAD8+/7k=")</f>
        <v>#REF!</v>
      </c>
      <c r="GE10" t="str">
        <f>AND(#REF!,"AAAAAD8+/7o=")</f>
        <v>#REF!</v>
      </c>
      <c r="GF10" t="str">
        <f>AND(#REF!,"AAAAAD8+/7s=")</f>
        <v>#REF!</v>
      </c>
      <c r="GG10" t="str">
        <f>AND(#REF!,"AAAAAD8+/7w=")</f>
        <v>#REF!</v>
      </c>
      <c r="GH10" t="str">
        <f>AND(#REF!,"AAAAAD8+/70=")</f>
        <v>#REF!</v>
      </c>
      <c r="GI10" t="str">
        <f>AND(#REF!,"AAAAAD8+/74=")</f>
        <v>#REF!</v>
      </c>
      <c r="GJ10" t="str">
        <f>AND(#REF!,"AAAAAD8+/78=")</f>
        <v>#REF!</v>
      </c>
      <c r="GK10" t="str">
        <f>AND(#REF!,"AAAAAD8+/8A=")</f>
        <v>#REF!</v>
      </c>
      <c r="GL10" t="str">
        <f>AND(#REF!,"AAAAAD8+/8E=")</f>
        <v>#REF!</v>
      </c>
      <c r="GM10" t="str">
        <f>AND(#REF!,"AAAAAD8+/8I=")</f>
        <v>#REF!</v>
      </c>
      <c r="GN10" t="str">
        <f>AND(#REF!,"AAAAAD8+/8M=")</f>
        <v>#REF!</v>
      </c>
      <c r="GO10" t="str">
        <f>AND(#REF!,"AAAAAD8+/8Q=")</f>
        <v>#REF!</v>
      </c>
      <c r="GP10" t="str">
        <f>AND(#REF!,"AAAAAD8+/8U=")</f>
        <v>#REF!</v>
      </c>
      <c r="GQ10" t="str">
        <f>AND(#REF!,"AAAAAD8+/8Y=")</f>
        <v>#REF!</v>
      </c>
      <c r="GR10" t="str">
        <f>AND(#REF!,"AAAAAD8+/8c=")</f>
        <v>#REF!</v>
      </c>
      <c r="GS10" t="str">
        <f>AND(#REF!,"AAAAAD8+/8g=")</f>
        <v>#REF!</v>
      </c>
      <c r="GT10" t="str">
        <f>AND(#REF!,"AAAAAD8+/8k=")</f>
        <v>#REF!</v>
      </c>
      <c r="GU10" t="str">
        <f>AND(#REF!,"AAAAAD8+/8o=")</f>
        <v>#REF!</v>
      </c>
      <c r="GV10" t="str">
        <f>AND(#REF!,"AAAAAD8+/8s=")</f>
        <v>#REF!</v>
      </c>
      <c r="GW10" t="str">
        <f>AND(#REF!,"AAAAAD8+/8w=")</f>
        <v>#REF!</v>
      </c>
      <c r="GX10" t="str">
        <f>AND(#REF!,"AAAAAD8+/80=")</f>
        <v>#REF!</v>
      </c>
      <c r="GY10" t="str">
        <f>AND(#REF!,"AAAAAD8+/84=")</f>
        <v>#REF!</v>
      </c>
      <c r="GZ10" t="str">
        <f>AND(#REF!,"AAAAAD8+/88=")</f>
        <v>#REF!</v>
      </c>
      <c r="HA10" t="str">
        <f>AND(#REF!,"AAAAAD8+/9A=")</f>
        <v>#REF!</v>
      </c>
      <c r="HB10" t="str">
        <f>AND(#REF!,"AAAAAD8+/9E=")</f>
        <v>#REF!</v>
      </c>
      <c r="HC10" t="str">
        <f>AND(#REF!,"AAAAAD8+/9I=")</f>
        <v>#REF!</v>
      </c>
      <c r="HD10" t="str">
        <f>IF(#REF!,"AAAAAD8+/9M=",0)</f>
        <v>#REF!</v>
      </c>
      <c r="HE10" t="str">
        <f>AND(#REF!,"AAAAAD8+/9Q=")</f>
        <v>#REF!</v>
      </c>
      <c r="HF10" t="str">
        <f>AND(#REF!,"AAAAAD8+/9U=")</f>
        <v>#REF!</v>
      </c>
      <c r="HG10" t="str">
        <f>AND(#REF!,"AAAAAD8+/9Y=")</f>
        <v>#REF!</v>
      </c>
      <c r="HH10" t="str">
        <f>AND(#REF!,"AAAAAD8+/9c=")</f>
        <v>#REF!</v>
      </c>
      <c r="HI10" t="str">
        <f>AND(#REF!,"AAAAAD8+/9g=")</f>
        <v>#REF!</v>
      </c>
      <c r="HJ10" t="str">
        <f>AND(#REF!,"AAAAAD8+/9k=")</f>
        <v>#REF!</v>
      </c>
      <c r="HK10" t="str">
        <f>AND(#REF!,"AAAAAD8+/9o=")</f>
        <v>#REF!</v>
      </c>
      <c r="HL10" t="str">
        <f>AND(#REF!,"AAAAAD8+/9s=")</f>
        <v>#REF!</v>
      </c>
      <c r="HM10" t="str">
        <f>AND(#REF!,"AAAAAD8+/9w=")</f>
        <v>#REF!</v>
      </c>
      <c r="HN10" t="str">
        <f>AND(#REF!,"AAAAAD8+/90=")</f>
        <v>#REF!</v>
      </c>
      <c r="HO10" t="str">
        <f>AND(#REF!,"AAAAAD8+/94=")</f>
        <v>#REF!</v>
      </c>
      <c r="HP10" t="str">
        <f>AND(#REF!,"AAAAAD8+/98=")</f>
        <v>#REF!</v>
      </c>
      <c r="HQ10" t="str">
        <f>AND(#REF!,"AAAAAD8+/+A=")</f>
        <v>#REF!</v>
      </c>
      <c r="HR10" t="str">
        <f>AND(#REF!,"AAAAAD8+/+E=")</f>
        <v>#REF!</v>
      </c>
      <c r="HS10" t="str">
        <f>AND(#REF!,"AAAAAD8+/+I=")</f>
        <v>#REF!</v>
      </c>
      <c r="HT10" t="str">
        <f>AND(#REF!,"AAAAAD8+/+M=")</f>
        <v>#REF!</v>
      </c>
      <c r="HU10" t="str">
        <f>AND(#REF!,"AAAAAD8+/+Q=")</f>
        <v>#REF!</v>
      </c>
      <c r="HV10" t="str">
        <f>AND(#REF!,"AAAAAD8+/+U=")</f>
        <v>#REF!</v>
      </c>
      <c r="HW10" t="str">
        <f>AND(#REF!,"AAAAAD8+/+Y=")</f>
        <v>#REF!</v>
      </c>
      <c r="HX10" t="str">
        <f>AND(#REF!,"AAAAAD8+/+c=")</f>
        <v>#REF!</v>
      </c>
      <c r="HY10" t="str">
        <f>AND(#REF!,"AAAAAD8+/+g=")</f>
        <v>#REF!</v>
      </c>
      <c r="HZ10" t="str">
        <f>AND(#REF!,"AAAAAD8+/+k=")</f>
        <v>#REF!</v>
      </c>
      <c r="IA10" t="str">
        <f>AND(#REF!,"AAAAAD8+/+o=")</f>
        <v>#REF!</v>
      </c>
      <c r="IB10" t="str">
        <f>AND(#REF!,"AAAAAD8+/+s=")</f>
        <v>#REF!</v>
      </c>
      <c r="IC10" t="str">
        <f>AND(#REF!,"AAAAAD8+/+w=")</f>
        <v>#REF!</v>
      </c>
      <c r="ID10" t="str">
        <f>AND(#REF!,"AAAAAD8+/+0=")</f>
        <v>#REF!</v>
      </c>
      <c r="IE10" t="str">
        <f>AND(#REF!,"AAAAAD8+/+4=")</f>
        <v>#REF!</v>
      </c>
      <c r="IF10" t="str">
        <f>AND(#REF!,"AAAAAD8+/+8=")</f>
        <v>#REF!</v>
      </c>
      <c r="IG10" t="str">
        <f>AND(#REF!,"AAAAAD8+//A=")</f>
        <v>#REF!</v>
      </c>
      <c r="IH10" t="str">
        <f>AND(#REF!,"AAAAAD8+//E=")</f>
        <v>#REF!</v>
      </c>
      <c r="II10" t="str">
        <f>AND(#REF!,"AAAAAD8+//I=")</f>
        <v>#REF!</v>
      </c>
      <c r="IJ10" t="str">
        <f>AND(#REF!,"AAAAAD8+//M=")</f>
        <v>#REF!</v>
      </c>
      <c r="IK10" t="str">
        <f>AND(#REF!,"AAAAAD8+//Q=")</f>
        <v>#REF!</v>
      </c>
      <c r="IL10" t="str">
        <f>AND(#REF!,"AAAAAD8+//U=")</f>
        <v>#REF!</v>
      </c>
      <c r="IM10" t="str">
        <f>AND(#REF!,"AAAAAD8+//Y=")</f>
        <v>#REF!</v>
      </c>
      <c r="IN10" t="str">
        <f>AND(#REF!,"AAAAAD8+//c=")</f>
        <v>#REF!</v>
      </c>
      <c r="IO10" t="str">
        <f>AND(#REF!,"AAAAAD8+//g=")</f>
        <v>#REF!</v>
      </c>
      <c r="IP10" t="str">
        <f>AND(#REF!,"AAAAAD8+//k=")</f>
        <v>#REF!</v>
      </c>
      <c r="IQ10" t="str">
        <f>AND(#REF!,"AAAAAD8+//o=")</f>
        <v>#REF!</v>
      </c>
      <c r="IR10" t="str">
        <f>AND(#REF!,"AAAAAD8+//s=")</f>
        <v>#REF!</v>
      </c>
      <c r="IS10" t="str">
        <f>AND(#REF!,"AAAAAD8+//w=")</f>
        <v>#REF!</v>
      </c>
      <c r="IT10" t="str">
        <f>AND(#REF!,"AAAAAD8+//0=")</f>
        <v>#REF!</v>
      </c>
      <c r="IU10" t="str">
        <f>AND(#REF!,"AAAAAD8+//4=")</f>
        <v>#REF!</v>
      </c>
      <c r="IV10" t="str">
        <f>AND(#REF!,"AAAAAD8+//8=")</f>
        <v>#REF!</v>
      </c>
    </row>
    <row r="11">
      <c r="A11" t="str">
        <f>AND(#REF!,"AAAAAHX7cwA=")</f>
        <v>#REF!</v>
      </c>
      <c r="B11" t="str">
        <f>AND(#REF!,"AAAAAHX7cwE=")</f>
        <v>#REF!</v>
      </c>
      <c r="C11" t="str">
        <f>AND(#REF!,"AAAAAHX7cwI=")</f>
        <v>#REF!</v>
      </c>
      <c r="D11" t="str">
        <f>AND(#REF!,"AAAAAHX7cwM=")</f>
        <v>#REF!</v>
      </c>
      <c r="E11" t="str">
        <f>AND(#REF!,"AAAAAHX7cwQ=")</f>
        <v>#REF!</v>
      </c>
      <c r="F11" t="str">
        <f>AND(#REF!,"AAAAAHX7cwU=")</f>
        <v>#REF!</v>
      </c>
      <c r="G11" t="str">
        <f>AND(#REF!,"AAAAAHX7cwY=")</f>
        <v>#REF!</v>
      </c>
      <c r="H11" t="str">
        <f>AND(#REF!,"AAAAAHX7cwc=")</f>
        <v>#REF!</v>
      </c>
      <c r="I11" t="str">
        <f>AND(#REF!,"AAAAAHX7cwg=")</f>
        <v>#REF!</v>
      </c>
      <c r="J11" t="str">
        <f>AND(#REF!,"AAAAAHX7cwk=")</f>
        <v>#REF!</v>
      </c>
      <c r="K11" t="str">
        <f>AND(#REF!,"AAAAAHX7cwo=")</f>
        <v>#REF!</v>
      </c>
      <c r="L11" t="str">
        <f>AND(#REF!,"AAAAAHX7cws=")</f>
        <v>#REF!</v>
      </c>
      <c r="M11" t="str">
        <f>AND(#REF!,"AAAAAHX7cww=")</f>
        <v>#REF!</v>
      </c>
      <c r="N11" t="str">
        <f>AND(#REF!,"AAAAAHX7cw0=")</f>
        <v>#REF!</v>
      </c>
      <c r="O11" t="str">
        <f>AND(#REF!,"AAAAAHX7cw4=")</f>
        <v>#REF!</v>
      </c>
      <c r="P11" t="str">
        <f>AND(#REF!,"AAAAAHX7cw8=")</f>
        <v>#REF!</v>
      </c>
      <c r="Q11" t="str">
        <f>AND(#REF!,"AAAAAHX7cxA=")</f>
        <v>#REF!</v>
      </c>
      <c r="R11" t="str">
        <f>AND(#REF!,"AAAAAHX7cxE=")</f>
        <v>#REF!</v>
      </c>
      <c r="S11" t="str">
        <f>AND(#REF!,"AAAAAHX7cxI=")</f>
        <v>#REF!</v>
      </c>
      <c r="T11" t="str">
        <f>AND(#REF!,"AAAAAHX7cxM=")</f>
        <v>#REF!</v>
      </c>
      <c r="U11" t="str">
        <f>AND(#REF!,"AAAAAHX7cxQ=")</f>
        <v>#REF!</v>
      </c>
      <c r="V11" t="str">
        <f>AND(#REF!,"AAAAAHX7cxU=")</f>
        <v>#REF!</v>
      </c>
      <c r="W11" t="str">
        <f>AND(#REF!,"AAAAAHX7cxY=")</f>
        <v>#REF!</v>
      </c>
      <c r="X11" t="str">
        <f>AND(#REF!,"AAAAAHX7cxc=")</f>
        <v>#REF!</v>
      </c>
      <c r="Y11" t="str">
        <f>AND(#REF!,"AAAAAHX7cxg=")</f>
        <v>#REF!</v>
      </c>
      <c r="Z11" t="str">
        <f>AND(#REF!,"AAAAAHX7cxk=")</f>
        <v>#REF!</v>
      </c>
      <c r="AA11" t="str">
        <f>AND(#REF!,"AAAAAHX7cxo=")</f>
        <v>#REF!</v>
      </c>
      <c r="AB11" t="str">
        <f>AND(#REF!,"AAAAAHX7cxs=")</f>
        <v>#REF!</v>
      </c>
      <c r="AC11" t="str">
        <f>AND(#REF!,"AAAAAHX7cxw=")</f>
        <v>#REF!</v>
      </c>
      <c r="AD11" t="str">
        <f>AND(#REF!,"AAAAAHX7cx0=")</f>
        <v>#REF!</v>
      </c>
      <c r="AE11" t="str">
        <f>AND(#REF!,"AAAAAHX7cx4=")</f>
        <v>#REF!</v>
      </c>
      <c r="AF11" t="str">
        <f>IF(#REF!,"AAAAAHX7cx8=",0)</f>
        <v>#REF!</v>
      </c>
      <c r="AG11" t="str">
        <f>AND(#REF!,"AAAAAHX7cyA=")</f>
        <v>#REF!</v>
      </c>
      <c r="AH11" t="str">
        <f>AND(#REF!,"AAAAAHX7cyE=")</f>
        <v>#REF!</v>
      </c>
      <c r="AI11" t="str">
        <f>AND(#REF!,"AAAAAHX7cyI=")</f>
        <v>#REF!</v>
      </c>
      <c r="AJ11" t="str">
        <f>AND(#REF!,"AAAAAHX7cyM=")</f>
        <v>#REF!</v>
      </c>
      <c r="AK11" t="str">
        <f>AND(#REF!,"AAAAAHX7cyQ=")</f>
        <v>#REF!</v>
      </c>
      <c r="AL11" t="str">
        <f>AND(#REF!,"AAAAAHX7cyU=")</f>
        <v>#REF!</v>
      </c>
      <c r="AM11" t="str">
        <f>AND(#REF!,"AAAAAHX7cyY=")</f>
        <v>#REF!</v>
      </c>
      <c r="AN11" t="str">
        <f>AND(#REF!,"AAAAAHX7cyc=")</f>
        <v>#REF!</v>
      </c>
      <c r="AO11" t="str">
        <f>AND(#REF!,"AAAAAHX7cyg=")</f>
        <v>#REF!</v>
      </c>
      <c r="AP11" t="str">
        <f>AND(#REF!,"AAAAAHX7cyk=")</f>
        <v>#REF!</v>
      </c>
      <c r="AQ11" t="str">
        <f>AND(#REF!,"AAAAAHX7cyo=")</f>
        <v>#REF!</v>
      </c>
      <c r="AR11" t="str">
        <f>AND(#REF!,"AAAAAHX7cys=")</f>
        <v>#REF!</v>
      </c>
      <c r="AS11" t="str">
        <f>AND(#REF!,"AAAAAHX7cyw=")</f>
        <v>#REF!</v>
      </c>
      <c r="AT11" t="str">
        <f>AND(#REF!,"AAAAAHX7cy0=")</f>
        <v>#REF!</v>
      </c>
      <c r="AU11" t="str">
        <f>AND(#REF!,"AAAAAHX7cy4=")</f>
        <v>#REF!</v>
      </c>
      <c r="AV11" t="str">
        <f>AND(#REF!,"AAAAAHX7cy8=")</f>
        <v>#REF!</v>
      </c>
      <c r="AW11" t="str">
        <f>AND(#REF!,"AAAAAHX7czA=")</f>
        <v>#REF!</v>
      </c>
      <c r="AX11" t="str">
        <f>AND(#REF!,"AAAAAHX7czE=")</f>
        <v>#REF!</v>
      </c>
      <c r="AY11" t="str">
        <f>AND(#REF!,"AAAAAHX7czI=")</f>
        <v>#REF!</v>
      </c>
      <c r="AZ11" t="str">
        <f>AND(#REF!,"AAAAAHX7czM=")</f>
        <v>#REF!</v>
      </c>
      <c r="BA11" t="str">
        <f>AND(#REF!,"AAAAAHX7czQ=")</f>
        <v>#REF!</v>
      </c>
      <c r="BB11" t="str">
        <f>AND(#REF!,"AAAAAHX7czU=")</f>
        <v>#REF!</v>
      </c>
      <c r="BC11" t="str">
        <f>AND(#REF!,"AAAAAHX7czY=")</f>
        <v>#REF!</v>
      </c>
      <c r="BD11" t="str">
        <f>AND(#REF!,"AAAAAHX7czc=")</f>
        <v>#REF!</v>
      </c>
      <c r="BE11" t="str">
        <f>AND(#REF!,"AAAAAHX7czg=")</f>
        <v>#REF!</v>
      </c>
      <c r="BF11" t="str">
        <f>AND(#REF!,"AAAAAHX7czk=")</f>
        <v>#REF!</v>
      </c>
      <c r="BG11" t="str">
        <f>AND(#REF!,"AAAAAHX7czo=")</f>
        <v>#REF!</v>
      </c>
      <c r="BH11" t="str">
        <f>AND(#REF!,"AAAAAHX7czs=")</f>
        <v>#REF!</v>
      </c>
      <c r="BI11" t="str">
        <f>AND(#REF!,"AAAAAHX7czw=")</f>
        <v>#REF!</v>
      </c>
      <c r="BJ11" t="str">
        <f>AND(#REF!,"AAAAAHX7cz0=")</f>
        <v>#REF!</v>
      </c>
      <c r="BK11" t="str">
        <f>AND(#REF!,"AAAAAHX7cz4=")</f>
        <v>#REF!</v>
      </c>
      <c r="BL11" t="str">
        <f>AND(#REF!,"AAAAAHX7cz8=")</f>
        <v>#REF!</v>
      </c>
      <c r="BM11" t="str">
        <f>AND(#REF!,"AAAAAHX7c0A=")</f>
        <v>#REF!</v>
      </c>
      <c r="BN11" t="str">
        <f>AND(#REF!,"AAAAAHX7c0E=")</f>
        <v>#REF!</v>
      </c>
      <c r="BO11" t="str">
        <f>AND(#REF!,"AAAAAHX7c0I=")</f>
        <v>#REF!</v>
      </c>
      <c r="BP11" t="str">
        <f>AND(#REF!,"AAAAAHX7c0M=")</f>
        <v>#REF!</v>
      </c>
      <c r="BQ11" t="str">
        <f>AND(#REF!,"AAAAAHX7c0Q=")</f>
        <v>#REF!</v>
      </c>
      <c r="BR11" t="str">
        <f>AND(#REF!,"AAAAAHX7c0U=")</f>
        <v>#REF!</v>
      </c>
      <c r="BS11" t="str">
        <f>AND(#REF!,"AAAAAHX7c0Y=")</f>
        <v>#REF!</v>
      </c>
      <c r="BT11" t="str">
        <f>AND(#REF!,"AAAAAHX7c0c=")</f>
        <v>#REF!</v>
      </c>
      <c r="BU11" t="str">
        <f>AND(#REF!,"AAAAAHX7c0g=")</f>
        <v>#REF!</v>
      </c>
      <c r="BV11" t="str">
        <f>AND(#REF!,"AAAAAHX7c0k=")</f>
        <v>#REF!</v>
      </c>
      <c r="BW11" t="str">
        <f>AND(#REF!,"AAAAAHX7c0o=")</f>
        <v>#REF!</v>
      </c>
      <c r="BX11" t="str">
        <f>AND(#REF!,"AAAAAHX7c0s=")</f>
        <v>#REF!</v>
      </c>
      <c r="BY11" t="str">
        <f>AND(#REF!,"AAAAAHX7c0w=")</f>
        <v>#REF!</v>
      </c>
      <c r="BZ11" t="str">
        <f>AND(#REF!,"AAAAAHX7c00=")</f>
        <v>#REF!</v>
      </c>
      <c r="CA11" t="str">
        <f>AND(#REF!,"AAAAAHX7c04=")</f>
        <v>#REF!</v>
      </c>
      <c r="CB11" t="str">
        <f>AND(#REF!,"AAAAAHX7c08=")</f>
        <v>#REF!</v>
      </c>
      <c r="CC11" t="str">
        <f>AND(#REF!,"AAAAAHX7c1A=")</f>
        <v>#REF!</v>
      </c>
      <c r="CD11" t="str">
        <f>AND(#REF!,"AAAAAHX7c1E=")</f>
        <v>#REF!</v>
      </c>
      <c r="CE11" t="str">
        <f>AND(#REF!,"AAAAAHX7c1I=")</f>
        <v>#REF!</v>
      </c>
      <c r="CF11" t="str">
        <f>AND(#REF!,"AAAAAHX7c1M=")</f>
        <v>#REF!</v>
      </c>
      <c r="CG11" t="str">
        <f>AND(#REF!,"AAAAAHX7c1Q=")</f>
        <v>#REF!</v>
      </c>
      <c r="CH11" t="str">
        <f>AND(#REF!,"AAAAAHX7c1U=")</f>
        <v>#REF!</v>
      </c>
      <c r="CI11" t="str">
        <f>AND(#REF!,"AAAAAHX7c1Y=")</f>
        <v>#REF!</v>
      </c>
      <c r="CJ11" t="str">
        <f>AND(#REF!,"AAAAAHX7c1c=")</f>
        <v>#REF!</v>
      </c>
      <c r="CK11" t="str">
        <f>AND(#REF!,"AAAAAHX7c1g=")</f>
        <v>#REF!</v>
      </c>
      <c r="CL11" t="str">
        <f>AND(#REF!,"AAAAAHX7c1k=")</f>
        <v>#REF!</v>
      </c>
      <c r="CM11" t="str">
        <f>AND(#REF!,"AAAAAHX7c1o=")</f>
        <v>#REF!</v>
      </c>
      <c r="CN11" t="str">
        <f>AND(#REF!,"AAAAAHX7c1s=")</f>
        <v>#REF!</v>
      </c>
      <c r="CO11" t="str">
        <f>AND(#REF!,"AAAAAHX7c1w=")</f>
        <v>#REF!</v>
      </c>
      <c r="CP11" t="str">
        <f>AND(#REF!,"AAAAAHX7c10=")</f>
        <v>#REF!</v>
      </c>
      <c r="CQ11" t="str">
        <f>AND(#REF!,"AAAAAHX7c14=")</f>
        <v>#REF!</v>
      </c>
      <c r="CR11" t="str">
        <f>AND(#REF!,"AAAAAHX7c18=")</f>
        <v>#REF!</v>
      </c>
      <c r="CS11" t="str">
        <f>AND(#REF!,"AAAAAHX7c2A=")</f>
        <v>#REF!</v>
      </c>
      <c r="CT11" t="str">
        <f>AND(#REF!,"AAAAAHX7c2E=")</f>
        <v>#REF!</v>
      </c>
      <c r="CU11" t="str">
        <f>AND(#REF!,"AAAAAHX7c2I=")</f>
        <v>#REF!</v>
      </c>
      <c r="CV11" t="str">
        <f>AND(#REF!,"AAAAAHX7c2M=")</f>
        <v>#REF!</v>
      </c>
      <c r="CW11" t="str">
        <f>AND(#REF!,"AAAAAHX7c2Q=")</f>
        <v>#REF!</v>
      </c>
      <c r="CX11" t="str">
        <f>AND(#REF!,"AAAAAHX7c2U=")</f>
        <v>#REF!</v>
      </c>
      <c r="CY11" t="str">
        <f>AND(#REF!,"AAAAAHX7c2Y=")</f>
        <v>#REF!</v>
      </c>
      <c r="CZ11" t="str">
        <f>AND(#REF!,"AAAAAHX7c2c=")</f>
        <v>#REF!</v>
      </c>
      <c r="DA11" t="str">
        <f>AND(#REF!,"AAAAAHX7c2g=")</f>
        <v>#REF!</v>
      </c>
      <c r="DB11" t="str">
        <f>AND(#REF!,"AAAAAHX7c2k=")</f>
        <v>#REF!</v>
      </c>
      <c r="DC11" t="str">
        <f>AND(#REF!,"AAAAAHX7c2o=")</f>
        <v>#REF!</v>
      </c>
      <c r="DD11" t="str">
        <f>IF(#REF!,"AAAAAHX7c2s=",0)</f>
        <v>#REF!</v>
      </c>
      <c r="DE11" t="str">
        <f>AND(#REF!,"AAAAAHX7c2w=")</f>
        <v>#REF!</v>
      </c>
      <c r="DF11" t="str">
        <f>AND(#REF!,"AAAAAHX7c20=")</f>
        <v>#REF!</v>
      </c>
      <c r="DG11" t="str">
        <f>AND(#REF!,"AAAAAHX7c24=")</f>
        <v>#REF!</v>
      </c>
      <c r="DH11" t="str">
        <f>AND(#REF!,"AAAAAHX7c28=")</f>
        <v>#REF!</v>
      </c>
      <c r="DI11" t="str">
        <f>AND(#REF!,"AAAAAHX7c3A=")</f>
        <v>#REF!</v>
      </c>
      <c r="DJ11" t="str">
        <f>AND(#REF!,"AAAAAHX7c3E=")</f>
        <v>#REF!</v>
      </c>
      <c r="DK11" t="str">
        <f>AND(#REF!,"AAAAAHX7c3I=")</f>
        <v>#REF!</v>
      </c>
      <c r="DL11" t="str">
        <f>AND(#REF!,"AAAAAHX7c3M=")</f>
        <v>#REF!</v>
      </c>
      <c r="DM11" t="str">
        <f>AND(#REF!,"AAAAAHX7c3Q=")</f>
        <v>#REF!</v>
      </c>
      <c r="DN11" t="str">
        <f>AND(#REF!,"AAAAAHX7c3U=")</f>
        <v>#REF!</v>
      </c>
      <c r="DO11" t="str">
        <f>AND(#REF!,"AAAAAHX7c3Y=")</f>
        <v>#REF!</v>
      </c>
      <c r="DP11" t="str">
        <f>AND(#REF!,"AAAAAHX7c3c=")</f>
        <v>#REF!</v>
      </c>
      <c r="DQ11" t="str">
        <f>AND(#REF!,"AAAAAHX7c3g=")</f>
        <v>#REF!</v>
      </c>
      <c r="DR11" t="str">
        <f>AND(#REF!,"AAAAAHX7c3k=")</f>
        <v>#REF!</v>
      </c>
      <c r="DS11" t="str">
        <f>AND(#REF!,"AAAAAHX7c3o=")</f>
        <v>#REF!</v>
      </c>
      <c r="DT11" t="str">
        <f>AND(#REF!,"AAAAAHX7c3s=")</f>
        <v>#REF!</v>
      </c>
      <c r="DU11" t="str">
        <f>AND(#REF!,"AAAAAHX7c3w=")</f>
        <v>#REF!</v>
      </c>
      <c r="DV11" t="str">
        <f>AND(#REF!,"AAAAAHX7c30=")</f>
        <v>#REF!</v>
      </c>
      <c r="DW11" t="str">
        <f>AND(#REF!,"AAAAAHX7c34=")</f>
        <v>#REF!</v>
      </c>
      <c r="DX11" t="str">
        <f>AND(#REF!,"AAAAAHX7c38=")</f>
        <v>#REF!</v>
      </c>
      <c r="DY11" t="str">
        <f>AND(#REF!,"AAAAAHX7c4A=")</f>
        <v>#REF!</v>
      </c>
      <c r="DZ11" t="str">
        <f>AND(#REF!,"AAAAAHX7c4E=")</f>
        <v>#REF!</v>
      </c>
      <c r="EA11" t="str">
        <f>AND(#REF!,"AAAAAHX7c4I=")</f>
        <v>#REF!</v>
      </c>
      <c r="EB11" t="str">
        <f>AND(#REF!,"AAAAAHX7c4M=")</f>
        <v>#REF!</v>
      </c>
      <c r="EC11" t="str">
        <f>AND(#REF!,"AAAAAHX7c4Q=")</f>
        <v>#REF!</v>
      </c>
      <c r="ED11" t="str">
        <f>AND(#REF!,"AAAAAHX7c4U=")</f>
        <v>#REF!</v>
      </c>
      <c r="EE11" t="str">
        <f>AND(#REF!,"AAAAAHX7c4Y=")</f>
        <v>#REF!</v>
      </c>
      <c r="EF11" t="str">
        <f>AND(#REF!,"AAAAAHX7c4c=")</f>
        <v>#REF!</v>
      </c>
      <c r="EG11" t="str">
        <f>AND(#REF!,"AAAAAHX7c4g=")</f>
        <v>#REF!</v>
      </c>
      <c r="EH11" t="str">
        <f>AND(#REF!,"AAAAAHX7c4k=")</f>
        <v>#REF!</v>
      </c>
      <c r="EI11" t="str">
        <f>AND(#REF!,"AAAAAHX7c4o=")</f>
        <v>#REF!</v>
      </c>
      <c r="EJ11" t="str">
        <f>AND(#REF!,"AAAAAHX7c4s=")</f>
        <v>#REF!</v>
      </c>
      <c r="EK11" t="str">
        <f>AND(#REF!,"AAAAAHX7c4w=")</f>
        <v>#REF!</v>
      </c>
      <c r="EL11" t="str">
        <f>AND(#REF!,"AAAAAHX7c40=")</f>
        <v>#REF!</v>
      </c>
      <c r="EM11" t="str">
        <f>AND(#REF!,"AAAAAHX7c44=")</f>
        <v>#REF!</v>
      </c>
      <c r="EN11" t="str">
        <f>AND(#REF!,"AAAAAHX7c48=")</f>
        <v>#REF!</v>
      </c>
      <c r="EO11" t="str">
        <f>AND(#REF!,"AAAAAHX7c5A=")</f>
        <v>#REF!</v>
      </c>
      <c r="EP11" t="str">
        <f>AND(#REF!,"AAAAAHX7c5E=")</f>
        <v>#REF!</v>
      </c>
      <c r="EQ11" t="str">
        <f>AND(#REF!,"AAAAAHX7c5I=")</f>
        <v>#REF!</v>
      </c>
      <c r="ER11" t="str">
        <f>AND(#REF!,"AAAAAHX7c5M=")</f>
        <v>#REF!</v>
      </c>
      <c r="ES11" t="str">
        <f>AND(#REF!,"AAAAAHX7c5Q=")</f>
        <v>#REF!</v>
      </c>
      <c r="ET11" t="str">
        <f>AND(#REF!,"AAAAAHX7c5U=")</f>
        <v>#REF!</v>
      </c>
      <c r="EU11" t="str">
        <f>AND(#REF!,"AAAAAHX7c5Y=")</f>
        <v>#REF!</v>
      </c>
      <c r="EV11" t="str">
        <f>AND(#REF!,"AAAAAHX7c5c=")</f>
        <v>#REF!</v>
      </c>
      <c r="EW11" t="str">
        <f>AND(#REF!,"AAAAAHX7c5g=")</f>
        <v>#REF!</v>
      </c>
      <c r="EX11" t="str">
        <f>AND(#REF!,"AAAAAHX7c5k=")</f>
        <v>#REF!</v>
      </c>
      <c r="EY11" t="str">
        <f>AND(#REF!,"AAAAAHX7c5o=")</f>
        <v>#REF!</v>
      </c>
      <c r="EZ11" t="str">
        <f>AND(#REF!,"AAAAAHX7c5s=")</f>
        <v>#REF!</v>
      </c>
      <c r="FA11" t="str">
        <f>AND(#REF!,"AAAAAHX7c5w=")</f>
        <v>#REF!</v>
      </c>
      <c r="FB11" t="str">
        <f>AND(#REF!,"AAAAAHX7c50=")</f>
        <v>#REF!</v>
      </c>
      <c r="FC11" t="str">
        <f>AND(#REF!,"AAAAAHX7c54=")</f>
        <v>#REF!</v>
      </c>
      <c r="FD11" t="str">
        <f>AND(#REF!,"AAAAAHX7c58=")</f>
        <v>#REF!</v>
      </c>
      <c r="FE11" t="str">
        <f>AND(#REF!,"AAAAAHX7c6A=")</f>
        <v>#REF!</v>
      </c>
      <c r="FF11" t="str">
        <f>AND(#REF!,"AAAAAHX7c6E=")</f>
        <v>#REF!</v>
      </c>
      <c r="FG11" t="str">
        <f>AND(#REF!,"AAAAAHX7c6I=")</f>
        <v>#REF!</v>
      </c>
      <c r="FH11" t="str">
        <f>AND(#REF!,"AAAAAHX7c6M=")</f>
        <v>#REF!</v>
      </c>
      <c r="FI11" t="str">
        <f>AND(#REF!,"AAAAAHX7c6Q=")</f>
        <v>#REF!</v>
      </c>
      <c r="FJ11" t="str">
        <f>AND(#REF!,"AAAAAHX7c6U=")</f>
        <v>#REF!</v>
      </c>
      <c r="FK11" t="str">
        <f>AND(#REF!,"AAAAAHX7c6Y=")</f>
        <v>#REF!</v>
      </c>
      <c r="FL11" t="str">
        <f>AND(#REF!,"AAAAAHX7c6c=")</f>
        <v>#REF!</v>
      </c>
      <c r="FM11" t="str">
        <f>AND(#REF!,"AAAAAHX7c6g=")</f>
        <v>#REF!</v>
      </c>
      <c r="FN11" t="str">
        <f>AND(#REF!,"AAAAAHX7c6k=")</f>
        <v>#REF!</v>
      </c>
      <c r="FO11" t="str">
        <f>AND(#REF!,"AAAAAHX7c6o=")</f>
        <v>#REF!</v>
      </c>
      <c r="FP11" t="str">
        <f>AND(#REF!,"AAAAAHX7c6s=")</f>
        <v>#REF!</v>
      </c>
      <c r="FQ11" t="str">
        <f>AND(#REF!,"AAAAAHX7c6w=")</f>
        <v>#REF!</v>
      </c>
      <c r="FR11" t="str">
        <f>AND(#REF!,"AAAAAHX7c60=")</f>
        <v>#REF!</v>
      </c>
      <c r="FS11" t="str">
        <f>AND(#REF!,"AAAAAHX7c64=")</f>
        <v>#REF!</v>
      </c>
      <c r="FT11" t="str">
        <f>AND(#REF!,"AAAAAHX7c68=")</f>
        <v>#REF!</v>
      </c>
      <c r="FU11" t="str">
        <f>AND(#REF!,"AAAAAHX7c7A=")</f>
        <v>#REF!</v>
      </c>
      <c r="FV11" t="str">
        <f>AND(#REF!,"AAAAAHX7c7E=")</f>
        <v>#REF!</v>
      </c>
      <c r="FW11" t="str">
        <f>AND(#REF!,"AAAAAHX7c7I=")</f>
        <v>#REF!</v>
      </c>
      <c r="FX11" t="str">
        <f>AND(#REF!,"AAAAAHX7c7M=")</f>
        <v>#REF!</v>
      </c>
      <c r="FY11" t="str">
        <f>AND(#REF!,"AAAAAHX7c7Q=")</f>
        <v>#REF!</v>
      </c>
      <c r="FZ11" t="str">
        <f>AND(#REF!,"AAAAAHX7c7U=")</f>
        <v>#REF!</v>
      </c>
      <c r="GA11" t="str">
        <f>AND(#REF!,"AAAAAHX7c7Y=")</f>
        <v>#REF!</v>
      </c>
      <c r="GB11" t="str">
        <f>IF(#REF!,"AAAAAHX7c7c=",0)</f>
        <v>#REF!</v>
      </c>
      <c r="GC11" t="str">
        <f>AND(#REF!,"AAAAAHX7c7g=")</f>
        <v>#REF!</v>
      </c>
      <c r="GD11" t="str">
        <f>AND(#REF!,"AAAAAHX7c7k=")</f>
        <v>#REF!</v>
      </c>
      <c r="GE11" t="str">
        <f>AND(#REF!,"AAAAAHX7c7o=")</f>
        <v>#REF!</v>
      </c>
      <c r="GF11" t="str">
        <f>AND(#REF!,"AAAAAHX7c7s=")</f>
        <v>#REF!</v>
      </c>
      <c r="GG11" t="str">
        <f>AND(#REF!,"AAAAAHX7c7w=")</f>
        <v>#REF!</v>
      </c>
      <c r="GH11" t="str">
        <f>AND(#REF!,"AAAAAHX7c70=")</f>
        <v>#REF!</v>
      </c>
      <c r="GI11" t="str">
        <f>AND(#REF!,"AAAAAHX7c74=")</f>
        <v>#REF!</v>
      </c>
      <c r="GJ11" t="str">
        <f>AND(#REF!,"AAAAAHX7c78=")</f>
        <v>#REF!</v>
      </c>
      <c r="GK11" t="str">
        <f>AND(#REF!,"AAAAAHX7c8A=")</f>
        <v>#REF!</v>
      </c>
      <c r="GL11" t="str">
        <f>AND(#REF!,"AAAAAHX7c8E=")</f>
        <v>#REF!</v>
      </c>
      <c r="GM11" t="str">
        <f>AND(#REF!,"AAAAAHX7c8I=")</f>
        <v>#REF!</v>
      </c>
      <c r="GN11" t="str">
        <f>AND(#REF!,"AAAAAHX7c8M=")</f>
        <v>#REF!</v>
      </c>
      <c r="GO11" t="str">
        <f>AND(#REF!,"AAAAAHX7c8Q=")</f>
        <v>#REF!</v>
      </c>
      <c r="GP11" t="str">
        <f>AND(#REF!,"AAAAAHX7c8U=")</f>
        <v>#REF!</v>
      </c>
      <c r="GQ11" t="str">
        <f>AND(#REF!,"AAAAAHX7c8Y=")</f>
        <v>#REF!</v>
      </c>
      <c r="GR11" t="str">
        <f>AND(#REF!,"AAAAAHX7c8c=")</f>
        <v>#REF!</v>
      </c>
      <c r="GS11" t="str">
        <f>AND(#REF!,"AAAAAHX7c8g=")</f>
        <v>#REF!</v>
      </c>
      <c r="GT11" t="str">
        <f>AND(#REF!,"AAAAAHX7c8k=")</f>
        <v>#REF!</v>
      </c>
      <c r="GU11" t="str">
        <f>AND(#REF!,"AAAAAHX7c8o=")</f>
        <v>#REF!</v>
      </c>
      <c r="GV11" t="str">
        <f>AND(#REF!,"AAAAAHX7c8s=")</f>
        <v>#REF!</v>
      </c>
      <c r="GW11" t="str">
        <f>AND(#REF!,"AAAAAHX7c8w=")</f>
        <v>#REF!</v>
      </c>
      <c r="GX11" t="str">
        <f>AND(#REF!,"AAAAAHX7c80=")</f>
        <v>#REF!</v>
      </c>
      <c r="GY11" t="str">
        <f>AND(#REF!,"AAAAAHX7c84=")</f>
        <v>#REF!</v>
      </c>
      <c r="GZ11" t="str">
        <f>AND(#REF!,"AAAAAHX7c88=")</f>
        <v>#REF!</v>
      </c>
      <c r="HA11" t="str">
        <f>AND(#REF!,"AAAAAHX7c9A=")</f>
        <v>#REF!</v>
      </c>
      <c r="HB11" t="str">
        <f>AND(#REF!,"AAAAAHX7c9E=")</f>
        <v>#REF!</v>
      </c>
      <c r="HC11" t="str">
        <f>AND(#REF!,"AAAAAHX7c9I=")</f>
        <v>#REF!</v>
      </c>
      <c r="HD11" t="str">
        <f>AND(#REF!,"AAAAAHX7c9M=")</f>
        <v>#REF!</v>
      </c>
      <c r="HE11" t="str">
        <f>AND(#REF!,"AAAAAHX7c9Q=")</f>
        <v>#REF!</v>
      </c>
      <c r="HF11" t="str">
        <f>AND(#REF!,"AAAAAHX7c9U=")</f>
        <v>#REF!</v>
      </c>
      <c r="HG11" t="str">
        <f>AND(#REF!,"AAAAAHX7c9Y=")</f>
        <v>#REF!</v>
      </c>
      <c r="HH11" t="str">
        <f>AND(#REF!,"AAAAAHX7c9c=")</f>
        <v>#REF!</v>
      </c>
      <c r="HI11" t="str">
        <f>AND(#REF!,"AAAAAHX7c9g=")</f>
        <v>#REF!</v>
      </c>
      <c r="HJ11" t="str">
        <f>AND(#REF!,"AAAAAHX7c9k=")</f>
        <v>#REF!</v>
      </c>
      <c r="HK11" t="str">
        <f>AND(#REF!,"AAAAAHX7c9o=")</f>
        <v>#REF!</v>
      </c>
      <c r="HL11" t="str">
        <f>AND(#REF!,"AAAAAHX7c9s=")</f>
        <v>#REF!</v>
      </c>
      <c r="HM11" t="str">
        <f>AND(#REF!,"AAAAAHX7c9w=")</f>
        <v>#REF!</v>
      </c>
      <c r="HN11" t="str">
        <f>AND(#REF!,"AAAAAHX7c90=")</f>
        <v>#REF!</v>
      </c>
      <c r="HO11" t="str">
        <f>AND(#REF!,"AAAAAHX7c94=")</f>
        <v>#REF!</v>
      </c>
      <c r="HP11" t="str">
        <f>AND(#REF!,"AAAAAHX7c98=")</f>
        <v>#REF!</v>
      </c>
      <c r="HQ11" t="str">
        <f>AND(#REF!,"AAAAAHX7c+A=")</f>
        <v>#REF!</v>
      </c>
      <c r="HR11" t="str">
        <f>AND(#REF!,"AAAAAHX7c+E=")</f>
        <v>#REF!</v>
      </c>
      <c r="HS11" t="str">
        <f>AND(#REF!,"AAAAAHX7c+I=")</f>
        <v>#REF!</v>
      </c>
      <c r="HT11" t="str">
        <f>AND(#REF!,"AAAAAHX7c+M=")</f>
        <v>#REF!</v>
      </c>
      <c r="HU11" t="str">
        <f>AND(#REF!,"AAAAAHX7c+Q=")</f>
        <v>#REF!</v>
      </c>
      <c r="HV11" t="str">
        <f>AND(#REF!,"AAAAAHX7c+U=")</f>
        <v>#REF!</v>
      </c>
      <c r="HW11" t="str">
        <f>AND(#REF!,"AAAAAHX7c+Y=")</f>
        <v>#REF!</v>
      </c>
      <c r="HX11" t="str">
        <f>AND(#REF!,"AAAAAHX7c+c=")</f>
        <v>#REF!</v>
      </c>
      <c r="HY11" t="str">
        <f>AND(#REF!,"AAAAAHX7c+g=")</f>
        <v>#REF!</v>
      </c>
      <c r="HZ11" t="str">
        <f>AND(#REF!,"AAAAAHX7c+k=")</f>
        <v>#REF!</v>
      </c>
      <c r="IA11" t="str">
        <f>AND(#REF!,"AAAAAHX7c+o=")</f>
        <v>#REF!</v>
      </c>
      <c r="IB11" t="str">
        <f>AND(#REF!,"AAAAAHX7c+s=")</f>
        <v>#REF!</v>
      </c>
      <c r="IC11" t="str">
        <f>AND(#REF!,"AAAAAHX7c+w=")</f>
        <v>#REF!</v>
      </c>
      <c r="ID11" t="str">
        <f>AND(#REF!,"AAAAAHX7c+0=")</f>
        <v>#REF!</v>
      </c>
      <c r="IE11" t="str">
        <f>AND(#REF!,"AAAAAHX7c+4=")</f>
        <v>#REF!</v>
      </c>
      <c r="IF11" t="str">
        <f>AND(#REF!,"AAAAAHX7c+8=")</f>
        <v>#REF!</v>
      </c>
      <c r="IG11" t="str">
        <f>AND(#REF!,"AAAAAHX7c/A=")</f>
        <v>#REF!</v>
      </c>
      <c r="IH11" t="str">
        <f>AND(#REF!,"AAAAAHX7c/E=")</f>
        <v>#REF!</v>
      </c>
      <c r="II11" t="str">
        <f>AND(#REF!,"AAAAAHX7c/I=")</f>
        <v>#REF!</v>
      </c>
      <c r="IJ11" t="str">
        <f>AND(#REF!,"AAAAAHX7c/M=")</f>
        <v>#REF!</v>
      </c>
      <c r="IK11" t="str">
        <f>AND(#REF!,"AAAAAHX7c/Q=")</f>
        <v>#REF!</v>
      </c>
      <c r="IL11" t="str">
        <f>AND(#REF!,"AAAAAHX7c/U=")</f>
        <v>#REF!</v>
      </c>
      <c r="IM11" t="str">
        <f>AND(#REF!,"AAAAAHX7c/Y=")</f>
        <v>#REF!</v>
      </c>
      <c r="IN11" t="str">
        <f>AND(#REF!,"AAAAAHX7c/c=")</f>
        <v>#REF!</v>
      </c>
      <c r="IO11" t="str">
        <f>AND(#REF!,"AAAAAHX7c/g=")</f>
        <v>#REF!</v>
      </c>
      <c r="IP11" t="str">
        <f>AND(#REF!,"AAAAAHX7c/k=")</f>
        <v>#REF!</v>
      </c>
      <c r="IQ11" t="str">
        <f>AND(#REF!,"AAAAAHX7c/o=")</f>
        <v>#REF!</v>
      </c>
      <c r="IR11" t="str">
        <f>AND(#REF!,"AAAAAHX7c/s=")</f>
        <v>#REF!</v>
      </c>
      <c r="IS11" t="str">
        <f>AND(#REF!,"AAAAAHX7c/w=")</f>
        <v>#REF!</v>
      </c>
      <c r="IT11" t="str">
        <f>AND(#REF!,"AAAAAHX7c/0=")</f>
        <v>#REF!</v>
      </c>
      <c r="IU11" t="str">
        <f>AND(#REF!,"AAAAAHX7c/4=")</f>
        <v>#REF!</v>
      </c>
      <c r="IV11" t="str">
        <f>AND(#REF!,"AAAAAHX7c/8=")</f>
        <v>#REF!</v>
      </c>
    </row>
    <row r="12">
      <c r="A12" t="str">
        <f>AND(#REF!,"AAAAADzL9wA=")</f>
        <v>#REF!</v>
      </c>
      <c r="B12" t="str">
        <f>AND(#REF!,"AAAAADzL9wE=")</f>
        <v>#REF!</v>
      </c>
      <c r="C12" t="str">
        <f>AND(#REF!,"AAAAADzL9wI=")</f>
        <v>#REF!</v>
      </c>
      <c r="D12" t="str">
        <f>IF(#REF!,"AAAAADzL9wM=",0)</f>
        <v>#REF!</v>
      </c>
      <c r="E12" t="str">
        <f>AND(#REF!,"AAAAADzL9wQ=")</f>
        <v>#REF!</v>
      </c>
      <c r="F12" t="str">
        <f>AND(#REF!,"AAAAADzL9wU=")</f>
        <v>#REF!</v>
      </c>
      <c r="G12" t="str">
        <f>AND(#REF!,"AAAAADzL9wY=")</f>
        <v>#REF!</v>
      </c>
      <c r="H12" t="str">
        <f>AND(#REF!,"AAAAADzL9wc=")</f>
        <v>#REF!</v>
      </c>
      <c r="I12" t="str">
        <f>AND(#REF!,"AAAAADzL9wg=")</f>
        <v>#REF!</v>
      </c>
      <c r="J12" t="str">
        <f>AND(#REF!,"AAAAADzL9wk=")</f>
        <v>#REF!</v>
      </c>
      <c r="K12" t="str">
        <f>AND(#REF!,"AAAAADzL9wo=")</f>
        <v>#REF!</v>
      </c>
      <c r="L12" t="str">
        <f>AND(#REF!,"AAAAADzL9ws=")</f>
        <v>#REF!</v>
      </c>
      <c r="M12" t="str">
        <f>AND(#REF!,"AAAAADzL9ww=")</f>
        <v>#REF!</v>
      </c>
      <c r="N12" t="str">
        <f>AND(#REF!,"AAAAADzL9w0=")</f>
        <v>#REF!</v>
      </c>
      <c r="O12" t="str">
        <f>AND(#REF!,"AAAAADzL9w4=")</f>
        <v>#REF!</v>
      </c>
      <c r="P12" t="str">
        <f>AND(#REF!,"AAAAADzL9w8=")</f>
        <v>#REF!</v>
      </c>
      <c r="Q12" t="str">
        <f>AND(#REF!,"AAAAADzL9xA=")</f>
        <v>#REF!</v>
      </c>
      <c r="R12" t="str">
        <f>AND(#REF!,"AAAAADzL9xE=")</f>
        <v>#REF!</v>
      </c>
      <c r="S12" t="str">
        <f>AND(#REF!,"AAAAADzL9xI=")</f>
        <v>#REF!</v>
      </c>
      <c r="T12" t="str">
        <f>AND(#REF!,"AAAAADzL9xM=")</f>
        <v>#REF!</v>
      </c>
      <c r="U12" t="str">
        <f>AND(#REF!,"AAAAADzL9xQ=")</f>
        <v>#REF!</v>
      </c>
      <c r="V12" t="str">
        <f>AND(#REF!,"AAAAADzL9xU=")</f>
        <v>#REF!</v>
      </c>
      <c r="W12" t="str">
        <f>AND(#REF!,"AAAAADzL9xY=")</f>
        <v>#REF!</v>
      </c>
      <c r="X12" t="str">
        <f>AND(#REF!,"AAAAADzL9xc=")</f>
        <v>#REF!</v>
      </c>
      <c r="Y12" t="str">
        <f>AND(#REF!,"AAAAADzL9xg=")</f>
        <v>#REF!</v>
      </c>
      <c r="Z12" t="str">
        <f>AND(#REF!,"AAAAADzL9xk=")</f>
        <v>#REF!</v>
      </c>
      <c r="AA12" t="str">
        <f>AND(#REF!,"AAAAADzL9xo=")</f>
        <v>#REF!</v>
      </c>
      <c r="AB12" t="str">
        <f>AND(#REF!,"AAAAADzL9xs=")</f>
        <v>#REF!</v>
      </c>
      <c r="AC12" t="str">
        <f>AND(#REF!,"AAAAADzL9xw=")</f>
        <v>#REF!</v>
      </c>
      <c r="AD12" t="str">
        <f>AND(#REF!,"AAAAADzL9x0=")</f>
        <v>#REF!</v>
      </c>
      <c r="AE12" t="str">
        <f>AND(#REF!,"AAAAADzL9x4=")</f>
        <v>#REF!</v>
      </c>
      <c r="AF12" t="str">
        <f>AND(#REF!,"AAAAADzL9x8=")</f>
        <v>#REF!</v>
      </c>
      <c r="AG12" t="str">
        <f>AND(#REF!,"AAAAADzL9yA=")</f>
        <v>#REF!</v>
      </c>
      <c r="AH12" t="str">
        <f>AND(#REF!,"AAAAADzL9yE=")</f>
        <v>#REF!</v>
      </c>
      <c r="AI12" t="str">
        <f>AND(#REF!,"AAAAADzL9yI=")</f>
        <v>#REF!</v>
      </c>
      <c r="AJ12" t="str">
        <f>AND(#REF!,"AAAAADzL9yM=")</f>
        <v>#REF!</v>
      </c>
      <c r="AK12" t="str">
        <f>AND(#REF!,"AAAAADzL9yQ=")</f>
        <v>#REF!</v>
      </c>
      <c r="AL12" t="str">
        <f>AND(#REF!,"AAAAADzL9yU=")</f>
        <v>#REF!</v>
      </c>
      <c r="AM12" t="str">
        <f>AND(#REF!,"AAAAADzL9yY=")</f>
        <v>#REF!</v>
      </c>
      <c r="AN12" t="str">
        <f>AND(#REF!,"AAAAADzL9yc=")</f>
        <v>#REF!</v>
      </c>
      <c r="AO12" t="str">
        <f>AND(#REF!,"AAAAADzL9yg=")</f>
        <v>#REF!</v>
      </c>
      <c r="AP12" t="str">
        <f>AND(#REF!,"AAAAADzL9yk=")</f>
        <v>#REF!</v>
      </c>
      <c r="AQ12" t="str">
        <f>AND(#REF!,"AAAAADzL9yo=")</f>
        <v>#REF!</v>
      </c>
      <c r="AR12" t="str">
        <f>AND(#REF!,"AAAAADzL9ys=")</f>
        <v>#REF!</v>
      </c>
      <c r="AS12" t="str">
        <f>AND(#REF!,"AAAAADzL9yw=")</f>
        <v>#REF!</v>
      </c>
      <c r="AT12" t="str">
        <f>AND(#REF!,"AAAAADzL9y0=")</f>
        <v>#REF!</v>
      </c>
      <c r="AU12" t="str">
        <f>AND(#REF!,"AAAAADzL9y4=")</f>
        <v>#REF!</v>
      </c>
      <c r="AV12" t="str">
        <f>AND(#REF!,"AAAAADzL9y8=")</f>
        <v>#REF!</v>
      </c>
      <c r="AW12" t="str">
        <f>AND(#REF!,"AAAAADzL9zA=")</f>
        <v>#REF!</v>
      </c>
      <c r="AX12" t="str">
        <f>AND(#REF!,"AAAAADzL9zE=")</f>
        <v>#REF!</v>
      </c>
      <c r="AY12" t="str">
        <f>AND(#REF!,"AAAAADzL9zI=")</f>
        <v>#REF!</v>
      </c>
      <c r="AZ12" t="str">
        <f>AND(#REF!,"AAAAADzL9zM=")</f>
        <v>#REF!</v>
      </c>
      <c r="BA12" t="str">
        <f>AND(#REF!,"AAAAADzL9zQ=")</f>
        <v>#REF!</v>
      </c>
      <c r="BB12" t="str">
        <f>AND(#REF!,"AAAAADzL9zU=")</f>
        <v>#REF!</v>
      </c>
      <c r="BC12" t="str">
        <f>AND(#REF!,"AAAAADzL9zY=")</f>
        <v>#REF!</v>
      </c>
      <c r="BD12" t="str">
        <f>AND(#REF!,"AAAAADzL9zc=")</f>
        <v>#REF!</v>
      </c>
      <c r="BE12" t="str">
        <f>AND(#REF!,"AAAAADzL9zg=")</f>
        <v>#REF!</v>
      </c>
      <c r="BF12" t="str">
        <f>AND(#REF!,"AAAAADzL9zk=")</f>
        <v>#REF!</v>
      </c>
      <c r="BG12" t="str">
        <f>AND(#REF!,"AAAAADzL9zo=")</f>
        <v>#REF!</v>
      </c>
      <c r="BH12" t="str">
        <f>AND(#REF!,"AAAAADzL9zs=")</f>
        <v>#REF!</v>
      </c>
      <c r="BI12" t="str">
        <f>AND(#REF!,"AAAAADzL9zw=")</f>
        <v>#REF!</v>
      </c>
      <c r="BJ12" t="str">
        <f>AND(#REF!,"AAAAADzL9z0=")</f>
        <v>#REF!</v>
      </c>
      <c r="BK12" t="str">
        <f>AND(#REF!,"AAAAADzL9z4=")</f>
        <v>#REF!</v>
      </c>
      <c r="BL12" t="str">
        <f>AND(#REF!,"AAAAADzL9z8=")</f>
        <v>#REF!</v>
      </c>
      <c r="BM12" t="str">
        <f>AND(#REF!,"AAAAADzL90A=")</f>
        <v>#REF!</v>
      </c>
      <c r="BN12" t="str">
        <f>AND(#REF!,"AAAAADzL90E=")</f>
        <v>#REF!</v>
      </c>
      <c r="BO12" t="str">
        <f>AND(#REF!,"AAAAADzL90I=")</f>
        <v>#REF!</v>
      </c>
      <c r="BP12" t="str">
        <f>AND(#REF!,"AAAAADzL90M=")</f>
        <v>#REF!</v>
      </c>
      <c r="BQ12" t="str">
        <f>AND(#REF!,"AAAAADzL90Q=")</f>
        <v>#REF!</v>
      </c>
      <c r="BR12" t="str">
        <f>AND(#REF!,"AAAAADzL90U=")</f>
        <v>#REF!</v>
      </c>
      <c r="BS12" t="str">
        <f>AND(#REF!,"AAAAADzL90Y=")</f>
        <v>#REF!</v>
      </c>
      <c r="BT12" t="str">
        <f>AND(#REF!,"AAAAADzL90c=")</f>
        <v>#REF!</v>
      </c>
      <c r="BU12" t="str">
        <f>AND(#REF!,"AAAAADzL90g=")</f>
        <v>#REF!</v>
      </c>
      <c r="BV12" t="str">
        <f>AND(#REF!,"AAAAADzL90k=")</f>
        <v>#REF!</v>
      </c>
      <c r="BW12" t="str">
        <f>AND(#REF!,"AAAAADzL90o=")</f>
        <v>#REF!</v>
      </c>
      <c r="BX12" t="str">
        <f>AND(#REF!,"AAAAADzL90s=")</f>
        <v>#REF!</v>
      </c>
      <c r="BY12" t="str">
        <f>AND(#REF!,"AAAAADzL90w=")</f>
        <v>#REF!</v>
      </c>
      <c r="BZ12" t="str">
        <f>AND(#REF!,"AAAAADzL900=")</f>
        <v>#REF!</v>
      </c>
      <c r="CA12" t="str">
        <f>AND(#REF!,"AAAAADzL904=")</f>
        <v>#REF!</v>
      </c>
      <c r="CB12" t="str">
        <f>IF(#REF!,"AAAAADzL908=",0)</f>
        <v>#REF!</v>
      </c>
      <c r="CC12" t="str">
        <f>AND(#REF!,"AAAAADzL91A=")</f>
        <v>#REF!</v>
      </c>
      <c r="CD12" t="str">
        <f>AND(#REF!,"AAAAADzL91E=")</f>
        <v>#REF!</v>
      </c>
      <c r="CE12" t="str">
        <f>AND(#REF!,"AAAAADzL91I=")</f>
        <v>#REF!</v>
      </c>
      <c r="CF12" t="str">
        <f>AND(#REF!,"AAAAADzL91M=")</f>
        <v>#REF!</v>
      </c>
      <c r="CG12" t="str">
        <f>AND(#REF!,"AAAAADzL91Q=")</f>
        <v>#REF!</v>
      </c>
      <c r="CH12" t="str">
        <f>AND(#REF!,"AAAAADzL91U=")</f>
        <v>#REF!</v>
      </c>
      <c r="CI12" t="str">
        <f>AND(#REF!,"AAAAADzL91Y=")</f>
        <v>#REF!</v>
      </c>
      <c r="CJ12" t="str">
        <f>AND(#REF!,"AAAAADzL91c=")</f>
        <v>#REF!</v>
      </c>
      <c r="CK12" t="str">
        <f>AND(#REF!,"AAAAADzL91g=")</f>
        <v>#REF!</v>
      </c>
      <c r="CL12" t="str">
        <f>AND(#REF!,"AAAAADzL91k=")</f>
        <v>#REF!</v>
      </c>
      <c r="CM12" t="str">
        <f>AND(#REF!,"AAAAADzL91o=")</f>
        <v>#REF!</v>
      </c>
      <c r="CN12" t="str">
        <f>AND(#REF!,"AAAAADzL91s=")</f>
        <v>#REF!</v>
      </c>
      <c r="CO12" t="str">
        <f>AND(#REF!,"AAAAADzL91w=")</f>
        <v>#REF!</v>
      </c>
      <c r="CP12" t="str">
        <f>AND(#REF!,"AAAAADzL910=")</f>
        <v>#REF!</v>
      </c>
      <c r="CQ12" t="str">
        <f>AND(#REF!,"AAAAADzL914=")</f>
        <v>#REF!</v>
      </c>
      <c r="CR12" t="str">
        <f>AND(#REF!,"AAAAADzL918=")</f>
        <v>#REF!</v>
      </c>
      <c r="CS12" t="str">
        <f>AND(#REF!,"AAAAADzL92A=")</f>
        <v>#REF!</v>
      </c>
      <c r="CT12" t="str">
        <f>AND(#REF!,"AAAAADzL92E=")</f>
        <v>#REF!</v>
      </c>
      <c r="CU12" t="str">
        <f>AND(#REF!,"AAAAADzL92I=")</f>
        <v>#REF!</v>
      </c>
      <c r="CV12" t="str">
        <f>AND(#REF!,"AAAAADzL92M=")</f>
        <v>#REF!</v>
      </c>
      <c r="CW12" t="str">
        <f>AND(#REF!,"AAAAADzL92Q=")</f>
        <v>#REF!</v>
      </c>
      <c r="CX12" t="str">
        <f>AND(#REF!,"AAAAADzL92U=")</f>
        <v>#REF!</v>
      </c>
      <c r="CY12" t="str">
        <f>AND(#REF!,"AAAAADzL92Y=")</f>
        <v>#REF!</v>
      </c>
      <c r="CZ12" t="str">
        <f>AND(#REF!,"AAAAADzL92c=")</f>
        <v>#REF!</v>
      </c>
      <c r="DA12" t="str">
        <f>AND(#REF!,"AAAAADzL92g=")</f>
        <v>#REF!</v>
      </c>
      <c r="DB12" t="str">
        <f>AND(#REF!,"AAAAADzL92k=")</f>
        <v>#REF!</v>
      </c>
      <c r="DC12" t="str">
        <f>AND(#REF!,"AAAAADzL92o=")</f>
        <v>#REF!</v>
      </c>
      <c r="DD12" t="str">
        <f>AND(#REF!,"AAAAADzL92s=")</f>
        <v>#REF!</v>
      </c>
      <c r="DE12" t="str">
        <f>AND(#REF!,"AAAAADzL92w=")</f>
        <v>#REF!</v>
      </c>
      <c r="DF12" t="str">
        <f>AND(#REF!,"AAAAADzL920=")</f>
        <v>#REF!</v>
      </c>
      <c r="DG12" t="str">
        <f>AND(#REF!,"AAAAADzL924=")</f>
        <v>#REF!</v>
      </c>
      <c r="DH12" t="str">
        <f>AND(#REF!,"AAAAADzL928=")</f>
        <v>#REF!</v>
      </c>
      <c r="DI12" t="str">
        <f>AND(#REF!,"AAAAADzL93A=")</f>
        <v>#REF!</v>
      </c>
      <c r="DJ12" t="str">
        <f>AND(#REF!,"AAAAADzL93E=")</f>
        <v>#REF!</v>
      </c>
      <c r="DK12" t="str">
        <f>AND(#REF!,"AAAAADzL93I=")</f>
        <v>#REF!</v>
      </c>
      <c r="DL12" t="str">
        <f>AND(#REF!,"AAAAADzL93M=")</f>
        <v>#REF!</v>
      </c>
      <c r="DM12" t="str">
        <f>AND(#REF!,"AAAAADzL93Q=")</f>
        <v>#REF!</v>
      </c>
      <c r="DN12" t="str">
        <f>AND(#REF!,"AAAAADzL93U=")</f>
        <v>#REF!</v>
      </c>
      <c r="DO12" t="str">
        <f>AND(#REF!,"AAAAADzL93Y=")</f>
        <v>#REF!</v>
      </c>
      <c r="DP12" t="str">
        <f>AND(#REF!,"AAAAADzL93c=")</f>
        <v>#REF!</v>
      </c>
      <c r="DQ12" t="str">
        <f>AND(#REF!,"AAAAADzL93g=")</f>
        <v>#REF!</v>
      </c>
      <c r="DR12" t="str">
        <f>AND(#REF!,"AAAAADzL93k=")</f>
        <v>#REF!</v>
      </c>
      <c r="DS12" t="str">
        <f>AND(#REF!,"AAAAADzL93o=")</f>
        <v>#REF!</v>
      </c>
      <c r="DT12" t="str">
        <f>AND(#REF!,"AAAAADzL93s=")</f>
        <v>#REF!</v>
      </c>
      <c r="DU12" t="str">
        <f>AND(#REF!,"AAAAADzL93w=")</f>
        <v>#REF!</v>
      </c>
      <c r="DV12" t="str">
        <f>AND(#REF!,"AAAAADzL930=")</f>
        <v>#REF!</v>
      </c>
      <c r="DW12" t="str">
        <f>AND(#REF!,"AAAAADzL934=")</f>
        <v>#REF!</v>
      </c>
      <c r="DX12" t="str">
        <f>AND(#REF!,"AAAAADzL938=")</f>
        <v>#REF!</v>
      </c>
      <c r="DY12" t="str">
        <f>AND(#REF!,"AAAAADzL94A=")</f>
        <v>#REF!</v>
      </c>
      <c r="DZ12" t="str">
        <f>AND(#REF!,"AAAAADzL94E=")</f>
        <v>#REF!</v>
      </c>
      <c r="EA12" t="str">
        <f>AND(#REF!,"AAAAADzL94I=")</f>
        <v>#REF!</v>
      </c>
      <c r="EB12" t="str">
        <f>AND(#REF!,"AAAAADzL94M=")</f>
        <v>#REF!</v>
      </c>
      <c r="EC12" t="str">
        <f>AND(#REF!,"AAAAADzL94Q=")</f>
        <v>#REF!</v>
      </c>
      <c r="ED12" t="str">
        <f>AND(#REF!,"AAAAADzL94U=")</f>
        <v>#REF!</v>
      </c>
      <c r="EE12" t="str">
        <f>AND(#REF!,"AAAAADzL94Y=")</f>
        <v>#REF!</v>
      </c>
      <c r="EF12" t="str">
        <f>AND(#REF!,"AAAAADzL94c=")</f>
        <v>#REF!</v>
      </c>
      <c r="EG12" t="str">
        <f>AND(#REF!,"AAAAADzL94g=")</f>
        <v>#REF!</v>
      </c>
      <c r="EH12" t="str">
        <f>AND(#REF!,"AAAAADzL94k=")</f>
        <v>#REF!</v>
      </c>
      <c r="EI12" t="str">
        <f>AND(#REF!,"AAAAADzL94o=")</f>
        <v>#REF!</v>
      </c>
      <c r="EJ12" t="str">
        <f>AND(#REF!,"AAAAADzL94s=")</f>
        <v>#REF!</v>
      </c>
      <c r="EK12" t="str">
        <f>AND(#REF!,"AAAAADzL94w=")</f>
        <v>#REF!</v>
      </c>
      <c r="EL12" t="str">
        <f>AND(#REF!,"AAAAADzL940=")</f>
        <v>#REF!</v>
      </c>
      <c r="EM12" t="str">
        <f>AND(#REF!,"AAAAADzL944=")</f>
        <v>#REF!</v>
      </c>
      <c r="EN12" t="str">
        <f>AND(#REF!,"AAAAADzL948=")</f>
        <v>#REF!</v>
      </c>
      <c r="EO12" t="str">
        <f>AND(#REF!,"AAAAADzL95A=")</f>
        <v>#REF!</v>
      </c>
      <c r="EP12" t="str">
        <f>AND(#REF!,"AAAAADzL95E=")</f>
        <v>#REF!</v>
      </c>
      <c r="EQ12" t="str">
        <f>AND(#REF!,"AAAAADzL95I=")</f>
        <v>#REF!</v>
      </c>
      <c r="ER12" t="str">
        <f>AND(#REF!,"AAAAADzL95M=")</f>
        <v>#REF!</v>
      </c>
      <c r="ES12" t="str">
        <f>AND(#REF!,"AAAAADzL95Q=")</f>
        <v>#REF!</v>
      </c>
      <c r="ET12" t="str">
        <f>AND(#REF!,"AAAAADzL95U=")</f>
        <v>#REF!</v>
      </c>
      <c r="EU12" t="str">
        <f>AND(#REF!,"AAAAADzL95Y=")</f>
        <v>#REF!</v>
      </c>
      <c r="EV12" t="str">
        <f>AND(#REF!,"AAAAADzL95c=")</f>
        <v>#REF!</v>
      </c>
      <c r="EW12" t="str">
        <f>AND(#REF!,"AAAAADzL95g=")</f>
        <v>#REF!</v>
      </c>
      <c r="EX12" t="str">
        <f>AND(#REF!,"AAAAADzL95k=")</f>
        <v>#REF!</v>
      </c>
      <c r="EY12" t="str">
        <f>AND(#REF!,"AAAAADzL95o=")</f>
        <v>#REF!</v>
      </c>
      <c r="EZ12" t="str">
        <f>IF(#REF!,"AAAAADzL95s=",0)</f>
        <v>#REF!</v>
      </c>
      <c r="FA12" t="str">
        <f>AND(#REF!,"AAAAADzL95w=")</f>
        <v>#REF!</v>
      </c>
      <c r="FB12" t="str">
        <f>AND(#REF!,"AAAAADzL950=")</f>
        <v>#REF!</v>
      </c>
      <c r="FC12" t="str">
        <f>AND(#REF!,"AAAAADzL954=")</f>
        <v>#REF!</v>
      </c>
      <c r="FD12" t="str">
        <f>AND(#REF!,"AAAAADzL958=")</f>
        <v>#REF!</v>
      </c>
      <c r="FE12" t="str">
        <f>AND(#REF!,"AAAAADzL96A=")</f>
        <v>#REF!</v>
      </c>
      <c r="FF12" t="str">
        <f>AND(#REF!,"AAAAADzL96E=")</f>
        <v>#REF!</v>
      </c>
      <c r="FG12" t="str">
        <f>AND(#REF!,"AAAAADzL96I=")</f>
        <v>#REF!</v>
      </c>
      <c r="FH12" t="str">
        <f>AND(#REF!,"AAAAADzL96M=")</f>
        <v>#REF!</v>
      </c>
      <c r="FI12" t="str">
        <f>AND(#REF!,"AAAAADzL96Q=")</f>
        <v>#REF!</v>
      </c>
      <c r="FJ12" t="str">
        <f>AND(#REF!,"AAAAADzL96U=")</f>
        <v>#REF!</v>
      </c>
      <c r="FK12" t="str">
        <f>AND(#REF!,"AAAAADzL96Y=")</f>
        <v>#REF!</v>
      </c>
      <c r="FL12" t="str">
        <f>AND(#REF!,"AAAAADzL96c=")</f>
        <v>#REF!</v>
      </c>
      <c r="FM12" t="str">
        <f>AND(#REF!,"AAAAADzL96g=")</f>
        <v>#REF!</v>
      </c>
      <c r="FN12" t="str">
        <f>AND(#REF!,"AAAAADzL96k=")</f>
        <v>#REF!</v>
      </c>
      <c r="FO12" t="str">
        <f>AND(#REF!,"AAAAADzL96o=")</f>
        <v>#REF!</v>
      </c>
      <c r="FP12" t="str">
        <f>AND(#REF!,"AAAAADzL96s=")</f>
        <v>#REF!</v>
      </c>
      <c r="FQ12" t="str">
        <f>AND(#REF!,"AAAAADzL96w=")</f>
        <v>#REF!</v>
      </c>
      <c r="FR12" t="str">
        <f>AND(#REF!,"AAAAADzL960=")</f>
        <v>#REF!</v>
      </c>
      <c r="FS12" t="str">
        <f>AND(#REF!,"AAAAADzL964=")</f>
        <v>#REF!</v>
      </c>
      <c r="FT12" t="str">
        <f>AND(#REF!,"AAAAADzL968=")</f>
        <v>#REF!</v>
      </c>
      <c r="FU12" t="str">
        <f>AND(#REF!,"AAAAADzL97A=")</f>
        <v>#REF!</v>
      </c>
      <c r="FV12" t="str">
        <f>AND(#REF!,"AAAAADzL97E=")</f>
        <v>#REF!</v>
      </c>
      <c r="FW12" t="str">
        <f>AND(#REF!,"AAAAADzL97I=")</f>
        <v>#REF!</v>
      </c>
      <c r="FX12" t="str">
        <f>AND(#REF!,"AAAAADzL97M=")</f>
        <v>#REF!</v>
      </c>
      <c r="FY12" t="str">
        <f>AND(#REF!,"AAAAADzL97Q=")</f>
        <v>#REF!</v>
      </c>
      <c r="FZ12" t="str">
        <f>AND(#REF!,"AAAAADzL97U=")</f>
        <v>#REF!</v>
      </c>
      <c r="GA12" t="str">
        <f>AND(#REF!,"AAAAADzL97Y=")</f>
        <v>#REF!</v>
      </c>
      <c r="GB12" t="str">
        <f>AND(#REF!,"AAAAADzL97c=")</f>
        <v>#REF!</v>
      </c>
      <c r="GC12" t="str">
        <f>AND(#REF!,"AAAAADzL97g=")</f>
        <v>#REF!</v>
      </c>
      <c r="GD12" t="str">
        <f>AND(#REF!,"AAAAADzL97k=")</f>
        <v>#REF!</v>
      </c>
      <c r="GE12" t="str">
        <f>AND(#REF!,"AAAAADzL97o=")</f>
        <v>#REF!</v>
      </c>
      <c r="GF12" t="str">
        <f>AND(#REF!,"AAAAADzL97s=")</f>
        <v>#REF!</v>
      </c>
      <c r="GG12" t="str">
        <f>AND(#REF!,"AAAAADzL97w=")</f>
        <v>#REF!</v>
      </c>
      <c r="GH12" t="str">
        <f>AND(#REF!,"AAAAADzL970=")</f>
        <v>#REF!</v>
      </c>
      <c r="GI12" t="str">
        <f>AND(#REF!,"AAAAADzL974=")</f>
        <v>#REF!</v>
      </c>
      <c r="GJ12" t="str">
        <f>AND(#REF!,"AAAAADzL978=")</f>
        <v>#REF!</v>
      </c>
      <c r="GK12" t="str">
        <f>AND(#REF!,"AAAAADzL98A=")</f>
        <v>#REF!</v>
      </c>
      <c r="GL12" t="str">
        <f>AND(#REF!,"AAAAADzL98E=")</f>
        <v>#REF!</v>
      </c>
      <c r="GM12" t="str">
        <f>AND(#REF!,"AAAAADzL98I=")</f>
        <v>#REF!</v>
      </c>
      <c r="GN12" t="str">
        <f>AND(#REF!,"AAAAADzL98M=")</f>
        <v>#REF!</v>
      </c>
      <c r="GO12" t="str">
        <f>AND(#REF!,"AAAAADzL98Q=")</f>
        <v>#REF!</v>
      </c>
      <c r="GP12" t="str">
        <f>AND(#REF!,"AAAAADzL98U=")</f>
        <v>#REF!</v>
      </c>
      <c r="GQ12" t="str">
        <f>AND(#REF!,"AAAAADzL98Y=")</f>
        <v>#REF!</v>
      </c>
      <c r="GR12" t="str">
        <f>AND(#REF!,"AAAAADzL98c=")</f>
        <v>#REF!</v>
      </c>
      <c r="GS12" t="str">
        <f>AND(#REF!,"AAAAADzL98g=")</f>
        <v>#REF!</v>
      </c>
      <c r="GT12" t="str">
        <f>AND(#REF!,"AAAAADzL98k=")</f>
        <v>#REF!</v>
      </c>
      <c r="GU12" t="str">
        <f>AND(#REF!,"AAAAADzL98o=")</f>
        <v>#REF!</v>
      </c>
      <c r="GV12" t="str">
        <f>AND(#REF!,"AAAAADzL98s=")</f>
        <v>#REF!</v>
      </c>
      <c r="GW12" t="str">
        <f>AND(#REF!,"AAAAADzL98w=")</f>
        <v>#REF!</v>
      </c>
      <c r="GX12" t="str">
        <f>AND(#REF!,"AAAAADzL980=")</f>
        <v>#REF!</v>
      </c>
      <c r="GY12" t="str">
        <f>AND(#REF!,"AAAAADzL984=")</f>
        <v>#REF!</v>
      </c>
      <c r="GZ12" t="str">
        <f>AND(#REF!,"AAAAADzL988=")</f>
        <v>#REF!</v>
      </c>
      <c r="HA12" t="str">
        <f>AND(#REF!,"AAAAADzL99A=")</f>
        <v>#REF!</v>
      </c>
      <c r="HB12" t="str">
        <f>AND(#REF!,"AAAAADzL99E=")</f>
        <v>#REF!</v>
      </c>
      <c r="HC12" t="str">
        <f>AND(#REF!,"AAAAADzL99I=")</f>
        <v>#REF!</v>
      </c>
      <c r="HD12" t="str">
        <f>AND(#REF!,"AAAAADzL99M=")</f>
        <v>#REF!</v>
      </c>
      <c r="HE12" t="str">
        <f>AND(#REF!,"AAAAADzL99Q=")</f>
        <v>#REF!</v>
      </c>
      <c r="HF12" t="str">
        <f>AND(#REF!,"AAAAADzL99U=")</f>
        <v>#REF!</v>
      </c>
      <c r="HG12" t="str">
        <f>AND(#REF!,"AAAAADzL99Y=")</f>
        <v>#REF!</v>
      </c>
      <c r="HH12" t="str">
        <f>AND(#REF!,"AAAAADzL99c=")</f>
        <v>#REF!</v>
      </c>
      <c r="HI12" t="str">
        <f>AND(#REF!,"AAAAADzL99g=")</f>
        <v>#REF!</v>
      </c>
      <c r="HJ12" t="str">
        <f>AND(#REF!,"AAAAADzL99k=")</f>
        <v>#REF!</v>
      </c>
      <c r="HK12" t="str">
        <f>AND(#REF!,"AAAAADzL99o=")</f>
        <v>#REF!</v>
      </c>
      <c r="HL12" t="str">
        <f>AND(#REF!,"AAAAADzL99s=")</f>
        <v>#REF!</v>
      </c>
      <c r="HM12" t="str">
        <f>AND(#REF!,"AAAAADzL99w=")</f>
        <v>#REF!</v>
      </c>
      <c r="HN12" t="str">
        <f>AND(#REF!,"AAAAADzL990=")</f>
        <v>#REF!</v>
      </c>
      <c r="HO12" t="str">
        <f>AND(#REF!,"AAAAADzL994=")</f>
        <v>#REF!</v>
      </c>
      <c r="HP12" t="str">
        <f>AND(#REF!,"AAAAADzL998=")</f>
        <v>#REF!</v>
      </c>
      <c r="HQ12" t="str">
        <f>AND(#REF!,"AAAAADzL9+A=")</f>
        <v>#REF!</v>
      </c>
      <c r="HR12" t="str">
        <f>AND(#REF!,"AAAAADzL9+E=")</f>
        <v>#REF!</v>
      </c>
      <c r="HS12" t="str">
        <f>AND(#REF!,"AAAAADzL9+I=")</f>
        <v>#REF!</v>
      </c>
      <c r="HT12" t="str">
        <f>AND(#REF!,"AAAAADzL9+M=")</f>
        <v>#REF!</v>
      </c>
      <c r="HU12" t="str">
        <f>AND(#REF!,"AAAAADzL9+Q=")</f>
        <v>#REF!</v>
      </c>
      <c r="HV12" t="str">
        <f>AND(#REF!,"AAAAADzL9+U=")</f>
        <v>#REF!</v>
      </c>
      <c r="HW12" t="str">
        <f>AND(#REF!,"AAAAADzL9+Y=")</f>
        <v>#REF!</v>
      </c>
      <c r="HX12" t="str">
        <f>IF(#REF!,"AAAAADzL9+c=",0)</f>
        <v>#REF!</v>
      </c>
      <c r="HY12" t="str">
        <f>AND(#REF!,"AAAAADzL9+g=")</f>
        <v>#REF!</v>
      </c>
      <c r="HZ12" t="str">
        <f>AND(#REF!,"AAAAADzL9+k=")</f>
        <v>#REF!</v>
      </c>
      <c r="IA12" t="str">
        <f>AND(#REF!,"AAAAADzL9+o=")</f>
        <v>#REF!</v>
      </c>
      <c r="IB12" t="str">
        <f>AND(#REF!,"AAAAADzL9+s=")</f>
        <v>#REF!</v>
      </c>
      <c r="IC12" t="str">
        <f>AND(#REF!,"AAAAADzL9+w=")</f>
        <v>#REF!</v>
      </c>
      <c r="ID12" t="str">
        <f>AND(#REF!,"AAAAADzL9+0=")</f>
        <v>#REF!</v>
      </c>
      <c r="IE12" t="str">
        <f>AND(#REF!,"AAAAADzL9+4=")</f>
        <v>#REF!</v>
      </c>
      <c r="IF12" t="str">
        <f>AND(#REF!,"AAAAADzL9+8=")</f>
        <v>#REF!</v>
      </c>
      <c r="IG12" t="str">
        <f>AND(#REF!,"AAAAADzL9/A=")</f>
        <v>#REF!</v>
      </c>
      <c r="IH12" t="str">
        <f>AND(#REF!,"AAAAADzL9/E=")</f>
        <v>#REF!</v>
      </c>
      <c r="II12" t="str">
        <f>AND(#REF!,"AAAAADzL9/I=")</f>
        <v>#REF!</v>
      </c>
      <c r="IJ12" t="str">
        <f>AND(#REF!,"AAAAADzL9/M=")</f>
        <v>#REF!</v>
      </c>
      <c r="IK12" t="str">
        <f>AND(#REF!,"AAAAADzL9/Q=")</f>
        <v>#REF!</v>
      </c>
      <c r="IL12" t="str">
        <f>AND(#REF!,"AAAAADzL9/U=")</f>
        <v>#REF!</v>
      </c>
      <c r="IM12" t="str">
        <f>AND(#REF!,"AAAAADzL9/Y=")</f>
        <v>#REF!</v>
      </c>
      <c r="IN12" t="str">
        <f>AND(#REF!,"AAAAADzL9/c=")</f>
        <v>#REF!</v>
      </c>
      <c r="IO12" t="str">
        <f>AND(#REF!,"AAAAADzL9/g=")</f>
        <v>#REF!</v>
      </c>
      <c r="IP12" t="str">
        <f>AND(#REF!,"AAAAADzL9/k=")</f>
        <v>#REF!</v>
      </c>
      <c r="IQ12" t="str">
        <f>AND(#REF!,"AAAAADzL9/o=")</f>
        <v>#REF!</v>
      </c>
      <c r="IR12" t="str">
        <f>AND(#REF!,"AAAAADzL9/s=")</f>
        <v>#REF!</v>
      </c>
      <c r="IS12" t="str">
        <f>AND(#REF!,"AAAAADzL9/w=")</f>
        <v>#REF!</v>
      </c>
      <c r="IT12" t="str">
        <f>AND(#REF!,"AAAAADzL9/0=")</f>
        <v>#REF!</v>
      </c>
      <c r="IU12" t="str">
        <f>AND(#REF!,"AAAAADzL9/4=")</f>
        <v>#REF!</v>
      </c>
      <c r="IV12" t="str">
        <f>AND(#REF!,"AAAAADzL9/8=")</f>
        <v>#REF!</v>
      </c>
    </row>
    <row r="13">
      <c r="A13" t="str">
        <f>AND(#REF!,"AAAAAF3/vQA=")</f>
        <v>#REF!</v>
      </c>
      <c r="B13" t="str">
        <f>AND(#REF!,"AAAAAF3/vQE=")</f>
        <v>#REF!</v>
      </c>
      <c r="C13" t="str">
        <f>AND(#REF!,"AAAAAF3/vQI=")</f>
        <v>#REF!</v>
      </c>
      <c r="D13" t="str">
        <f>AND(#REF!,"AAAAAF3/vQM=")</f>
        <v>#REF!</v>
      </c>
      <c r="E13" t="str">
        <f>AND(#REF!,"AAAAAF3/vQQ=")</f>
        <v>#REF!</v>
      </c>
      <c r="F13" t="str">
        <f>AND(#REF!,"AAAAAF3/vQU=")</f>
        <v>#REF!</v>
      </c>
      <c r="G13" t="str">
        <f>AND(#REF!,"AAAAAF3/vQY=")</f>
        <v>#REF!</v>
      </c>
      <c r="H13" t="str">
        <f>AND(#REF!,"AAAAAF3/vQc=")</f>
        <v>#REF!</v>
      </c>
      <c r="I13" t="str">
        <f>AND(#REF!,"AAAAAF3/vQg=")</f>
        <v>#REF!</v>
      </c>
      <c r="J13" t="str">
        <f>AND(#REF!,"AAAAAF3/vQk=")</f>
        <v>#REF!</v>
      </c>
      <c r="K13" t="str">
        <f>AND(#REF!,"AAAAAF3/vQo=")</f>
        <v>#REF!</v>
      </c>
      <c r="L13" t="str">
        <f>AND(#REF!,"AAAAAF3/vQs=")</f>
        <v>#REF!</v>
      </c>
      <c r="M13" t="str">
        <f>AND(#REF!,"AAAAAF3/vQw=")</f>
        <v>#REF!</v>
      </c>
      <c r="N13" t="str">
        <f>AND(#REF!,"AAAAAF3/vQ0=")</f>
        <v>#REF!</v>
      </c>
      <c r="O13" t="str">
        <f>AND(#REF!,"AAAAAF3/vQ4=")</f>
        <v>#REF!</v>
      </c>
      <c r="P13" t="str">
        <f>AND(#REF!,"AAAAAF3/vQ8=")</f>
        <v>#REF!</v>
      </c>
      <c r="Q13" t="str">
        <f>AND(#REF!,"AAAAAF3/vRA=")</f>
        <v>#REF!</v>
      </c>
      <c r="R13" t="str">
        <f>AND(#REF!,"AAAAAF3/vRE=")</f>
        <v>#REF!</v>
      </c>
      <c r="S13" t="str">
        <f>AND(#REF!,"AAAAAF3/vRI=")</f>
        <v>#REF!</v>
      </c>
      <c r="T13" t="str">
        <f>AND(#REF!,"AAAAAF3/vRM=")</f>
        <v>#REF!</v>
      </c>
      <c r="U13" t="str">
        <f>AND(#REF!,"AAAAAF3/vRQ=")</f>
        <v>#REF!</v>
      </c>
      <c r="V13" t="str">
        <f>AND(#REF!,"AAAAAF3/vRU=")</f>
        <v>#REF!</v>
      </c>
      <c r="W13" t="str">
        <f>AND(#REF!,"AAAAAF3/vRY=")</f>
        <v>#REF!</v>
      </c>
      <c r="X13" t="str">
        <f>AND(#REF!,"AAAAAF3/vRc=")</f>
        <v>#REF!</v>
      </c>
      <c r="Y13" t="str">
        <f>AND(#REF!,"AAAAAF3/vRg=")</f>
        <v>#REF!</v>
      </c>
      <c r="Z13" t="str">
        <f>AND(#REF!,"AAAAAF3/vRk=")</f>
        <v>#REF!</v>
      </c>
      <c r="AA13" t="str">
        <f>AND(#REF!,"AAAAAF3/vRo=")</f>
        <v>#REF!</v>
      </c>
      <c r="AB13" t="str">
        <f>AND(#REF!,"AAAAAF3/vRs=")</f>
        <v>#REF!</v>
      </c>
      <c r="AC13" t="str">
        <f>AND(#REF!,"AAAAAF3/vRw=")</f>
        <v>#REF!</v>
      </c>
      <c r="AD13" t="str">
        <f>AND(#REF!,"AAAAAF3/vR0=")</f>
        <v>#REF!</v>
      </c>
      <c r="AE13" t="str">
        <f>AND(#REF!,"AAAAAF3/vR4=")</f>
        <v>#REF!</v>
      </c>
      <c r="AF13" t="str">
        <f>AND(#REF!,"AAAAAF3/vR8=")</f>
        <v>#REF!</v>
      </c>
      <c r="AG13" t="str">
        <f>AND(#REF!,"AAAAAF3/vSA=")</f>
        <v>#REF!</v>
      </c>
      <c r="AH13" t="str">
        <f>AND(#REF!,"AAAAAF3/vSE=")</f>
        <v>#REF!</v>
      </c>
      <c r="AI13" t="str">
        <f>AND(#REF!,"AAAAAF3/vSI=")</f>
        <v>#REF!</v>
      </c>
      <c r="AJ13" t="str">
        <f>AND(#REF!,"AAAAAF3/vSM=")</f>
        <v>#REF!</v>
      </c>
      <c r="AK13" t="str">
        <f>AND(#REF!,"AAAAAF3/vSQ=")</f>
        <v>#REF!</v>
      </c>
      <c r="AL13" t="str">
        <f>AND(#REF!,"AAAAAF3/vSU=")</f>
        <v>#REF!</v>
      </c>
      <c r="AM13" t="str">
        <f>AND(#REF!,"AAAAAF3/vSY=")</f>
        <v>#REF!</v>
      </c>
      <c r="AN13" t="str">
        <f>AND(#REF!,"AAAAAF3/vSc=")</f>
        <v>#REF!</v>
      </c>
      <c r="AO13" t="str">
        <f>AND(#REF!,"AAAAAF3/vSg=")</f>
        <v>#REF!</v>
      </c>
      <c r="AP13" t="str">
        <f>AND(#REF!,"AAAAAF3/vSk=")</f>
        <v>#REF!</v>
      </c>
      <c r="AQ13" t="str">
        <f>AND(#REF!,"AAAAAF3/vSo=")</f>
        <v>#REF!</v>
      </c>
      <c r="AR13" t="str">
        <f>AND(#REF!,"AAAAAF3/vSs=")</f>
        <v>#REF!</v>
      </c>
      <c r="AS13" t="str">
        <f>AND(#REF!,"AAAAAF3/vSw=")</f>
        <v>#REF!</v>
      </c>
      <c r="AT13" t="str">
        <f>AND(#REF!,"AAAAAF3/vS0=")</f>
        <v>#REF!</v>
      </c>
      <c r="AU13" t="str">
        <f>AND(#REF!,"AAAAAF3/vS4=")</f>
        <v>#REF!</v>
      </c>
      <c r="AV13" t="str">
        <f>AND(#REF!,"AAAAAF3/vS8=")</f>
        <v>#REF!</v>
      </c>
      <c r="AW13" t="str">
        <f>AND(#REF!,"AAAAAF3/vTA=")</f>
        <v>#REF!</v>
      </c>
      <c r="AX13" t="str">
        <f>AND(#REF!,"AAAAAF3/vTE=")</f>
        <v>#REF!</v>
      </c>
      <c r="AY13" t="str">
        <f>AND(#REF!,"AAAAAF3/vTI=")</f>
        <v>#REF!</v>
      </c>
      <c r="AZ13" t="str">
        <f>IF(#REF!,"AAAAAF3/vTM=",0)</f>
        <v>#REF!</v>
      </c>
      <c r="BA13" t="str">
        <f>AND(#REF!,"AAAAAF3/vTQ=")</f>
        <v>#REF!</v>
      </c>
      <c r="BB13" t="str">
        <f>AND(#REF!,"AAAAAF3/vTU=")</f>
        <v>#REF!</v>
      </c>
      <c r="BC13" t="str">
        <f>AND(#REF!,"AAAAAF3/vTY=")</f>
        <v>#REF!</v>
      </c>
      <c r="BD13" t="str">
        <f>AND(#REF!,"AAAAAF3/vTc=")</f>
        <v>#REF!</v>
      </c>
      <c r="BE13" t="str">
        <f>AND(#REF!,"AAAAAF3/vTg=")</f>
        <v>#REF!</v>
      </c>
      <c r="BF13" t="str">
        <f>AND(#REF!,"AAAAAF3/vTk=")</f>
        <v>#REF!</v>
      </c>
      <c r="BG13" t="str">
        <f>AND(#REF!,"AAAAAF3/vTo=")</f>
        <v>#REF!</v>
      </c>
      <c r="BH13" t="str">
        <f>AND(#REF!,"AAAAAF3/vTs=")</f>
        <v>#REF!</v>
      </c>
      <c r="BI13" t="str">
        <f>AND(#REF!,"AAAAAF3/vTw=")</f>
        <v>#REF!</v>
      </c>
      <c r="BJ13" t="str">
        <f>AND(#REF!,"AAAAAF3/vT0=")</f>
        <v>#REF!</v>
      </c>
      <c r="BK13" t="str">
        <f>AND(#REF!,"AAAAAF3/vT4=")</f>
        <v>#REF!</v>
      </c>
      <c r="BL13" t="str">
        <f>AND(#REF!,"AAAAAF3/vT8=")</f>
        <v>#REF!</v>
      </c>
      <c r="BM13" t="str">
        <f>AND(#REF!,"AAAAAF3/vUA=")</f>
        <v>#REF!</v>
      </c>
      <c r="BN13" t="str">
        <f>AND(#REF!,"AAAAAF3/vUE=")</f>
        <v>#REF!</v>
      </c>
      <c r="BO13" t="str">
        <f>AND(#REF!,"AAAAAF3/vUI=")</f>
        <v>#REF!</v>
      </c>
      <c r="BP13" t="str">
        <f>AND(#REF!,"AAAAAF3/vUM=")</f>
        <v>#REF!</v>
      </c>
      <c r="BQ13" t="str">
        <f>AND(#REF!,"AAAAAF3/vUQ=")</f>
        <v>#REF!</v>
      </c>
      <c r="BR13" t="str">
        <f>AND(#REF!,"AAAAAF3/vUU=")</f>
        <v>#REF!</v>
      </c>
      <c r="BS13" t="str">
        <f>AND(#REF!,"AAAAAF3/vUY=")</f>
        <v>#REF!</v>
      </c>
      <c r="BT13" t="str">
        <f>AND(#REF!,"AAAAAF3/vUc=")</f>
        <v>#REF!</v>
      </c>
      <c r="BU13" t="str">
        <f>AND(#REF!,"AAAAAF3/vUg=")</f>
        <v>#REF!</v>
      </c>
      <c r="BV13" t="str">
        <f>AND(#REF!,"AAAAAF3/vUk=")</f>
        <v>#REF!</v>
      </c>
      <c r="BW13" t="str">
        <f>AND(#REF!,"AAAAAF3/vUo=")</f>
        <v>#REF!</v>
      </c>
      <c r="BX13" t="str">
        <f>AND(#REF!,"AAAAAF3/vUs=")</f>
        <v>#REF!</v>
      </c>
      <c r="BY13" t="str">
        <f>AND(#REF!,"AAAAAF3/vUw=")</f>
        <v>#REF!</v>
      </c>
      <c r="BZ13" t="str">
        <f>AND(#REF!,"AAAAAF3/vU0=")</f>
        <v>#REF!</v>
      </c>
      <c r="CA13" t="str">
        <f>AND(#REF!,"AAAAAF3/vU4=")</f>
        <v>#REF!</v>
      </c>
      <c r="CB13" t="str">
        <f>AND(#REF!,"AAAAAF3/vU8=")</f>
        <v>#REF!</v>
      </c>
      <c r="CC13" t="str">
        <f>AND(#REF!,"AAAAAF3/vVA=")</f>
        <v>#REF!</v>
      </c>
      <c r="CD13" t="str">
        <f>AND(#REF!,"AAAAAF3/vVE=")</f>
        <v>#REF!</v>
      </c>
      <c r="CE13" t="str">
        <f>AND(#REF!,"AAAAAF3/vVI=")</f>
        <v>#REF!</v>
      </c>
      <c r="CF13" t="str">
        <f>AND(#REF!,"AAAAAF3/vVM=")</f>
        <v>#REF!</v>
      </c>
      <c r="CG13" t="str">
        <f>AND(#REF!,"AAAAAF3/vVQ=")</f>
        <v>#REF!</v>
      </c>
      <c r="CH13" t="str">
        <f>AND(#REF!,"AAAAAF3/vVU=")</f>
        <v>#REF!</v>
      </c>
      <c r="CI13" t="str">
        <f>AND(#REF!,"AAAAAF3/vVY=")</f>
        <v>#REF!</v>
      </c>
      <c r="CJ13" t="str">
        <f>AND(#REF!,"AAAAAF3/vVc=")</f>
        <v>#REF!</v>
      </c>
      <c r="CK13" t="str">
        <f>AND(#REF!,"AAAAAF3/vVg=")</f>
        <v>#REF!</v>
      </c>
      <c r="CL13" t="str">
        <f>AND(#REF!,"AAAAAF3/vVk=")</f>
        <v>#REF!</v>
      </c>
      <c r="CM13" t="str">
        <f>AND(#REF!,"AAAAAF3/vVo=")</f>
        <v>#REF!</v>
      </c>
      <c r="CN13" t="str">
        <f>AND(#REF!,"AAAAAF3/vVs=")</f>
        <v>#REF!</v>
      </c>
      <c r="CO13" t="str">
        <f>AND(#REF!,"AAAAAF3/vVw=")</f>
        <v>#REF!</v>
      </c>
      <c r="CP13" t="str">
        <f>AND(#REF!,"AAAAAF3/vV0=")</f>
        <v>#REF!</v>
      </c>
      <c r="CQ13" t="str">
        <f>AND(#REF!,"AAAAAF3/vV4=")</f>
        <v>#REF!</v>
      </c>
      <c r="CR13" t="str">
        <f>AND(#REF!,"AAAAAF3/vV8=")</f>
        <v>#REF!</v>
      </c>
      <c r="CS13" t="str">
        <f>AND(#REF!,"AAAAAF3/vWA=")</f>
        <v>#REF!</v>
      </c>
      <c r="CT13" t="str">
        <f>AND(#REF!,"AAAAAF3/vWE=")</f>
        <v>#REF!</v>
      </c>
      <c r="CU13" t="str">
        <f>AND(#REF!,"AAAAAF3/vWI=")</f>
        <v>#REF!</v>
      </c>
      <c r="CV13" t="str">
        <f>AND(#REF!,"AAAAAF3/vWM=")</f>
        <v>#REF!</v>
      </c>
      <c r="CW13" t="str">
        <f>AND(#REF!,"AAAAAF3/vWQ=")</f>
        <v>#REF!</v>
      </c>
      <c r="CX13" t="str">
        <f>AND(#REF!,"AAAAAF3/vWU=")</f>
        <v>#REF!</v>
      </c>
      <c r="CY13" t="str">
        <f>AND(#REF!,"AAAAAF3/vWY=")</f>
        <v>#REF!</v>
      </c>
      <c r="CZ13" t="str">
        <f>AND(#REF!,"AAAAAF3/vWc=")</f>
        <v>#REF!</v>
      </c>
      <c r="DA13" t="str">
        <f>AND(#REF!,"AAAAAF3/vWg=")</f>
        <v>#REF!</v>
      </c>
      <c r="DB13" t="str">
        <f>AND(#REF!,"AAAAAF3/vWk=")</f>
        <v>#REF!</v>
      </c>
      <c r="DC13" t="str">
        <f>AND(#REF!,"AAAAAF3/vWo=")</f>
        <v>#REF!</v>
      </c>
      <c r="DD13" t="str">
        <f>AND(#REF!,"AAAAAF3/vWs=")</f>
        <v>#REF!</v>
      </c>
      <c r="DE13" t="str">
        <f>AND(#REF!,"AAAAAF3/vWw=")</f>
        <v>#REF!</v>
      </c>
      <c r="DF13" t="str">
        <f>AND(#REF!,"AAAAAF3/vW0=")</f>
        <v>#REF!</v>
      </c>
      <c r="DG13" t="str">
        <f>AND(#REF!,"AAAAAF3/vW4=")</f>
        <v>#REF!</v>
      </c>
      <c r="DH13" t="str">
        <f>AND(#REF!,"AAAAAF3/vW8=")</f>
        <v>#REF!</v>
      </c>
      <c r="DI13" t="str">
        <f>AND(#REF!,"AAAAAF3/vXA=")</f>
        <v>#REF!</v>
      </c>
      <c r="DJ13" t="str">
        <f>AND(#REF!,"AAAAAF3/vXE=")</f>
        <v>#REF!</v>
      </c>
      <c r="DK13" t="str">
        <f>AND(#REF!,"AAAAAF3/vXI=")</f>
        <v>#REF!</v>
      </c>
      <c r="DL13" t="str">
        <f>AND(#REF!,"AAAAAF3/vXM=")</f>
        <v>#REF!</v>
      </c>
      <c r="DM13" t="str">
        <f>AND(#REF!,"AAAAAF3/vXQ=")</f>
        <v>#REF!</v>
      </c>
      <c r="DN13" t="str">
        <f>AND(#REF!,"AAAAAF3/vXU=")</f>
        <v>#REF!</v>
      </c>
      <c r="DO13" t="str">
        <f>AND(#REF!,"AAAAAF3/vXY=")</f>
        <v>#REF!</v>
      </c>
      <c r="DP13" t="str">
        <f>AND(#REF!,"AAAAAF3/vXc=")</f>
        <v>#REF!</v>
      </c>
      <c r="DQ13" t="str">
        <f>AND(#REF!,"AAAAAF3/vXg=")</f>
        <v>#REF!</v>
      </c>
      <c r="DR13" t="str">
        <f>AND(#REF!,"AAAAAF3/vXk=")</f>
        <v>#REF!</v>
      </c>
      <c r="DS13" t="str">
        <f>AND(#REF!,"AAAAAF3/vXo=")</f>
        <v>#REF!</v>
      </c>
      <c r="DT13" t="str">
        <f>AND(#REF!,"AAAAAF3/vXs=")</f>
        <v>#REF!</v>
      </c>
      <c r="DU13" t="str">
        <f>AND(#REF!,"AAAAAF3/vXw=")</f>
        <v>#REF!</v>
      </c>
      <c r="DV13" t="str">
        <f>AND(#REF!,"AAAAAF3/vX0=")</f>
        <v>#REF!</v>
      </c>
      <c r="DW13" t="str">
        <f>AND(#REF!,"AAAAAF3/vX4=")</f>
        <v>#REF!</v>
      </c>
      <c r="DX13" t="str">
        <f>IF(#REF!,"AAAAAF3/vX8=",0)</f>
        <v>#REF!</v>
      </c>
      <c r="DY13" t="str">
        <f>AND(#REF!,"AAAAAF3/vYA=")</f>
        <v>#REF!</v>
      </c>
      <c r="DZ13" t="str">
        <f>AND(#REF!,"AAAAAF3/vYE=")</f>
        <v>#REF!</v>
      </c>
      <c r="EA13" t="str">
        <f>AND(#REF!,"AAAAAF3/vYI=")</f>
        <v>#REF!</v>
      </c>
      <c r="EB13" t="str">
        <f>AND(#REF!,"AAAAAF3/vYM=")</f>
        <v>#REF!</v>
      </c>
      <c r="EC13" t="str">
        <f>AND(#REF!,"AAAAAF3/vYQ=")</f>
        <v>#REF!</v>
      </c>
      <c r="ED13" t="str">
        <f>AND(#REF!,"AAAAAF3/vYU=")</f>
        <v>#REF!</v>
      </c>
      <c r="EE13" t="str">
        <f>AND(#REF!,"AAAAAF3/vYY=")</f>
        <v>#REF!</v>
      </c>
      <c r="EF13" t="str">
        <f>AND(#REF!,"AAAAAF3/vYc=")</f>
        <v>#REF!</v>
      </c>
      <c r="EG13" t="str">
        <f>AND(#REF!,"AAAAAF3/vYg=")</f>
        <v>#REF!</v>
      </c>
      <c r="EH13" t="str">
        <f>AND(#REF!,"AAAAAF3/vYk=")</f>
        <v>#REF!</v>
      </c>
      <c r="EI13" t="str">
        <f>AND(#REF!,"AAAAAF3/vYo=")</f>
        <v>#REF!</v>
      </c>
      <c r="EJ13" t="str">
        <f>AND(#REF!,"AAAAAF3/vYs=")</f>
        <v>#REF!</v>
      </c>
      <c r="EK13" t="str">
        <f>AND(#REF!,"AAAAAF3/vYw=")</f>
        <v>#REF!</v>
      </c>
      <c r="EL13" t="str">
        <f>AND(#REF!,"AAAAAF3/vY0=")</f>
        <v>#REF!</v>
      </c>
      <c r="EM13" t="str">
        <f>AND(#REF!,"AAAAAF3/vY4=")</f>
        <v>#REF!</v>
      </c>
      <c r="EN13" t="str">
        <f>AND(#REF!,"AAAAAF3/vY8=")</f>
        <v>#REF!</v>
      </c>
      <c r="EO13" t="str">
        <f>AND(#REF!,"AAAAAF3/vZA=")</f>
        <v>#REF!</v>
      </c>
      <c r="EP13" t="str">
        <f>AND(#REF!,"AAAAAF3/vZE=")</f>
        <v>#REF!</v>
      </c>
      <c r="EQ13" t="str">
        <f>AND(#REF!,"AAAAAF3/vZI=")</f>
        <v>#REF!</v>
      </c>
      <c r="ER13" t="str">
        <f>AND(#REF!,"AAAAAF3/vZM=")</f>
        <v>#REF!</v>
      </c>
      <c r="ES13" t="str">
        <f>AND(#REF!,"AAAAAF3/vZQ=")</f>
        <v>#REF!</v>
      </c>
      <c r="ET13" t="str">
        <f>AND(#REF!,"AAAAAF3/vZU=")</f>
        <v>#REF!</v>
      </c>
      <c r="EU13" t="str">
        <f>AND(#REF!,"AAAAAF3/vZY=")</f>
        <v>#REF!</v>
      </c>
      <c r="EV13" t="str">
        <f>AND(#REF!,"AAAAAF3/vZc=")</f>
        <v>#REF!</v>
      </c>
      <c r="EW13" t="str">
        <f>AND(#REF!,"AAAAAF3/vZg=")</f>
        <v>#REF!</v>
      </c>
      <c r="EX13" t="str">
        <f>AND(#REF!,"AAAAAF3/vZk=")</f>
        <v>#REF!</v>
      </c>
      <c r="EY13" t="str">
        <f>AND(#REF!,"AAAAAF3/vZo=")</f>
        <v>#REF!</v>
      </c>
      <c r="EZ13" t="str">
        <f>AND(#REF!,"AAAAAF3/vZs=")</f>
        <v>#REF!</v>
      </c>
      <c r="FA13" t="str">
        <f>AND(#REF!,"AAAAAF3/vZw=")</f>
        <v>#REF!</v>
      </c>
      <c r="FB13" t="str">
        <f>AND(#REF!,"AAAAAF3/vZ0=")</f>
        <v>#REF!</v>
      </c>
      <c r="FC13" t="str">
        <f>AND(#REF!,"AAAAAF3/vZ4=")</f>
        <v>#REF!</v>
      </c>
      <c r="FD13" t="str">
        <f>AND(#REF!,"AAAAAF3/vZ8=")</f>
        <v>#REF!</v>
      </c>
      <c r="FE13" t="str">
        <f>AND(#REF!,"AAAAAF3/vaA=")</f>
        <v>#REF!</v>
      </c>
      <c r="FF13" t="str">
        <f>AND(#REF!,"AAAAAF3/vaE=")</f>
        <v>#REF!</v>
      </c>
      <c r="FG13" t="str">
        <f>AND(#REF!,"AAAAAF3/vaI=")</f>
        <v>#REF!</v>
      </c>
      <c r="FH13" t="str">
        <f>AND(#REF!,"AAAAAF3/vaM=")</f>
        <v>#REF!</v>
      </c>
      <c r="FI13" t="str">
        <f>AND(#REF!,"AAAAAF3/vaQ=")</f>
        <v>#REF!</v>
      </c>
      <c r="FJ13" t="str">
        <f>AND(#REF!,"AAAAAF3/vaU=")</f>
        <v>#REF!</v>
      </c>
      <c r="FK13" t="str">
        <f>AND(#REF!,"AAAAAF3/vaY=")</f>
        <v>#REF!</v>
      </c>
      <c r="FL13" t="str">
        <f>AND(#REF!,"AAAAAF3/vac=")</f>
        <v>#REF!</v>
      </c>
      <c r="FM13" t="str">
        <f>AND(#REF!,"AAAAAF3/vag=")</f>
        <v>#REF!</v>
      </c>
      <c r="FN13" t="str">
        <f>AND(#REF!,"AAAAAF3/vak=")</f>
        <v>#REF!</v>
      </c>
      <c r="FO13" t="str">
        <f>AND(#REF!,"AAAAAF3/vao=")</f>
        <v>#REF!</v>
      </c>
      <c r="FP13" t="str">
        <f>AND(#REF!,"AAAAAF3/vas=")</f>
        <v>#REF!</v>
      </c>
      <c r="FQ13" t="str">
        <f>AND(#REF!,"AAAAAF3/vaw=")</f>
        <v>#REF!</v>
      </c>
      <c r="FR13" t="str">
        <f>AND(#REF!,"AAAAAF3/va0=")</f>
        <v>#REF!</v>
      </c>
      <c r="FS13" t="str">
        <f>AND(#REF!,"AAAAAF3/va4=")</f>
        <v>#REF!</v>
      </c>
      <c r="FT13" t="str">
        <f>AND(#REF!,"AAAAAF3/va8=")</f>
        <v>#REF!</v>
      </c>
      <c r="FU13" t="str">
        <f>AND(#REF!,"AAAAAF3/vbA=")</f>
        <v>#REF!</v>
      </c>
      <c r="FV13" t="str">
        <f>AND(#REF!,"AAAAAF3/vbE=")</f>
        <v>#REF!</v>
      </c>
      <c r="FW13" t="str">
        <f>AND(#REF!,"AAAAAF3/vbI=")</f>
        <v>#REF!</v>
      </c>
      <c r="FX13" t="str">
        <f>AND(#REF!,"AAAAAF3/vbM=")</f>
        <v>#REF!</v>
      </c>
      <c r="FY13" t="str">
        <f>AND(#REF!,"AAAAAF3/vbQ=")</f>
        <v>#REF!</v>
      </c>
      <c r="FZ13" t="str">
        <f>AND(#REF!,"AAAAAF3/vbU=")</f>
        <v>#REF!</v>
      </c>
      <c r="GA13" t="str">
        <f>AND(#REF!,"AAAAAF3/vbY=")</f>
        <v>#REF!</v>
      </c>
      <c r="GB13" t="str">
        <f>AND(#REF!,"AAAAAF3/vbc=")</f>
        <v>#REF!</v>
      </c>
      <c r="GC13" t="str">
        <f>AND(#REF!,"AAAAAF3/vbg=")</f>
        <v>#REF!</v>
      </c>
      <c r="GD13" t="str">
        <f>AND(#REF!,"AAAAAF3/vbk=")</f>
        <v>#REF!</v>
      </c>
      <c r="GE13" t="str">
        <f>AND(#REF!,"AAAAAF3/vbo=")</f>
        <v>#REF!</v>
      </c>
      <c r="GF13" t="str">
        <f>AND(#REF!,"AAAAAF3/vbs=")</f>
        <v>#REF!</v>
      </c>
      <c r="GG13" t="str">
        <f>AND(#REF!,"AAAAAF3/vbw=")</f>
        <v>#REF!</v>
      </c>
      <c r="GH13" t="str">
        <f>AND(#REF!,"AAAAAF3/vb0=")</f>
        <v>#REF!</v>
      </c>
      <c r="GI13" t="str">
        <f>AND(#REF!,"AAAAAF3/vb4=")</f>
        <v>#REF!</v>
      </c>
      <c r="GJ13" t="str">
        <f>AND(#REF!,"AAAAAF3/vb8=")</f>
        <v>#REF!</v>
      </c>
      <c r="GK13" t="str">
        <f>AND(#REF!,"AAAAAF3/vcA=")</f>
        <v>#REF!</v>
      </c>
      <c r="GL13" t="str">
        <f>AND(#REF!,"AAAAAF3/vcE=")</f>
        <v>#REF!</v>
      </c>
      <c r="GM13" t="str">
        <f>AND(#REF!,"AAAAAF3/vcI=")</f>
        <v>#REF!</v>
      </c>
      <c r="GN13" t="str">
        <f>AND(#REF!,"AAAAAF3/vcM=")</f>
        <v>#REF!</v>
      </c>
      <c r="GO13" t="str">
        <f>AND(#REF!,"AAAAAF3/vcQ=")</f>
        <v>#REF!</v>
      </c>
      <c r="GP13" t="str">
        <f>AND(#REF!,"AAAAAF3/vcU=")</f>
        <v>#REF!</v>
      </c>
      <c r="GQ13" t="str">
        <f>AND(#REF!,"AAAAAF3/vcY=")</f>
        <v>#REF!</v>
      </c>
      <c r="GR13" t="str">
        <f>AND(#REF!,"AAAAAF3/vcc=")</f>
        <v>#REF!</v>
      </c>
      <c r="GS13" t="str">
        <f>AND(#REF!,"AAAAAF3/vcg=")</f>
        <v>#REF!</v>
      </c>
      <c r="GT13" t="str">
        <f>AND(#REF!,"AAAAAF3/vck=")</f>
        <v>#REF!</v>
      </c>
      <c r="GU13" t="str">
        <f>AND(#REF!,"AAAAAF3/vco=")</f>
        <v>#REF!</v>
      </c>
      <c r="GV13" t="str">
        <f>IF(#REF!,"AAAAAF3/vcs=",0)</f>
        <v>#REF!</v>
      </c>
      <c r="GW13" t="str">
        <f>AND(#REF!,"AAAAAF3/vcw=")</f>
        <v>#REF!</v>
      </c>
      <c r="GX13" t="str">
        <f>AND(#REF!,"AAAAAF3/vc0=")</f>
        <v>#REF!</v>
      </c>
      <c r="GY13" t="str">
        <f>AND(#REF!,"AAAAAF3/vc4=")</f>
        <v>#REF!</v>
      </c>
      <c r="GZ13" t="str">
        <f>AND(#REF!,"AAAAAF3/vc8=")</f>
        <v>#REF!</v>
      </c>
      <c r="HA13" t="str">
        <f>AND(#REF!,"AAAAAF3/vdA=")</f>
        <v>#REF!</v>
      </c>
      <c r="HB13" t="str">
        <f>AND(#REF!,"AAAAAF3/vdE=")</f>
        <v>#REF!</v>
      </c>
      <c r="HC13" t="str">
        <f>AND(#REF!,"AAAAAF3/vdI=")</f>
        <v>#REF!</v>
      </c>
      <c r="HD13" t="str">
        <f>AND(#REF!,"AAAAAF3/vdM=")</f>
        <v>#REF!</v>
      </c>
      <c r="HE13" t="str">
        <f>AND(#REF!,"AAAAAF3/vdQ=")</f>
        <v>#REF!</v>
      </c>
      <c r="HF13" t="str">
        <f>AND(#REF!,"AAAAAF3/vdU=")</f>
        <v>#REF!</v>
      </c>
      <c r="HG13" t="str">
        <f>AND(#REF!,"AAAAAF3/vdY=")</f>
        <v>#REF!</v>
      </c>
      <c r="HH13" t="str">
        <f>AND(#REF!,"AAAAAF3/vdc=")</f>
        <v>#REF!</v>
      </c>
      <c r="HI13" t="str">
        <f>AND(#REF!,"AAAAAF3/vdg=")</f>
        <v>#REF!</v>
      </c>
      <c r="HJ13" t="str">
        <f>AND(#REF!,"AAAAAF3/vdk=")</f>
        <v>#REF!</v>
      </c>
      <c r="HK13" t="str">
        <f>AND(#REF!,"AAAAAF3/vdo=")</f>
        <v>#REF!</v>
      </c>
      <c r="HL13" t="str">
        <f>AND(#REF!,"AAAAAF3/vds=")</f>
        <v>#REF!</v>
      </c>
      <c r="HM13" t="str">
        <f>AND(#REF!,"AAAAAF3/vdw=")</f>
        <v>#REF!</v>
      </c>
      <c r="HN13" t="str">
        <f>AND(#REF!,"AAAAAF3/vd0=")</f>
        <v>#REF!</v>
      </c>
      <c r="HO13" t="str">
        <f>AND(#REF!,"AAAAAF3/vd4=")</f>
        <v>#REF!</v>
      </c>
      <c r="HP13" t="str">
        <f>AND(#REF!,"AAAAAF3/vd8=")</f>
        <v>#REF!</v>
      </c>
      <c r="HQ13" t="str">
        <f>AND(#REF!,"AAAAAF3/veA=")</f>
        <v>#REF!</v>
      </c>
      <c r="HR13" t="str">
        <f>AND(#REF!,"AAAAAF3/veE=")</f>
        <v>#REF!</v>
      </c>
      <c r="HS13" t="str">
        <f>AND(#REF!,"AAAAAF3/veI=")</f>
        <v>#REF!</v>
      </c>
      <c r="HT13" t="str">
        <f>AND(#REF!,"AAAAAF3/veM=")</f>
        <v>#REF!</v>
      </c>
      <c r="HU13" t="str">
        <f>AND(#REF!,"AAAAAF3/veQ=")</f>
        <v>#REF!</v>
      </c>
      <c r="HV13" t="str">
        <f>AND(#REF!,"AAAAAF3/veU=")</f>
        <v>#REF!</v>
      </c>
      <c r="HW13" t="str">
        <f>AND(#REF!,"AAAAAF3/veY=")</f>
        <v>#REF!</v>
      </c>
      <c r="HX13" t="str">
        <f>AND(#REF!,"AAAAAF3/vec=")</f>
        <v>#REF!</v>
      </c>
      <c r="HY13" t="str">
        <f>AND(#REF!,"AAAAAF3/veg=")</f>
        <v>#REF!</v>
      </c>
      <c r="HZ13" t="str">
        <f>AND(#REF!,"AAAAAF3/vek=")</f>
        <v>#REF!</v>
      </c>
      <c r="IA13" t="str">
        <f>AND(#REF!,"AAAAAF3/veo=")</f>
        <v>#REF!</v>
      </c>
      <c r="IB13" t="str">
        <f>AND(#REF!,"AAAAAF3/ves=")</f>
        <v>#REF!</v>
      </c>
      <c r="IC13" t="str">
        <f>AND(#REF!,"AAAAAF3/vew=")</f>
        <v>#REF!</v>
      </c>
      <c r="ID13" t="str">
        <f>AND(#REF!,"AAAAAF3/ve0=")</f>
        <v>#REF!</v>
      </c>
      <c r="IE13" t="str">
        <f>AND(#REF!,"AAAAAF3/ve4=")</f>
        <v>#REF!</v>
      </c>
      <c r="IF13" t="str">
        <f>AND(#REF!,"AAAAAF3/ve8=")</f>
        <v>#REF!</v>
      </c>
      <c r="IG13" t="str">
        <f>AND(#REF!,"AAAAAF3/vfA=")</f>
        <v>#REF!</v>
      </c>
      <c r="IH13" t="str">
        <f>AND(#REF!,"AAAAAF3/vfE=")</f>
        <v>#REF!</v>
      </c>
      <c r="II13" t="str">
        <f>AND(#REF!,"AAAAAF3/vfI=")</f>
        <v>#REF!</v>
      </c>
      <c r="IJ13" t="str">
        <f>AND(#REF!,"AAAAAF3/vfM=")</f>
        <v>#REF!</v>
      </c>
      <c r="IK13" t="str">
        <f>AND(#REF!,"AAAAAF3/vfQ=")</f>
        <v>#REF!</v>
      </c>
      <c r="IL13" t="str">
        <f>AND(#REF!,"AAAAAF3/vfU=")</f>
        <v>#REF!</v>
      </c>
      <c r="IM13" t="str">
        <f>AND(#REF!,"AAAAAF3/vfY=")</f>
        <v>#REF!</v>
      </c>
      <c r="IN13" t="str">
        <f>AND(#REF!,"AAAAAF3/vfc=")</f>
        <v>#REF!</v>
      </c>
      <c r="IO13" t="str">
        <f>AND(#REF!,"AAAAAF3/vfg=")</f>
        <v>#REF!</v>
      </c>
      <c r="IP13" t="str">
        <f>AND(#REF!,"AAAAAF3/vfk=")</f>
        <v>#REF!</v>
      </c>
      <c r="IQ13" t="str">
        <f>AND(#REF!,"AAAAAF3/vfo=")</f>
        <v>#REF!</v>
      </c>
      <c r="IR13" t="str">
        <f>AND(#REF!,"AAAAAF3/vfs=")</f>
        <v>#REF!</v>
      </c>
      <c r="IS13" t="str">
        <f>AND(#REF!,"AAAAAF3/vfw=")</f>
        <v>#REF!</v>
      </c>
      <c r="IT13" t="str">
        <f>AND(#REF!,"AAAAAF3/vf0=")</f>
        <v>#REF!</v>
      </c>
      <c r="IU13" t="str">
        <f>AND(#REF!,"AAAAAF3/vf4=")</f>
        <v>#REF!</v>
      </c>
      <c r="IV13" t="str">
        <f>AND(#REF!,"AAAAAF3/vf8=")</f>
        <v>#REF!</v>
      </c>
    </row>
    <row r="14">
      <c r="A14" t="str">
        <f>AND(#REF!,"AAAAAHsv+wA=")</f>
        <v>#REF!</v>
      </c>
      <c r="B14" t="str">
        <f>AND(#REF!,"AAAAAHsv+wE=")</f>
        <v>#REF!</v>
      </c>
      <c r="C14" t="str">
        <f>AND(#REF!,"AAAAAHsv+wI=")</f>
        <v>#REF!</v>
      </c>
      <c r="D14" t="str">
        <f>AND(#REF!,"AAAAAHsv+wM=")</f>
        <v>#REF!</v>
      </c>
      <c r="E14" t="str">
        <f>AND(#REF!,"AAAAAHsv+wQ=")</f>
        <v>#REF!</v>
      </c>
      <c r="F14" t="str">
        <f>AND(#REF!,"AAAAAHsv+wU=")</f>
        <v>#REF!</v>
      </c>
      <c r="G14" t="str">
        <f>AND(#REF!,"AAAAAHsv+wY=")</f>
        <v>#REF!</v>
      </c>
      <c r="H14" t="str">
        <f>AND(#REF!,"AAAAAHsv+wc=")</f>
        <v>#REF!</v>
      </c>
      <c r="I14" t="str">
        <f>AND(#REF!,"AAAAAHsv+wg=")</f>
        <v>#REF!</v>
      </c>
      <c r="J14" t="str">
        <f>AND(#REF!,"AAAAAHsv+wk=")</f>
        <v>#REF!</v>
      </c>
      <c r="K14" t="str">
        <f>AND(#REF!,"AAAAAHsv+wo=")</f>
        <v>#REF!</v>
      </c>
      <c r="L14" t="str">
        <f>AND(#REF!,"AAAAAHsv+ws=")</f>
        <v>#REF!</v>
      </c>
      <c r="M14" t="str">
        <f>AND(#REF!,"AAAAAHsv+ww=")</f>
        <v>#REF!</v>
      </c>
      <c r="N14" t="str">
        <f>AND(#REF!,"AAAAAHsv+w0=")</f>
        <v>#REF!</v>
      </c>
      <c r="O14" t="str">
        <f>AND(#REF!,"AAAAAHsv+w4=")</f>
        <v>#REF!</v>
      </c>
      <c r="P14" t="str">
        <f>AND(#REF!,"AAAAAHsv+w8=")</f>
        <v>#REF!</v>
      </c>
      <c r="Q14" t="str">
        <f>AND(#REF!,"AAAAAHsv+xA=")</f>
        <v>#REF!</v>
      </c>
      <c r="R14" t="str">
        <f>AND(#REF!,"AAAAAHsv+xE=")</f>
        <v>#REF!</v>
      </c>
      <c r="S14" t="str">
        <f>AND(#REF!,"AAAAAHsv+xI=")</f>
        <v>#REF!</v>
      </c>
      <c r="T14" t="str">
        <f>AND(#REF!,"AAAAAHsv+xM=")</f>
        <v>#REF!</v>
      </c>
      <c r="U14" t="str">
        <f>AND(#REF!,"AAAAAHsv+xQ=")</f>
        <v>#REF!</v>
      </c>
      <c r="V14" t="str">
        <f>AND(#REF!,"AAAAAHsv+xU=")</f>
        <v>#REF!</v>
      </c>
      <c r="W14" t="str">
        <f>AND(#REF!,"AAAAAHsv+xY=")</f>
        <v>#REF!</v>
      </c>
      <c r="X14" t="str">
        <f>IF(#REF!,"AAAAAHsv+xc=",0)</f>
        <v>#REF!</v>
      </c>
      <c r="Y14" t="str">
        <f>AND(#REF!,"AAAAAHsv+xg=")</f>
        <v>#REF!</v>
      </c>
      <c r="Z14" t="str">
        <f>AND(#REF!,"AAAAAHsv+xk=")</f>
        <v>#REF!</v>
      </c>
      <c r="AA14" t="str">
        <f>AND(#REF!,"AAAAAHsv+xo=")</f>
        <v>#REF!</v>
      </c>
      <c r="AB14" t="str">
        <f>AND(#REF!,"AAAAAHsv+xs=")</f>
        <v>#REF!</v>
      </c>
      <c r="AC14" t="str">
        <f>AND(#REF!,"AAAAAHsv+xw=")</f>
        <v>#REF!</v>
      </c>
      <c r="AD14" t="str">
        <f>AND(#REF!,"AAAAAHsv+x0=")</f>
        <v>#REF!</v>
      </c>
      <c r="AE14" t="str">
        <f>AND(#REF!,"AAAAAHsv+x4=")</f>
        <v>#REF!</v>
      </c>
      <c r="AF14" t="str">
        <f>AND(#REF!,"AAAAAHsv+x8=")</f>
        <v>#REF!</v>
      </c>
      <c r="AG14" t="str">
        <f>AND(#REF!,"AAAAAHsv+yA=")</f>
        <v>#REF!</v>
      </c>
      <c r="AH14" t="str">
        <f>AND(#REF!,"AAAAAHsv+yE=")</f>
        <v>#REF!</v>
      </c>
      <c r="AI14" t="str">
        <f>AND(#REF!,"AAAAAHsv+yI=")</f>
        <v>#REF!</v>
      </c>
      <c r="AJ14" t="str">
        <f>AND(#REF!,"AAAAAHsv+yM=")</f>
        <v>#REF!</v>
      </c>
      <c r="AK14" t="str">
        <f>AND(#REF!,"AAAAAHsv+yQ=")</f>
        <v>#REF!</v>
      </c>
      <c r="AL14" t="str">
        <f>AND(#REF!,"AAAAAHsv+yU=")</f>
        <v>#REF!</v>
      </c>
      <c r="AM14" t="str">
        <f>AND(#REF!,"AAAAAHsv+yY=")</f>
        <v>#REF!</v>
      </c>
      <c r="AN14" t="str">
        <f>AND(#REF!,"AAAAAHsv+yc=")</f>
        <v>#REF!</v>
      </c>
      <c r="AO14" t="str">
        <f>AND(#REF!,"AAAAAHsv+yg=")</f>
        <v>#REF!</v>
      </c>
      <c r="AP14" t="str">
        <f>AND(#REF!,"AAAAAHsv+yk=")</f>
        <v>#REF!</v>
      </c>
      <c r="AQ14" t="str">
        <f>AND(#REF!,"AAAAAHsv+yo=")</f>
        <v>#REF!</v>
      </c>
      <c r="AR14" t="str">
        <f>AND(#REF!,"AAAAAHsv+ys=")</f>
        <v>#REF!</v>
      </c>
      <c r="AS14" t="str">
        <f>AND(#REF!,"AAAAAHsv+yw=")</f>
        <v>#REF!</v>
      </c>
      <c r="AT14" t="str">
        <f>AND(#REF!,"AAAAAHsv+y0=")</f>
        <v>#REF!</v>
      </c>
      <c r="AU14" t="str">
        <f>AND(#REF!,"AAAAAHsv+y4=")</f>
        <v>#REF!</v>
      </c>
      <c r="AV14" t="str">
        <f>AND(#REF!,"AAAAAHsv+y8=")</f>
        <v>#REF!</v>
      </c>
      <c r="AW14" t="str">
        <f>AND(#REF!,"AAAAAHsv+zA=")</f>
        <v>#REF!</v>
      </c>
      <c r="AX14" t="str">
        <f>AND(#REF!,"AAAAAHsv+zE=")</f>
        <v>#REF!</v>
      </c>
      <c r="AY14" t="str">
        <f>AND(#REF!,"AAAAAHsv+zI=")</f>
        <v>#REF!</v>
      </c>
      <c r="AZ14" t="str">
        <f>AND(#REF!,"AAAAAHsv+zM=")</f>
        <v>#REF!</v>
      </c>
      <c r="BA14" t="str">
        <f>AND(#REF!,"AAAAAHsv+zQ=")</f>
        <v>#REF!</v>
      </c>
      <c r="BB14" t="str">
        <f>AND(#REF!,"AAAAAHsv+zU=")</f>
        <v>#REF!</v>
      </c>
      <c r="BC14" t="str">
        <f>AND(#REF!,"AAAAAHsv+zY=")</f>
        <v>#REF!</v>
      </c>
      <c r="BD14" t="str">
        <f>AND(#REF!,"AAAAAHsv+zc=")</f>
        <v>#REF!</v>
      </c>
      <c r="BE14" t="str">
        <f>AND(#REF!,"AAAAAHsv+zg=")</f>
        <v>#REF!</v>
      </c>
      <c r="BF14" t="str">
        <f>AND(#REF!,"AAAAAHsv+zk=")</f>
        <v>#REF!</v>
      </c>
      <c r="BG14" t="str">
        <f>AND(#REF!,"AAAAAHsv+zo=")</f>
        <v>#REF!</v>
      </c>
      <c r="BH14" t="str">
        <f>AND(#REF!,"AAAAAHsv+zs=")</f>
        <v>#REF!</v>
      </c>
      <c r="BI14" t="str">
        <f>AND(#REF!,"AAAAAHsv+zw=")</f>
        <v>#REF!</v>
      </c>
      <c r="BJ14" t="str">
        <f>AND(#REF!,"AAAAAHsv+z0=")</f>
        <v>#REF!</v>
      </c>
      <c r="BK14" t="str">
        <f>AND(#REF!,"AAAAAHsv+z4=")</f>
        <v>#REF!</v>
      </c>
      <c r="BL14" t="str">
        <f>AND(#REF!,"AAAAAHsv+z8=")</f>
        <v>#REF!</v>
      </c>
      <c r="BM14" t="str">
        <f>AND(#REF!,"AAAAAHsv+0A=")</f>
        <v>#REF!</v>
      </c>
      <c r="BN14" t="str">
        <f>AND(#REF!,"AAAAAHsv+0E=")</f>
        <v>#REF!</v>
      </c>
      <c r="BO14" t="str">
        <f>AND(#REF!,"AAAAAHsv+0I=")</f>
        <v>#REF!</v>
      </c>
      <c r="BP14" t="str">
        <f>AND(#REF!,"AAAAAHsv+0M=")</f>
        <v>#REF!</v>
      </c>
      <c r="BQ14" t="str">
        <f>AND(#REF!,"AAAAAHsv+0Q=")</f>
        <v>#REF!</v>
      </c>
      <c r="BR14" t="str">
        <f>AND(#REF!,"AAAAAHsv+0U=")</f>
        <v>#REF!</v>
      </c>
      <c r="BS14" t="str">
        <f>AND(#REF!,"AAAAAHsv+0Y=")</f>
        <v>#REF!</v>
      </c>
      <c r="BT14" t="str">
        <f>AND(#REF!,"AAAAAHsv+0c=")</f>
        <v>#REF!</v>
      </c>
      <c r="BU14" t="str">
        <f>AND(#REF!,"AAAAAHsv+0g=")</f>
        <v>#REF!</v>
      </c>
      <c r="BV14" t="str">
        <f>AND(#REF!,"AAAAAHsv+0k=")</f>
        <v>#REF!</v>
      </c>
      <c r="BW14" t="str">
        <f>AND(#REF!,"AAAAAHsv+0o=")</f>
        <v>#REF!</v>
      </c>
      <c r="BX14" t="str">
        <f>AND(#REF!,"AAAAAHsv+0s=")</f>
        <v>#REF!</v>
      </c>
      <c r="BY14" t="str">
        <f>AND(#REF!,"AAAAAHsv+0w=")</f>
        <v>#REF!</v>
      </c>
      <c r="BZ14" t="str">
        <f>AND(#REF!,"AAAAAHsv+00=")</f>
        <v>#REF!</v>
      </c>
      <c r="CA14" t="str">
        <f>AND(#REF!,"AAAAAHsv+04=")</f>
        <v>#REF!</v>
      </c>
      <c r="CB14" t="str">
        <f>AND(#REF!,"AAAAAHsv+08=")</f>
        <v>#REF!</v>
      </c>
      <c r="CC14" t="str">
        <f>AND(#REF!,"AAAAAHsv+1A=")</f>
        <v>#REF!</v>
      </c>
      <c r="CD14" t="str">
        <f>AND(#REF!,"AAAAAHsv+1E=")</f>
        <v>#REF!</v>
      </c>
      <c r="CE14" t="str">
        <f>AND(#REF!,"AAAAAHsv+1I=")</f>
        <v>#REF!</v>
      </c>
      <c r="CF14" t="str">
        <f>AND(#REF!,"AAAAAHsv+1M=")</f>
        <v>#REF!</v>
      </c>
      <c r="CG14" t="str">
        <f>AND(#REF!,"AAAAAHsv+1Q=")</f>
        <v>#REF!</v>
      </c>
      <c r="CH14" t="str">
        <f>AND(#REF!,"AAAAAHsv+1U=")</f>
        <v>#REF!</v>
      </c>
      <c r="CI14" t="str">
        <f>AND(#REF!,"AAAAAHsv+1Y=")</f>
        <v>#REF!</v>
      </c>
      <c r="CJ14" t="str">
        <f>AND(#REF!,"AAAAAHsv+1c=")</f>
        <v>#REF!</v>
      </c>
      <c r="CK14" t="str">
        <f>AND(#REF!,"AAAAAHsv+1g=")</f>
        <v>#REF!</v>
      </c>
      <c r="CL14" t="str">
        <f>AND(#REF!,"AAAAAHsv+1k=")</f>
        <v>#REF!</v>
      </c>
      <c r="CM14" t="str">
        <f>AND(#REF!,"AAAAAHsv+1o=")</f>
        <v>#REF!</v>
      </c>
      <c r="CN14" t="str">
        <f>AND(#REF!,"AAAAAHsv+1s=")</f>
        <v>#REF!</v>
      </c>
      <c r="CO14" t="str">
        <f>AND(#REF!,"AAAAAHsv+1w=")</f>
        <v>#REF!</v>
      </c>
      <c r="CP14" t="str">
        <f>AND(#REF!,"AAAAAHsv+10=")</f>
        <v>#REF!</v>
      </c>
      <c r="CQ14" t="str">
        <f>AND(#REF!,"AAAAAHsv+14=")</f>
        <v>#REF!</v>
      </c>
      <c r="CR14" t="str">
        <f>AND(#REF!,"AAAAAHsv+18=")</f>
        <v>#REF!</v>
      </c>
      <c r="CS14" t="str">
        <f>AND(#REF!,"AAAAAHsv+2A=")</f>
        <v>#REF!</v>
      </c>
      <c r="CT14" t="str">
        <f>AND(#REF!,"AAAAAHsv+2E=")</f>
        <v>#REF!</v>
      </c>
      <c r="CU14" t="str">
        <f>AND(#REF!,"AAAAAHsv+2I=")</f>
        <v>#REF!</v>
      </c>
      <c r="CV14" t="str">
        <f>IF(#REF!,"AAAAAHsv+2M=",0)</f>
        <v>#REF!</v>
      </c>
      <c r="CW14" t="str">
        <f>AND(#REF!,"AAAAAHsv+2Q=")</f>
        <v>#REF!</v>
      </c>
      <c r="CX14" t="str">
        <f>AND(#REF!,"AAAAAHsv+2U=")</f>
        <v>#REF!</v>
      </c>
      <c r="CY14" t="str">
        <f>AND(#REF!,"AAAAAHsv+2Y=")</f>
        <v>#REF!</v>
      </c>
      <c r="CZ14" t="str">
        <f>AND(#REF!,"AAAAAHsv+2c=")</f>
        <v>#REF!</v>
      </c>
      <c r="DA14" t="str">
        <f>AND(#REF!,"AAAAAHsv+2g=")</f>
        <v>#REF!</v>
      </c>
      <c r="DB14" t="str">
        <f>AND(#REF!,"AAAAAHsv+2k=")</f>
        <v>#REF!</v>
      </c>
      <c r="DC14" t="str">
        <f>AND(#REF!,"AAAAAHsv+2o=")</f>
        <v>#REF!</v>
      </c>
      <c r="DD14" t="str">
        <f>AND(#REF!,"AAAAAHsv+2s=")</f>
        <v>#REF!</v>
      </c>
      <c r="DE14" t="str">
        <f>AND(#REF!,"AAAAAHsv+2w=")</f>
        <v>#REF!</v>
      </c>
      <c r="DF14" t="str">
        <f>AND(#REF!,"AAAAAHsv+20=")</f>
        <v>#REF!</v>
      </c>
      <c r="DG14" t="str">
        <f>AND(#REF!,"AAAAAHsv+24=")</f>
        <v>#REF!</v>
      </c>
      <c r="DH14" t="str">
        <f>AND(#REF!,"AAAAAHsv+28=")</f>
        <v>#REF!</v>
      </c>
      <c r="DI14" t="str">
        <f>AND(#REF!,"AAAAAHsv+3A=")</f>
        <v>#REF!</v>
      </c>
      <c r="DJ14" t="str">
        <f>AND(#REF!,"AAAAAHsv+3E=")</f>
        <v>#REF!</v>
      </c>
      <c r="DK14" t="str">
        <f>AND(#REF!,"AAAAAHsv+3I=")</f>
        <v>#REF!</v>
      </c>
      <c r="DL14" t="str">
        <f>AND(#REF!,"AAAAAHsv+3M=")</f>
        <v>#REF!</v>
      </c>
      <c r="DM14" t="str">
        <f>AND(#REF!,"AAAAAHsv+3Q=")</f>
        <v>#REF!</v>
      </c>
      <c r="DN14" t="str">
        <f>AND(#REF!,"AAAAAHsv+3U=")</f>
        <v>#REF!</v>
      </c>
      <c r="DO14" t="str">
        <f>AND(#REF!,"AAAAAHsv+3Y=")</f>
        <v>#REF!</v>
      </c>
      <c r="DP14" t="str">
        <f>AND(#REF!,"AAAAAHsv+3c=")</f>
        <v>#REF!</v>
      </c>
      <c r="DQ14" t="str">
        <f>AND(#REF!,"AAAAAHsv+3g=")</f>
        <v>#REF!</v>
      </c>
      <c r="DR14" t="str">
        <f>AND(#REF!,"AAAAAHsv+3k=")</f>
        <v>#REF!</v>
      </c>
      <c r="DS14" t="str">
        <f>AND(#REF!,"AAAAAHsv+3o=")</f>
        <v>#REF!</v>
      </c>
      <c r="DT14" t="str">
        <f>AND(#REF!,"AAAAAHsv+3s=")</f>
        <v>#REF!</v>
      </c>
      <c r="DU14" t="str">
        <f>AND(#REF!,"AAAAAHsv+3w=")</f>
        <v>#REF!</v>
      </c>
      <c r="DV14" t="str">
        <f>AND(#REF!,"AAAAAHsv+30=")</f>
        <v>#REF!</v>
      </c>
      <c r="DW14" t="str">
        <f>AND(#REF!,"AAAAAHsv+34=")</f>
        <v>#REF!</v>
      </c>
      <c r="DX14" t="str">
        <f>AND(#REF!,"AAAAAHsv+38=")</f>
        <v>#REF!</v>
      </c>
      <c r="DY14" t="str">
        <f>AND(#REF!,"AAAAAHsv+4A=")</f>
        <v>#REF!</v>
      </c>
      <c r="DZ14" t="str">
        <f>AND(#REF!,"AAAAAHsv+4E=")</f>
        <v>#REF!</v>
      </c>
      <c r="EA14" t="str">
        <f>AND(#REF!,"AAAAAHsv+4I=")</f>
        <v>#REF!</v>
      </c>
      <c r="EB14" t="str">
        <f>AND(#REF!,"AAAAAHsv+4M=")</f>
        <v>#REF!</v>
      </c>
      <c r="EC14" t="str">
        <f>AND(#REF!,"AAAAAHsv+4Q=")</f>
        <v>#REF!</v>
      </c>
      <c r="ED14" t="str">
        <f>AND(#REF!,"AAAAAHsv+4U=")</f>
        <v>#REF!</v>
      </c>
      <c r="EE14" t="str">
        <f>AND(#REF!,"AAAAAHsv+4Y=")</f>
        <v>#REF!</v>
      </c>
      <c r="EF14" t="str">
        <f>AND(#REF!,"AAAAAHsv+4c=")</f>
        <v>#REF!</v>
      </c>
      <c r="EG14" t="str">
        <f>AND(#REF!,"AAAAAHsv+4g=")</f>
        <v>#REF!</v>
      </c>
      <c r="EH14" t="str">
        <f>AND(#REF!,"AAAAAHsv+4k=")</f>
        <v>#REF!</v>
      </c>
      <c r="EI14" t="str">
        <f>AND(#REF!,"AAAAAHsv+4o=")</f>
        <v>#REF!</v>
      </c>
      <c r="EJ14" t="str">
        <f>AND(#REF!,"AAAAAHsv+4s=")</f>
        <v>#REF!</v>
      </c>
      <c r="EK14" t="str">
        <f>AND(#REF!,"AAAAAHsv+4w=")</f>
        <v>#REF!</v>
      </c>
      <c r="EL14" t="str">
        <f>AND(#REF!,"AAAAAHsv+40=")</f>
        <v>#REF!</v>
      </c>
      <c r="EM14" t="str">
        <f>AND(#REF!,"AAAAAHsv+44=")</f>
        <v>#REF!</v>
      </c>
      <c r="EN14" t="str">
        <f>AND(#REF!,"AAAAAHsv+48=")</f>
        <v>#REF!</v>
      </c>
      <c r="EO14" t="str">
        <f>AND(#REF!,"AAAAAHsv+5A=")</f>
        <v>#REF!</v>
      </c>
      <c r="EP14" t="str">
        <f>AND(#REF!,"AAAAAHsv+5E=")</f>
        <v>#REF!</v>
      </c>
      <c r="EQ14" t="str">
        <f>AND(#REF!,"AAAAAHsv+5I=")</f>
        <v>#REF!</v>
      </c>
      <c r="ER14" t="str">
        <f>AND(#REF!,"AAAAAHsv+5M=")</f>
        <v>#REF!</v>
      </c>
      <c r="ES14" t="str">
        <f>AND(#REF!,"AAAAAHsv+5Q=")</f>
        <v>#REF!</v>
      </c>
      <c r="ET14" t="str">
        <f>AND(#REF!,"AAAAAHsv+5U=")</f>
        <v>#REF!</v>
      </c>
      <c r="EU14" t="str">
        <f>AND(#REF!,"AAAAAHsv+5Y=")</f>
        <v>#REF!</v>
      </c>
      <c r="EV14" t="str">
        <f>AND(#REF!,"AAAAAHsv+5c=")</f>
        <v>#REF!</v>
      </c>
      <c r="EW14" t="str">
        <f>AND(#REF!,"AAAAAHsv+5g=")</f>
        <v>#REF!</v>
      </c>
      <c r="EX14" t="str">
        <f>AND(#REF!,"AAAAAHsv+5k=")</f>
        <v>#REF!</v>
      </c>
      <c r="EY14" t="str">
        <f>AND(#REF!,"AAAAAHsv+5o=")</f>
        <v>#REF!</v>
      </c>
      <c r="EZ14" t="str">
        <f>AND(#REF!,"AAAAAHsv+5s=")</f>
        <v>#REF!</v>
      </c>
      <c r="FA14" t="str">
        <f>AND(#REF!,"AAAAAHsv+5w=")</f>
        <v>#REF!</v>
      </c>
      <c r="FB14" t="str">
        <f>AND(#REF!,"AAAAAHsv+50=")</f>
        <v>#REF!</v>
      </c>
      <c r="FC14" t="str">
        <f>AND(#REF!,"AAAAAHsv+54=")</f>
        <v>#REF!</v>
      </c>
      <c r="FD14" t="str">
        <f>AND(#REF!,"AAAAAHsv+58=")</f>
        <v>#REF!</v>
      </c>
      <c r="FE14" t="str">
        <f>AND(#REF!,"AAAAAHsv+6A=")</f>
        <v>#REF!</v>
      </c>
      <c r="FF14" t="str">
        <f>AND(#REF!,"AAAAAHsv+6E=")</f>
        <v>#REF!</v>
      </c>
      <c r="FG14" t="str">
        <f>AND(#REF!,"AAAAAHsv+6I=")</f>
        <v>#REF!</v>
      </c>
      <c r="FH14" t="str">
        <f>AND(#REF!,"AAAAAHsv+6M=")</f>
        <v>#REF!</v>
      </c>
      <c r="FI14" t="str">
        <f>AND(#REF!,"AAAAAHsv+6Q=")</f>
        <v>#REF!</v>
      </c>
      <c r="FJ14" t="str">
        <f>AND(#REF!,"AAAAAHsv+6U=")</f>
        <v>#REF!</v>
      </c>
      <c r="FK14" t="str">
        <f>AND(#REF!,"AAAAAHsv+6Y=")</f>
        <v>#REF!</v>
      </c>
      <c r="FL14" t="str">
        <f>AND(#REF!,"AAAAAHsv+6c=")</f>
        <v>#REF!</v>
      </c>
      <c r="FM14" t="str">
        <f>AND(#REF!,"AAAAAHsv+6g=")</f>
        <v>#REF!</v>
      </c>
      <c r="FN14" t="str">
        <f>AND(#REF!,"AAAAAHsv+6k=")</f>
        <v>#REF!</v>
      </c>
      <c r="FO14" t="str">
        <f>AND(#REF!,"AAAAAHsv+6o=")</f>
        <v>#REF!</v>
      </c>
      <c r="FP14" t="str">
        <f>AND(#REF!,"AAAAAHsv+6s=")</f>
        <v>#REF!</v>
      </c>
      <c r="FQ14" t="str">
        <f>AND(#REF!,"AAAAAHsv+6w=")</f>
        <v>#REF!</v>
      </c>
      <c r="FR14" t="str">
        <f>AND(#REF!,"AAAAAHsv+60=")</f>
        <v>#REF!</v>
      </c>
      <c r="FS14" t="str">
        <f>AND(#REF!,"AAAAAHsv+64=")</f>
        <v>#REF!</v>
      </c>
      <c r="FT14" t="str">
        <f>IF(#REF!,"AAAAAHsv+68=",0)</f>
        <v>#REF!</v>
      </c>
      <c r="FU14" t="str">
        <f>AND(#REF!,"AAAAAHsv+7A=")</f>
        <v>#REF!</v>
      </c>
      <c r="FV14" t="str">
        <f>AND(#REF!,"AAAAAHsv+7E=")</f>
        <v>#REF!</v>
      </c>
      <c r="FW14" t="str">
        <f>AND(#REF!,"AAAAAHsv+7I=")</f>
        <v>#REF!</v>
      </c>
      <c r="FX14" t="str">
        <f>AND(#REF!,"AAAAAHsv+7M=")</f>
        <v>#REF!</v>
      </c>
      <c r="FY14" t="str">
        <f>AND(#REF!,"AAAAAHsv+7Q=")</f>
        <v>#REF!</v>
      </c>
      <c r="FZ14" t="str">
        <f>AND(#REF!,"AAAAAHsv+7U=")</f>
        <v>#REF!</v>
      </c>
      <c r="GA14" t="str">
        <f>AND(#REF!,"AAAAAHsv+7Y=")</f>
        <v>#REF!</v>
      </c>
      <c r="GB14" t="str">
        <f>AND(#REF!,"AAAAAHsv+7c=")</f>
        <v>#REF!</v>
      </c>
      <c r="GC14" t="str">
        <f>AND(#REF!,"AAAAAHsv+7g=")</f>
        <v>#REF!</v>
      </c>
      <c r="GD14" t="str">
        <f>AND(#REF!,"AAAAAHsv+7k=")</f>
        <v>#REF!</v>
      </c>
      <c r="GE14" t="str">
        <f>AND(#REF!,"AAAAAHsv+7o=")</f>
        <v>#REF!</v>
      </c>
      <c r="GF14" t="str">
        <f>AND(#REF!,"AAAAAHsv+7s=")</f>
        <v>#REF!</v>
      </c>
      <c r="GG14" t="str">
        <f>AND(#REF!,"AAAAAHsv+7w=")</f>
        <v>#REF!</v>
      </c>
      <c r="GH14" t="str">
        <f>AND(#REF!,"AAAAAHsv+70=")</f>
        <v>#REF!</v>
      </c>
      <c r="GI14" t="str">
        <f>AND(#REF!,"AAAAAHsv+74=")</f>
        <v>#REF!</v>
      </c>
      <c r="GJ14" t="str">
        <f>AND(#REF!,"AAAAAHsv+78=")</f>
        <v>#REF!</v>
      </c>
      <c r="GK14" t="str">
        <f>AND(#REF!,"AAAAAHsv+8A=")</f>
        <v>#REF!</v>
      </c>
      <c r="GL14" t="str">
        <f>AND(#REF!,"AAAAAHsv+8E=")</f>
        <v>#REF!</v>
      </c>
      <c r="GM14" t="str">
        <f>AND(#REF!,"AAAAAHsv+8I=")</f>
        <v>#REF!</v>
      </c>
      <c r="GN14" t="str">
        <f>AND(#REF!,"AAAAAHsv+8M=")</f>
        <v>#REF!</v>
      </c>
      <c r="GO14" t="str">
        <f>AND(#REF!,"AAAAAHsv+8Q=")</f>
        <v>#REF!</v>
      </c>
      <c r="GP14" t="str">
        <f>AND(#REF!,"AAAAAHsv+8U=")</f>
        <v>#REF!</v>
      </c>
      <c r="GQ14" t="str">
        <f>AND(#REF!,"AAAAAHsv+8Y=")</f>
        <v>#REF!</v>
      </c>
      <c r="GR14" t="str">
        <f>AND(#REF!,"AAAAAHsv+8c=")</f>
        <v>#REF!</v>
      </c>
      <c r="GS14" t="str">
        <f>AND(#REF!,"AAAAAHsv+8g=")</f>
        <v>#REF!</v>
      </c>
      <c r="GT14" t="str">
        <f>AND(#REF!,"AAAAAHsv+8k=")</f>
        <v>#REF!</v>
      </c>
      <c r="GU14" t="str">
        <f>AND(#REF!,"AAAAAHsv+8o=")</f>
        <v>#REF!</v>
      </c>
      <c r="GV14" t="str">
        <f>AND(#REF!,"AAAAAHsv+8s=")</f>
        <v>#REF!</v>
      </c>
      <c r="GW14" t="str">
        <f>AND(#REF!,"AAAAAHsv+8w=")</f>
        <v>#REF!</v>
      </c>
      <c r="GX14" t="str">
        <f>AND(#REF!,"AAAAAHsv+80=")</f>
        <v>#REF!</v>
      </c>
      <c r="GY14" t="str">
        <f>AND(#REF!,"AAAAAHsv+84=")</f>
        <v>#REF!</v>
      </c>
      <c r="GZ14" t="str">
        <f>AND(#REF!,"AAAAAHsv+88=")</f>
        <v>#REF!</v>
      </c>
      <c r="HA14" t="str">
        <f>AND(#REF!,"AAAAAHsv+9A=")</f>
        <v>#REF!</v>
      </c>
      <c r="HB14" t="str">
        <f>AND(#REF!,"AAAAAHsv+9E=")</f>
        <v>#REF!</v>
      </c>
      <c r="HC14" t="str">
        <f>AND(#REF!,"AAAAAHsv+9I=")</f>
        <v>#REF!</v>
      </c>
      <c r="HD14" t="str">
        <f>AND(#REF!,"AAAAAHsv+9M=")</f>
        <v>#REF!</v>
      </c>
      <c r="HE14" t="str">
        <f>AND(#REF!,"AAAAAHsv+9Q=")</f>
        <v>#REF!</v>
      </c>
      <c r="HF14" t="str">
        <f>AND(#REF!,"AAAAAHsv+9U=")</f>
        <v>#REF!</v>
      </c>
      <c r="HG14" t="str">
        <f>AND(#REF!,"AAAAAHsv+9Y=")</f>
        <v>#REF!</v>
      </c>
      <c r="HH14" t="str">
        <f>AND(#REF!,"AAAAAHsv+9c=")</f>
        <v>#REF!</v>
      </c>
      <c r="HI14" t="str">
        <f>AND(#REF!,"AAAAAHsv+9g=")</f>
        <v>#REF!</v>
      </c>
      <c r="HJ14" t="str">
        <f>AND(#REF!,"AAAAAHsv+9k=")</f>
        <v>#REF!</v>
      </c>
      <c r="HK14" t="str">
        <f>AND(#REF!,"AAAAAHsv+9o=")</f>
        <v>#REF!</v>
      </c>
      <c r="HL14" t="str">
        <f>AND(#REF!,"AAAAAHsv+9s=")</f>
        <v>#REF!</v>
      </c>
      <c r="HM14" t="str">
        <f>AND(#REF!,"AAAAAHsv+9w=")</f>
        <v>#REF!</v>
      </c>
      <c r="HN14" t="str">
        <f>AND(#REF!,"AAAAAHsv+90=")</f>
        <v>#REF!</v>
      </c>
      <c r="HO14" t="str">
        <f>AND(#REF!,"AAAAAHsv+94=")</f>
        <v>#REF!</v>
      </c>
      <c r="HP14" t="str">
        <f>AND(#REF!,"AAAAAHsv+98=")</f>
        <v>#REF!</v>
      </c>
      <c r="HQ14" t="str">
        <f>AND(#REF!,"AAAAAHsv++A=")</f>
        <v>#REF!</v>
      </c>
      <c r="HR14" t="str">
        <f>AND(#REF!,"AAAAAHsv++E=")</f>
        <v>#REF!</v>
      </c>
      <c r="HS14" t="str">
        <f>AND(#REF!,"AAAAAHsv++I=")</f>
        <v>#REF!</v>
      </c>
      <c r="HT14" t="str">
        <f>AND(#REF!,"AAAAAHsv++M=")</f>
        <v>#REF!</v>
      </c>
      <c r="HU14" t="str">
        <f>AND(#REF!,"AAAAAHsv++Q=")</f>
        <v>#REF!</v>
      </c>
      <c r="HV14" t="str">
        <f>AND(#REF!,"AAAAAHsv++U=")</f>
        <v>#REF!</v>
      </c>
      <c r="HW14" t="str">
        <f>AND(#REF!,"AAAAAHsv++Y=")</f>
        <v>#REF!</v>
      </c>
      <c r="HX14" t="str">
        <f>AND(#REF!,"AAAAAHsv++c=")</f>
        <v>#REF!</v>
      </c>
      <c r="HY14" t="str">
        <f>AND(#REF!,"AAAAAHsv++g=")</f>
        <v>#REF!</v>
      </c>
      <c r="HZ14" t="str">
        <f>AND(#REF!,"AAAAAHsv++k=")</f>
        <v>#REF!</v>
      </c>
      <c r="IA14" t="str">
        <f>AND(#REF!,"AAAAAHsv++o=")</f>
        <v>#REF!</v>
      </c>
      <c r="IB14" t="str">
        <f>AND(#REF!,"AAAAAHsv++s=")</f>
        <v>#REF!</v>
      </c>
      <c r="IC14" t="str">
        <f>AND(#REF!,"AAAAAHsv++w=")</f>
        <v>#REF!</v>
      </c>
      <c r="ID14" t="str">
        <f>AND(#REF!,"AAAAAHsv++0=")</f>
        <v>#REF!</v>
      </c>
      <c r="IE14" t="str">
        <f>AND(#REF!,"AAAAAHsv++4=")</f>
        <v>#REF!</v>
      </c>
      <c r="IF14" t="str">
        <f>AND(#REF!,"AAAAAHsv++8=")</f>
        <v>#REF!</v>
      </c>
      <c r="IG14" t="str">
        <f>AND(#REF!,"AAAAAHsv+/A=")</f>
        <v>#REF!</v>
      </c>
      <c r="IH14" t="str">
        <f>AND(#REF!,"AAAAAHsv+/E=")</f>
        <v>#REF!</v>
      </c>
      <c r="II14" t="str">
        <f>AND(#REF!,"AAAAAHsv+/I=")</f>
        <v>#REF!</v>
      </c>
      <c r="IJ14" t="str">
        <f>AND(#REF!,"AAAAAHsv+/M=")</f>
        <v>#REF!</v>
      </c>
      <c r="IK14" t="str">
        <f>AND(#REF!,"AAAAAHsv+/Q=")</f>
        <v>#REF!</v>
      </c>
      <c r="IL14" t="str">
        <f>AND(#REF!,"AAAAAHsv+/U=")</f>
        <v>#REF!</v>
      </c>
      <c r="IM14" t="str">
        <f>AND(#REF!,"AAAAAHsv+/Y=")</f>
        <v>#REF!</v>
      </c>
      <c r="IN14" t="str">
        <f>AND(#REF!,"AAAAAHsv+/c=")</f>
        <v>#REF!</v>
      </c>
      <c r="IO14" t="str">
        <f>AND(#REF!,"AAAAAHsv+/g=")</f>
        <v>#REF!</v>
      </c>
      <c r="IP14" t="str">
        <f>AND(#REF!,"AAAAAHsv+/k=")</f>
        <v>#REF!</v>
      </c>
      <c r="IQ14" t="str">
        <f>AND(#REF!,"AAAAAHsv+/o=")</f>
        <v>#REF!</v>
      </c>
      <c r="IR14" t="str">
        <f>IF(#REF!,"AAAAAHsv+/s=",0)</f>
        <v>#REF!</v>
      </c>
      <c r="IS14" t="str">
        <f>AND(#REF!,"AAAAAHsv+/w=")</f>
        <v>#REF!</v>
      </c>
      <c r="IT14" t="str">
        <f>AND(#REF!,"AAAAAHsv+/0=")</f>
        <v>#REF!</v>
      </c>
      <c r="IU14" t="str">
        <f>AND(#REF!,"AAAAAHsv+/4=")</f>
        <v>#REF!</v>
      </c>
      <c r="IV14" t="str">
        <f>AND(#REF!,"AAAAAHsv+/8=")</f>
        <v>#REF!</v>
      </c>
    </row>
    <row r="15">
      <c r="A15" t="str">
        <f>AND(#REF!,"AAAAACO+/gA=")</f>
        <v>#REF!</v>
      </c>
      <c r="B15" t="str">
        <f>AND(#REF!,"AAAAACO+/gE=")</f>
        <v>#REF!</v>
      </c>
      <c r="C15" t="str">
        <f>AND(#REF!,"AAAAACO+/gI=")</f>
        <v>#REF!</v>
      </c>
      <c r="D15" t="str">
        <f>AND(#REF!,"AAAAACO+/gM=")</f>
        <v>#REF!</v>
      </c>
      <c r="E15" t="str">
        <f>AND(#REF!,"AAAAACO+/gQ=")</f>
        <v>#REF!</v>
      </c>
      <c r="F15" t="str">
        <f>AND(#REF!,"AAAAACO+/gU=")</f>
        <v>#REF!</v>
      </c>
      <c r="G15" t="str">
        <f>AND(#REF!,"AAAAACO+/gY=")</f>
        <v>#REF!</v>
      </c>
      <c r="H15" t="str">
        <f>AND(#REF!,"AAAAACO+/gc=")</f>
        <v>#REF!</v>
      </c>
      <c r="I15" t="str">
        <f>AND(#REF!,"AAAAACO+/gg=")</f>
        <v>#REF!</v>
      </c>
      <c r="J15" t="str">
        <f>AND(#REF!,"AAAAACO+/gk=")</f>
        <v>#REF!</v>
      </c>
      <c r="K15" t="str">
        <f>AND(#REF!,"AAAAACO+/go=")</f>
        <v>#REF!</v>
      </c>
      <c r="L15" t="str">
        <f>AND(#REF!,"AAAAACO+/gs=")</f>
        <v>#REF!</v>
      </c>
      <c r="M15" t="str">
        <f>AND(#REF!,"AAAAACO+/gw=")</f>
        <v>#REF!</v>
      </c>
      <c r="N15" t="str">
        <f>AND(#REF!,"AAAAACO+/g0=")</f>
        <v>#REF!</v>
      </c>
      <c r="O15" t="str">
        <f>AND(#REF!,"AAAAACO+/g4=")</f>
        <v>#REF!</v>
      </c>
      <c r="P15" t="str">
        <f>AND(#REF!,"AAAAACO+/g8=")</f>
        <v>#REF!</v>
      </c>
      <c r="Q15" t="str">
        <f>AND(#REF!,"AAAAACO+/hA=")</f>
        <v>#REF!</v>
      </c>
      <c r="R15" t="str">
        <f>AND(#REF!,"AAAAACO+/hE=")</f>
        <v>#REF!</v>
      </c>
      <c r="S15" t="str">
        <f>AND(#REF!,"AAAAACO+/hI=")</f>
        <v>#REF!</v>
      </c>
      <c r="T15" t="str">
        <f>AND(#REF!,"AAAAACO+/hM=")</f>
        <v>#REF!</v>
      </c>
      <c r="U15" t="str">
        <f>AND(#REF!,"AAAAACO+/hQ=")</f>
        <v>#REF!</v>
      </c>
      <c r="V15" t="str">
        <f>AND(#REF!,"AAAAACO+/hU=")</f>
        <v>#REF!</v>
      </c>
      <c r="W15" t="str">
        <f>AND(#REF!,"AAAAACO+/hY=")</f>
        <v>#REF!</v>
      </c>
      <c r="X15" t="str">
        <f>AND(#REF!,"AAAAACO+/hc=")</f>
        <v>#REF!</v>
      </c>
      <c r="Y15" t="str">
        <f>AND(#REF!,"AAAAACO+/hg=")</f>
        <v>#REF!</v>
      </c>
      <c r="Z15" t="str">
        <f>AND(#REF!,"AAAAACO+/hk=")</f>
        <v>#REF!</v>
      </c>
      <c r="AA15" t="str">
        <f>AND(#REF!,"AAAAACO+/ho=")</f>
        <v>#REF!</v>
      </c>
      <c r="AB15" t="str">
        <f>AND(#REF!,"AAAAACO+/hs=")</f>
        <v>#REF!</v>
      </c>
      <c r="AC15" t="str">
        <f>AND(#REF!,"AAAAACO+/hw=")</f>
        <v>#REF!</v>
      </c>
      <c r="AD15" t="str">
        <f>AND(#REF!,"AAAAACO+/h0=")</f>
        <v>#REF!</v>
      </c>
      <c r="AE15" t="str">
        <f>AND(#REF!,"AAAAACO+/h4=")</f>
        <v>#REF!</v>
      </c>
      <c r="AF15" t="str">
        <f>AND(#REF!,"AAAAACO+/h8=")</f>
        <v>#REF!</v>
      </c>
      <c r="AG15" t="str">
        <f>AND(#REF!,"AAAAACO+/iA=")</f>
        <v>#REF!</v>
      </c>
      <c r="AH15" t="str">
        <f>AND(#REF!,"AAAAACO+/iE=")</f>
        <v>#REF!</v>
      </c>
      <c r="AI15" t="str">
        <f>AND(#REF!,"AAAAACO+/iI=")</f>
        <v>#REF!</v>
      </c>
      <c r="AJ15" t="str">
        <f>AND(#REF!,"AAAAACO+/iM=")</f>
        <v>#REF!</v>
      </c>
      <c r="AK15" t="str">
        <f>AND(#REF!,"AAAAACO+/iQ=")</f>
        <v>#REF!</v>
      </c>
      <c r="AL15" t="str">
        <f>AND(#REF!,"AAAAACO+/iU=")</f>
        <v>#REF!</v>
      </c>
      <c r="AM15" t="str">
        <f>AND(#REF!,"AAAAACO+/iY=")</f>
        <v>#REF!</v>
      </c>
      <c r="AN15" t="str">
        <f>AND(#REF!,"AAAAACO+/ic=")</f>
        <v>#REF!</v>
      </c>
      <c r="AO15" t="str">
        <f>AND(#REF!,"AAAAACO+/ig=")</f>
        <v>#REF!</v>
      </c>
      <c r="AP15" t="str">
        <f>AND(#REF!,"AAAAACO+/ik=")</f>
        <v>#REF!</v>
      </c>
      <c r="AQ15" t="str">
        <f>AND(#REF!,"AAAAACO+/io=")</f>
        <v>#REF!</v>
      </c>
      <c r="AR15" t="str">
        <f>AND(#REF!,"AAAAACO+/is=")</f>
        <v>#REF!</v>
      </c>
      <c r="AS15" t="str">
        <f>AND(#REF!,"AAAAACO+/iw=")</f>
        <v>#REF!</v>
      </c>
      <c r="AT15" t="str">
        <f>AND(#REF!,"AAAAACO+/i0=")</f>
        <v>#REF!</v>
      </c>
      <c r="AU15" t="str">
        <f>AND(#REF!,"AAAAACO+/i4=")</f>
        <v>#REF!</v>
      </c>
      <c r="AV15" t="str">
        <f>AND(#REF!,"AAAAACO+/i8=")</f>
        <v>#REF!</v>
      </c>
      <c r="AW15" t="str">
        <f>AND(#REF!,"AAAAACO+/jA=")</f>
        <v>#REF!</v>
      </c>
      <c r="AX15" t="str">
        <f>AND(#REF!,"AAAAACO+/jE=")</f>
        <v>#REF!</v>
      </c>
      <c r="AY15" t="str">
        <f>AND(#REF!,"AAAAACO+/jI=")</f>
        <v>#REF!</v>
      </c>
      <c r="AZ15" t="str">
        <f>AND(#REF!,"AAAAACO+/jM=")</f>
        <v>#REF!</v>
      </c>
      <c r="BA15" t="str">
        <f>AND(#REF!,"AAAAACO+/jQ=")</f>
        <v>#REF!</v>
      </c>
      <c r="BB15" t="str">
        <f>AND(#REF!,"AAAAACO+/jU=")</f>
        <v>#REF!</v>
      </c>
      <c r="BC15" t="str">
        <f>AND(#REF!,"AAAAACO+/jY=")</f>
        <v>#REF!</v>
      </c>
      <c r="BD15" t="str">
        <f>AND(#REF!,"AAAAACO+/jc=")</f>
        <v>#REF!</v>
      </c>
      <c r="BE15" t="str">
        <f>AND(#REF!,"AAAAACO+/jg=")</f>
        <v>#REF!</v>
      </c>
      <c r="BF15" t="str">
        <f>AND(#REF!,"AAAAACO+/jk=")</f>
        <v>#REF!</v>
      </c>
      <c r="BG15" t="str">
        <f>AND(#REF!,"AAAAACO+/jo=")</f>
        <v>#REF!</v>
      </c>
      <c r="BH15" t="str">
        <f>AND(#REF!,"AAAAACO+/js=")</f>
        <v>#REF!</v>
      </c>
      <c r="BI15" t="str">
        <f>AND(#REF!,"AAAAACO+/jw=")</f>
        <v>#REF!</v>
      </c>
      <c r="BJ15" t="str">
        <f>AND(#REF!,"AAAAACO+/j0=")</f>
        <v>#REF!</v>
      </c>
      <c r="BK15" t="str">
        <f>AND(#REF!,"AAAAACO+/j4=")</f>
        <v>#REF!</v>
      </c>
      <c r="BL15" t="str">
        <f>AND(#REF!,"AAAAACO+/j8=")</f>
        <v>#REF!</v>
      </c>
      <c r="BM15" t="str">
        <f>AND(#REF!,"AAAAACO+/kA=")</f>
        <v>#REF!</v>
      </c>
      <c r="BN15" t="str">
        <f>AND(#REF!,"AAAAACO+/kE=")</f>
        <v>#REF!</v>
      </c>
      <c r="BO15" t="str">
        <f>AND(#REF!,"AAAAACO+/kI=")</f>
        <v>#REF!</v>
      </c>
      <c r="BP15" t="str">
        <f>AND(#REF!,"AAAAACO+/kM=")</f>
        <v>#REF!</v>
      </c>
      <c r="BQ15" t="str">
        <f>AND(#REF!,"AAAAACO+/kQ=")</f>
        <v>#REF!</v>
      </c>
      <c r="BR15" t="str">
        <f>AND(#REF!,"AAAAACO+/kU=")</f>
        <v>#REF!</v>
      </c>
      <c r="BS15" t="str">
        <f>AND(#REF!,"AAAAACO+/kY=")</f>
        <v>#REF!</v>
      </c>
      <c r="BT15" t="str">
        <f>IF(#REF!,"AAAAACO+/kc=",0)</f>
        <v>#REF!</v>
      </c>
      <c r="BU15" t="str">
        <f>AND(#REF!,"AAAAACO+/kg=")</f>
        <v>#REF!</v>
      </c>
      <c r="BV15" t="str">
        <f>AND(#REF!,"AAAAACO+/kk=")</f>
        <v>#REF!</v>
      </c>
      <c r="BW15" t="str">
        <f>AND(#REF!,"AAAAACO+/ko=")</f>
        <v>#REF!</v>
      </c>
      <c r="BX15" t="str">
        <f>AND(#REF!,"AAAAACO+/ks=")</f>
        <v>#REF!</v>
      </c>
      <c r="BY15" t="str">
        <f>AND(#REF!,"AAAAACO+/kw=")</f>
        <v>#REF!</v>
      </c>
      <c r="BZ15" t="str">
        <f>AND(#REF!,"AAAAACO+/k0=")</f>
        <v>#REF!</v>
      </c>
      <c r="CA15" t="str">
        <f>AND(#REF!,"AAAAACO+/k4=")</f>
        <v>#REF!</v>
      </c>
      <c r="CB15" t="str">
        <f>AND(#REF!,"AAAAACO+/k8=")</f>
        <v>#REF!</v>
      </c>
      <c r="CC15" t="str">
        <f>AND(#REF!,"AAAAACO+/lA=")</f>
        <v>#REF!</v>
      </c>
      <c r="CD15" t="str">
        <f>AND(#REF!,"AAAAACO+/lE=")</f>
        <v>#REF!</v>
      </c>
      <c r="CE15" t="str">
        <f>AND(#REF!,"AAAAACO+/lI=")</f>
        <v>#REF!</v>
      </c>
      <c r="CF15" t="str">
        <f>AND(#REF!,"AAAAACO+/lM=")</f>
        <v>#REF!</v>
      </c>
      <c r="CG15" t="str">
        <f>AND(#REF!,"AAAAACO+/lQ=")</f>
        <v>#REF!</v>
      </c>
      <c r="CH15" t="str">
        <f>AND(#REF!,"AAAAACO+/lU=")</f>
        <v>#REF!</v>
      </c>
      <c r="CI15" t="str">
        <f>AND(#REF!,"AAAAACO+/lY=")</f>
        <v>#REF!</v>
      </c>
      <c r="CJ15" t="str">
        <f>AND(#REF!,"AAAAACO+/lc=")</f>
        <v>#REF!</v>
      </c>
      <c r="CK15" t="str">
        <f>AND(#REF!,"AAAAACO+/lg=")</f>
        <v>#REF!</v>
      </c>
      <c r="CL15" t="str">
        <f>AND(#REF!,"AAAAACO+/lk=")</f>
        <v>#REF!</v>
      </c>
      <c r="CM15" t="str">
        <f>AND(#REF!,"AAAAACO+/lo=")</f>
        <v>#REF!</v>
      </c>
      <c r="CN15" t="str">
        <f>AND(#REF!,"AAAAACO+/ls=")</f>
        <v>#REF!</v>
      </c>
      <c r="CO15" t="str">
        <f>AND(#REF!,"AAAAACO+/lw=")</f>
        <v>#REF!</v>
      </c>
      <c r="CP15" t="str">
        <f>AND(#REF!,"AAAAACO+/l0=")</f>
        <v>#REF!</v>
      </c>
      <c r="CQ15" t="str">
        <f>AND(#REF!,"AAAAACO+/l4=")</f>
        <v>#REF!</v>
      </c>
      <c r="CR15" t="str">
        <f>AND(#REF!,"AAAAACO+/l8=")</f>
        <v>#REF!</v>
      </c>
      <c r="CS15" t="str">
        <f>AND(#REF!,"AAAAACO+/mA=")</f>
        <v>#REF!</v>
      </c>
      <c r="CT15" t="str">
        <f>AND(#REF!,"AAAAACO+/mE=")</f>
        <v>#REF!</v>
      </c>
      <c r="CU15" t="str">
        <f>AND(#REF!,"AAAAACO+/mI=")</f>
        <v>#REF!</v>
      </c>
      <c r="CV15" t="str">
        <f>AND(#REF!,"AAAAACO+/mM=")</f>
        <v>#REF!</v>
      </c>
      <c r="CW15" t="str">
        <f>AND(#REF!,"AAAAACO+/mQ=")</f>
        <v>#REF!</v>
      </c>
      <c r="CX15" t="str">
        <f>AND(#REF!,"AAAAACO+/mU=")</f>
        <v>#REF!</v>
      </c>
      <c r="CY15" t="str">
        <f>AND(#REF!,"AAAAACO+/mY=")</f>
        <v>#REF!</v>
      </c>
      <c r="CZ15" t="str">
        <f>AND(#REF!,"AAAAACO+/mc=")</f>
        <v>#REF!</v>
      </c>
      <c r="DA15" t="str">
        <f>AND(#REF!,"AAAAACO+/mg=")</f>
        <v>#REF!</v>
      </c>
      <c r="DB15" t="str">
        <f>AND(#REF!,"AAAAACO+/mk=")</f>
        <v>#REF!</v>
      </c>
      <c r="DC15" t="str">
        <f>AND(#REF!,"AAAAACO+/mo=")</f>
        <v>#REF!</v>
      </c>
      <c r="DD15" t="str">
        <f>AND(#REF!,"AAAAACO+/ms=")</f>
        <v>#REF!</v>
      </c>
      <c r="DE15" t="str">
        <f>AND(#REF!,"AAAAACO+/mw=")</f>
        <v>#REF!</v>
      </c>
      <c r="DF15" t="str">
        <f>AND(#REF!,"AAAAACO+/m0=")</f>
        <v>#REF!</v>
      </c>
      <c r="DG15" t="str">
        <f>AND(#REF!,"AAAAACO+/m4=")</f>
        <v>#REF!</v>
      </c>
      <c r="DH15" t="str">
        <f>AND(#REF!,"AAAAACO+/m8=")</f>
        <v>#REF!</v>
      </c>
      <c r="DI15" t="str">
        <f>AND(#REF!,"AAAAACO+/nA=")</f>
        <v>#REF!</v>
      </c>
      <c r="DJ15" t="str">
        <f>AND(#REF!,"AAAAACO+/nE=")</f>
        <v>#REF!</v>
      </c>
      <c r="DK15" t="str">
        <f>AND(#REF!,"AAAAACO+/nI=")</f>
        <v>#REF!</v>
      </c>
      <c r="DL15" t="str">
        <f>AND(#REF!,"AAAAACO+/nM=")</f>
        <v>#REF!</v>
      </c>
      <c r="DM15" t="str">
        <f>AND(#REF!,"AAAAACO+/nQ=")</f>
        <v>#REF!</v>
      </c>
      <c r="DN15" t="str">
        <f>AND(#REF!,"AAAAACO+/nU=")</f>
        <v>#REF!</v>
      </c>
      <c r="DO15" t="str">
        <f>AND(#REF!,"AAAAACO+/nY=")</f>
        <v>#REF!</v>
      </c>
      <c r="DP15" t="str">
        <f>AND(#REF!,"AAAAACO+/nc=")</f>
        <v>#REF!</v>
      </c>
      <c r="DQ15" t="str">
        <f>AND(#REF!,"AAAAACO+/ng=")</f>
        <v>#REF!</v>
      </c>
      <c r="DR15" t="str">
        <f>AND(#REF!,"AAAAACO+/nk=")</f>
        <v>#REF!</v>
      </c>
      <c r="DS15" t="str">
        <f>AND(#REF!,"AAAAACO+/no=")</f>
        <v>#REF!</v>
      </c>
      <c r="DT15" t="str">
        <f>AND(#REF!,"AAAAACO+/ns=")</f>
        <v>#REF!</v>
      </c>
      <c r="DU15" t="str">
        <f>AND(#REF!,"AAAAACO+/nw=")</f>
        <v>#REF!</v>
      </c>
      <c r="DV15" t="str">
        <f>AND(#REF!,"AAAAACO+/n0=")</f>
        <v>#REF!</v>
      </c>
      <c r="DW15" t="str">
        <f>AND(#REF!,"AAAAACO+/n4=")</f>
        <v>#REF!</v>
      </c>
      <c r="DX15" t="str">
        <f>AND(#REF!,"AAAAACO+/n8=")</f>
        <v>#REF!</v>
      </c>
      <c r="DY15" t="str">
        <f>AND(#REF!,"AAAAACO+/oA=")</f>
        <v>#REF!</v>
      </c>
      <c r="DZ15" t="str">
        <f>AND(#REF!,"AAAAACO+/oE=")</f>
        <v>#REF!</v>
      </c>
      <c r="EA15" t="str">
        <f>AND(#REF!,"AAAAACO+/oI=")</f>
        <v>#REF!</v>
      </c>
      <c r="EB15" t="str">
        <f>AND(#REF!,"AAAAACO+/oM=")</f>
        <v>#REF!</v>
      </c>
      <c r="EC15" t="str">
        <f>AND(#REF!,"AAAAACO+/oQ=")</f>
        <v>#REF!</v>
      </c>
      <c r="ED15" t="str">
        <f>AND(#REF!,"AAAAACO+/oU=")</f>
        <v>#REF!</v>
      </c>
      <c r="EE15" t="str">
        <f>AND(#REF!,"AAAAACO+/oY=")</f>
        <v>#REF!</v>
      </c>
      <c r="EF15" t="str">
        <f>AND(#REF!,"AAAAACO+/oc=")</f>
        <v>#REF!</v>
      </c>
      <c r="EG15" t="str">
        <f>AND(#REF!,"AAAAACO+/og=")</f>
        <v>#REF!</v>
      </c>
      <c r="EH15" t="str">
        <f>AND(#REF!,"AAAAACO+/ok=")</f>
        <v>#REF!</v>
      </c>
      <c r="EI15" t="str">
        <f>AND(#REF!,"AAAAACO+/oo=")</f>
        <v>#REF!</v>
      </c>
      <c r="EJ15" t="str">
        <f>AND(#REF!,"AAAAACO+/os=")</f>
        <v>#REF!</v>
      </c>
      <c r="EK15" t="str">
        <f>AND(#REF!,"AAAAACO+/ow=")</f>
        <v>#REF!</v>
      </c>
      <c r="EL15" t="str">
        <f>AND(#REF!,"AAAAACO+/o0=")</f>
        <v>#REF!</v>
      </c>
      <c r="EM15" t="str">
        <f>AND(#REF!,"AAAAACO+/o4=")</f>
        <v>#REF!</v>
      </c>
      <c r="EN15" t="str">
        <f>AND(#REF!,"AAAAACO+/o8=")</f>
        <v>#REF!</v>
      </c>
      <c r="EO15" t="str">
        <f>AND(#REF!,"AAAAACO+/pA=")</f>
        <v>#REF!</v>
      </c>
      <c r="EP15" t="str">
        <f>AND(#REF!,"AAAAACO+/pE=")</f>
        <v>#REF!</v>
      </c>
      <c r="EQ15" t="str">
        <f>AND(#REF!,"AAAAACO+/pI=")</f>
        <v>#REF!</v>
      </c>
      <c r="ER15" t="str">
        <f>IF(#REF!,"AAAAACO+/pM=",0)</f>
        <v>#REF!</v>
      </c>
      <c r="ES15" t="str">
        <f>AND(#REF!,"AAAAACO+/pQ=")</f>
        <v>#REF!</v>
      </c>
      <c r="ET15" t="str">
        <f>AND(#REF!,"AAAAACO+/pU=")</f>
        <v>#REF!</v>
      </c>
      <c r="EU15" t="str">
        <f>AND(#REF!,"AAAAACO+/pY=")</f>
        <v>#REF!</v>
      </c>
      <c r="EV15" t="str">
        <f>AND(#REF!,"AAAAACO+/pc=")</f>
        <v>#REF!</v>
      </c>
      <c r="EW15" t="str">
        <f>AND(#REF!,"AAAAACO+/pg=")</f>
        <v>#REF!</v>
      </c>
      <c r="EX15" t="str">
        <f>AND(#REF!,"AAAAACO+/pk=")</f>
        <v>#REF!</v>
      </c>
      <c r="EY15" t="str">
        <f>AND(#REF!,"AAAAACO+/po=")</f>
        <v>#REF!</v>
      </c>
      <c r="EZ15" t="str">
        <f>AND(#REF!,"AAAAACO+/ps=")</f>
        <v>#REF!</v>
      </c>
      <c r="FA15" t="str">
        <f>AND(#REF!,"AAAAACO+/pw=")</f>
        <v>#REF!</v>
      </c>
      <c r="FB15" t="str">
        <f>AND(#REF!,"AAAAACO+/p0=")</f>
        <v>#REF!</v>
      </c>
      <c r="FC15" t="str">
        <f>AND(#REF!,"AAAAACO+/p4=")</f>
        <v>#REF!</v>
      </c>
      <c r="FD15" t="str">
        <f>AND(#REF!,"AAAAACO+/p8=")</f>
        <v>#REF!</v>
      </c>
      <c r="FE15" t="str">
        <f>AND(#REF!,"AAAAACO+/qA=")</f>
        <v>#REF!</v>
      </c>
      <c r="FF15" t="str">
        <f>AND(#REF!,"AAAAACO+/qE=")</f>
        <v>#REF!</v>
      </c>
      <c r="FG15" t="str">
        <f>AND(#REF!,"AAAAACO+/qI=")</f>
        <v>#REF!</v>
      </c>
      <c r="FH15" t="str">
        <f>AND(#REF!,"AAAAACO+/qM=")</f>
        <v>#REF!</v>
      </c>
      <c r="FI15" t="str">
        <f>AND(#REF!,"AAAAACO+/qQ=")</f>
        <v>#REF!</v>
      </c>
      <c r="FJ15" t="str">
        <f>AND(#REF!,"AAAAACO+/qU=")</f>
        <v>#REF!</v>
      </c>
      <c r="FK15" t="str">
        <f>AND(#REF!,"AAAAACO+/qY=")</f>
        <v>#REF!</v>
      </c>
      <c r="FL15" t="str">
        <f>AND(#REF!,"AAAAACO+/qc=")</f>
        <v>#REF!</v>
      </c>
      <c r="FM15" t="str">
        <f>AND(#REF!,"AAAAACO+/qg=")</f>
        <v>#REF!</v>
      </c>
      <c r="FN15" t="str">
        <f>AND(#REF!,"AAAAACO+/qk=")</f>
        <v>#REF!</v>
      </c>
      <c r="FO15" t="str">
        <f>AND(#REF!,"AAAAACO+/qo=")</f>
        <v>#REF!</v>
      </c>
      <c r="FP15" t="str">
        <f>AND(#REF!,"AAAAACO+/qs=")</f>
        <v>#REF!</v>
      </c>
      <c r="FQ15" t="str">
        <f>AND(#REF!,"AAAAACO+/qw=")</f>
        <v>#REF!</v>
      </c>
      <c r="FR15" t="str">
        <f>AND(#REF!,"AAAAACO+/q0=")</f>
        <v>#REF!</v>
      </c>
      <c r="FS15" t="str">
        <f>AND(#REF!,"AAAAACO+/q4=")</f>
        <v>#REF!</v>
      </c>
      <c r="FT15" t="str">
        <f>AND(#REF!,"AAAAACO+/q8=")</f>
        <v>#REF!</v>
      </c>
      <c r="FU15" t="str">
        <f>AND(#REF!,"AAAAACO+/rA=")</f>
        <v>#REF!</v>
      </c>
      <c r="FV15" t="str">
        <f>AND(#REF!,"AAAAACO+/rE=")</f>
        <v>#REF!</v>
      </c>
      <c r="FW15" t="str">
        <f>AND(#REF!,"AAAAACO+/rI=")</f>
        <v>#REF!</v>
      </c>
      <c r="FX15" t="str">
        <f>AND(#REF!,"AAAAACO+/rM=")</f>
        <v>#REF!</v>
      </c>
      <c r="FY15" t="str">
        <f>AND(#REF!,"AAAAACO+/rQ=")</f>
        <v>#REF!</v>
      </c>
      <c r="FZ15" t="str">
        <f>AND(#REF!,"AAAAACO+/rU=")</f>
        <v>#REF!</v>
      </c>
      <c r="GA15" t="str">
        <f>AND(#REF!,"AAAAACO+/rY=")</f>
        <v>#REF!</v>
      </c>
      <c r="GB15" t="str">
        <f>AND(#REF!,"AAAAACO+/rc=")</f>
        <v>#REF!</v>
      </c>
      <c r="GC15" t="str">
        <f>AND(#REF!,"AAAAACO+/rg=")</f>
        <v>#REF!</v>
      </c>
      <c r="GD15" t="str">
        <f>AND(#REF!,"AAAAACO+/rk=")</f>
        <v>#REF!</v>
      </c>
      <c r="GE15" t="str">
        <f>AND(#REF!,"AAAAACO+/ro=")</f>
        <v>#REF!</v>
      </c>
      <c r="GF15" t="str">
        <f>AND(#REF!,"AAAAACO+/rs=")</f>
        <v>#REF!</v>
      </c>
      <c r="GG15" t="str">
        <f>AND(#REF!,"AAAAACO+/rw=")</f>
        <v>#REF!</v>
      </c>
      <c r="GH15" t="str">
        <f>AND(#REF!,"AAAAACO+/r0=")</f>
        <v>#REF!</v>
      </c>
      <c r="GI15" t="str">
        <f>AND(#REF!,"AAAAACO+/r4=")</f>
        <v>#REF!</v>
      </c>
      <c r="GJ15" t="str">
        <f>AND(#REF!,"AAAAACO+/r8=")</f>
        <v>#REF!</v>
      </c>
      <c r="GK15" t="str">
        <f>AND(#REF!,"AAAAACO+/sA=")</f>
        <v>#REF!</v>
      </c>
      <c r="GL15" t="str">
        <f>AND(#REF!,"AAAAACO+/sE=")</f>
        <v>#REF!</v>
      </c>
      <c r="GM15" t="str">
        <f>AND(#REF!,"AAAAACO+/sI=")</f>
        <v>#REF!</v>
      </c>
      <c r="GN15" t="str">
        <f>AND(#REF!,"AAAAACO+/sM=")</f>
        <v>#REF!</v>
      </c>
      <c r="GO15" t="str">
        <f>AND(#REF!,"AAAAACO+/sQ=")</f>
        <v>#REF!</v>
      </c>
      <c r="GP15" t="str">
        <f>AND(#REF!,"AAAAACO+/sU=")</f>
        <v>#REF!</v>
      </c>
      <c r="GQ15" t="str">
        <f>AND(#REF!,"AAAAACO+/sY=")</f>
        <v>#REF!</v>
      </c>
      <c r="GR15" t="str">
        <f>AND(#REF!,"AAAAACO+/sc=")</f>
        <v>#REF!</v>
      </c>
      <c r="GS15" t="str">
        <f>AND(#REF!,"AAAAACO+/sg=")</f>
        <v>#REF!</v>
      </c>
      <c r="GT15" t="str">
        <f>AND(#REF!,"AAAAACO+/sk=")</f>
        <v>#REF!</v>
      </c>
      <c r="GU15" t="str">
        <f>AND(#REF!,"AAAAACO+/so=")</f>
        <v>#REF!</v>
      </c>
      <c r="GV15" t="str">
        <f>AND(#REF!,"AAAAACO+/ss=")</f>
        <v>#REF!</v>
      </c>
      <c r="GW15" t="str">
        <f>AND(#REF!,"AAAAACO+/sw=")</f>
        <v>#REF!</v>
      </c>
      <c r="GX15" t="str">
        <f>AND(#REF!,"AAAAACO+/s0=")</f>
        <v>#REF!</v>
      </c>
      <c r="GY15" t="str">
        <f>AND(#REF!,"AAAAACO+/s4=")</f>
        <v>#REF!</v>
      </c>
      <c r="GZ15" t="str">
        <f>AND(#REF!,"AAAAACO+/s8=")</f>
        <v>#REF!</v>
      </c>
      <c r="HA15" t="str">
        <f>AND(#REF!,"AAAAACO+/tA=")</f>
        <v>#REF!</v>
      </c>
      <c r="HB15" t="str">
        <f>AND(#REF!,"AAAAACO+/tE=")</f>
        <v>#REF!</v>
      </c>
      <c r="HC15" t="str">
        <f>AND(#REF!,"AAAAACO+/tI=")</f>
        <v>#REF!</v>
      </c>
      <c r="HD15" t="str">
        <f>AND(#REF!,"AAAAACO+/tM=")</f>
        <v>#REF!</v>
      </c>
      <c r="HE15" t="str">
        <f>AND(#REF!,"AAAAACO+/tQ=")</f>
        <v>#REF!</v>
      </c>
      <c r="HF15" t="str">
        <f>AND(#REF!,"AAAAACO+/tU=")</f>
        <v>#REF!</v>
      </c>
      <c r="HG15" t="str">
        <f>AND(#REF!,"AAAAACO+/tY=")</f>
        <v>#REF!</v>
      </c>
      <c r="HH15" t="str">
        <f>AND(#REF!,"AAAAACO+/tc=")</f>
        <v>#REF!</v>
      </c>
      <c r="HI15" t="str">
        <f>AND(#REF!,"AAAAACO+/tg=")</f>
        <v>#REF!</v>
      </c>
      <c r="HJ15" t="str">
        <f>AND(#REF!,"AAAAACO+/tk=")</f>
        <v>#REF!</v>
      </c>
      <c r="HK15" t="str">
        <f>AND(#REF!,"AAAAACO+/to=")</f>
        <v>#REF!</v>
      </c>
      <c r="HL15" t="str">
        <f>AND(#REF!,"AAAAACO+/ts=")</f>
        <v>#REF!</v>
      </c>
      <c r="HM15" t="str">
        <f>AND(#REF!,"AAAAACO+/tw=")</f>
        <v>#REF!</v>
      </c>
      <c r="HN15" t="str">
        <f>AND(#REF!,"AAAAACO+/t0=")</f>
        <v>#REF!</v>
      </c>
      <c r="HO15" t="str">
        <f>AND(#REF!,"AAAAACO+/t4=")</f>
        <v>#REF!</v>
      </c>
      <c r="HP15" t="str">
        <f>IF(#REF!,"AAAAACO+/t8=",0)</f>
        <v>#REF!</v>
      </c>
      <c r="HQ15" t="str">
        <f>AND(#REF!,"AAAAACO+/uA=")</f>
        <v>#REF!</v>
      </c>
      <c r="HR15" t="str">
        <f>AND(#REF!,"AAAAACO+/uE=")</f>
        <v>#REF!</v>
      </c>
      <c r="HS15" t="str">
        <f>AND(#REF!,"AAAAACO+/uI=")</f>
        <v>#REF!</v>
      </c>
      <c r="HT15" t="str">
        <f>AND(#REF!,"AAAAACO+/uM=")</f>
        <v>#REF!</v>
      </c>
      <c r="HU15" t="str">
        <f>AND(#REF!,"AAAAACO+/uQ=")</f>
        <v>#REF!</v>
      </c>
      <c r="HV15" t="str">
        <f>AND(#REF!,"AAAAACO+/uU=")</f>
        <v>#REF!</v>
      </c>
      <c r="HW15" t="str">
        <f>AND(#REF!,"AAAAACO+/uY=")</f>
        <v>#REF!</v>
      </c>
      <c r="HX15" t="str">
        <f>AND(#REF!,"AAAAACO+/uc=")</f>
        <v>#REF!</v>
      </c>
      <c r="HY15" t="str">
        <f>AND(#REF!,"AAAAACO+/ug=")</f>
        <v>#REF!</v>
      </c>
      <c r="HZ15" t="str">
        <f>AND(#REF!,"AAAAACO+/uk=")</f>
        <v>#REF!</v>
      </c>
      <c r="IA15" t="str">
        <f>AND(#REF!,"AAAAACO+/uo=")</f>
        <v>#REF!</v>
      </c>
      <c r="IB15" t="str">
        <f>AND(#REF!,"AAAAACO+/us=")</f>
        <v>#REF!</v>
      </c>
      <c r="IC15" t="str">
        <f>AND(#REF!,"AAAAACO+/uw=")</f>
        <v>#REF!</v>
      </c>
      <c r="ID15" t="str">
        <f>AND(#REF!,"AAAAACO+/u0=")</f>
        <v>#REF!</v>
      </c>
      <c r="IE15" t="str">
        <f>AND(#REF!,"AAAAACO+/u4=")</f>
        <v>#REF!</v>
      </c>
      <c r="IF15" t="str">
        <f>AND(#REF!,"AAAAACO+/u8=")</f>
        <v>#REF!</v>
      </c>
      <c r="IG15" t="str">
        <f>AND(#REF!,"AAAAACO+/vA=")</f>
        <v>#REF!</v>
      </c>
      <c r="IH15" t="str">
        <f>AND(#REF!,"AAAAACO+/vE=")</f>
        <v>#REF!</v>
      </c>
      <c r="II15" t="str">
        <f>AND(#REF!,"AAAAACO+/vI=")</f>
        <v>#REF!</v>
      </c>
      <c r="IJ15" t="str">
        <f>AND(#REF!,"AAAAACO+/vM=")</f>
        <v>#REF!</v>
      </c>
      <c r="IK15" t="str">
        <f>AND(#REF!,"AAAAACO+/vQ=")</f>
        <v>#REF!</v>
      </c>
      <c r="IL15" t="str">
        <f>AND(#REF!,"AAAAACO+/vU=")</f>
        <v>#REF!</v>
      </c>
      <c r="IM15" t="str">
        <f>AND(#REF!,"AAAAACO+/vY=")</f>
        <v>#REF!</v>
      </c>
      <c r="IN15" t="str">
        <f>AND(#REF!,"AAAAACO+/vc=")</f>
        <v>#REF!</v>
      </c>
      <c r="IO15" t="str">
        <f>AND(#REF!,"AAAAACO+/vg=")</f>
        <v>#REF!</v>
      </c>
      <c r="IP15" t="str">
        <f>AND(#REF!,"AAAAACO+/vk=")</f>
        <v>#REF!</v>
      </c>
      <c r="IQ15" t="str">
        <f>AND(#REF!,"AAAAACO+/vo=")</f>
        <v>#REF!</v>
      </c>
      <c r="IR15" t="str">
        <f>AND(#REF!,"AAAAACO+/vs=")</f>
        <v>#REF!</v>
      </c>
      <c r="IS15" t="str">
        <f>AND(#REF!,"AAAAACO+/vw=")</f>
        <v>#REF!</v>
      </c>
      <c r="IT15" t="str">
        <f>AND(#REF!,"AAAAACO+/v0=")</f>
        <v>#REF!</v>
      </c>
      <c r="IU15" t="str">
        <f>AND(#REF!,"AAAAACO+/v4=")</f>
        <v>#REF!</v>
      </c>
      <c r="IV15" t="str">
        <f>AND(#REF!,"AAAAACO+/v8=")</f>
        <v>#REF!</v>
      </c>
    </row>
    <row r="16">
      <c r="A16" t="str">
        <f>AND(#REF!,"AAAAAH/9hwA=")</f>
        <v>#REF!</v>
      </c>
      <c r="B16" t="str">
        <f>AND(#REF!,"AAAAAH/9hwE=")</f>
        <v>#REF!</v>
      </c>
      <c r="C16" t="str">
        <f>AND(#REF!,"AAAAAH/9hwI=")</f>
        <v>#REF!</v>
      </c>
      <c r="D16" t="str">
        <f>AND(#REF!,"AAAAAH/9hwM=")</f>
        <v>#REF!</v>
      </c>
      <c r="E16" t="str">
        <f>AND(#REF!,"AAAAAH/9hwQ=")</f>
        <v>#REF!</v>
      </c>
      <c r="F16" t="str">
        <f>AND(#REF!,"AAAAAH/9hwU=")</f>
        <v>#REF!</v>
      </c>
      <c r="G16" t="str">
        <f>AND(#REF!,"AAAAAH/9hwY=")</f>
        <v>#REF!</v>
      </c>
      <c r="H16" t="str">
        <f>AND(#REF!,"AAAAAH/9hwc=")</f>
        <v>#REF!</v>
      </c>
      <c r="I16" t="str">
        <f>AND(#REF!,"AAAAAH/9hwg=")</f>
        <v>#REF!</v>
      </c>
      <c r="J16" t="str">
        <f>AND(#REF!,"AAAAAH/9hwk=")</f>
        <v>#REF!</v>
      </c>
      <c r="K16" t="str">
        <f>AND(#REF!,"AAAAAH/9hwo=")</f>
        <v>#REF!</v>
      </c>
      <c r="L16" t="str">
        <f>AND(#REF!,"AAAAAH/9hws=")</f>
        <v>#REF!</v>
      </c>
      <c r="M16" t="str">
        <f>AND(#REF!,"AAAAAH/9hww=")</f>
        <v>#REF!</v>
      </c>
      <c r="N16" t="str">
        <f>AND(#REF!,"AAAAAH/9hw0=")</f>
        <v>#REF!</v>
      </c>
      <c r="O16" t="str">
        <f>AND(#REF!,"AAAAAH/9hw4=")</f>
        <v>#REF!</v>
      </c>
      <c r="P16" t="str">
        <f>AND(#REF!,"AAAAAH/9hw8=")</f>
        <v>#REF!</v>
      </c>
      <c r="Q16" t="str">
        <f>AND(#REF!,"AAAAAH/9hxA=")</f>
        <v>#REF!</v>
      </c>
      <c r="R16" t="str">
        <f>AND(#REF!,"AAAAAH/9hxE=")</f>
        <v>#REF!</v>
      </c>
      <c r="S16" t="str">
        <f>AND(#REF!,"AAAAAH/9hxI=")</f>
        <v>#REF!</v>
      </c>
      <c r="T16" t="str">
        <f>AND(#REF!,"AAAAAH/9hxM=")</f>
        <v>#REF!</v>
      </c>
      <c r="U16" t="str">
        <f>AND(#REF!,"AAAAAH/9hxQ=")</f>
        <v>#REF!</v>
      </c>
      <c r="V16" t="str">
        <f>AND(#REF!,"AAAAAH/9hxU=")</f>
        <v>#REF!</v>
      </c>
      <c r="W16" t="str">
        <f>AND(#REF!,"AAAAAH/9hxY=")</f>
        <v>#REF!</v>
      </c>
      <c r="X16" t="str">
        <f>AND(#REF!,"AAAAAH/9hxc=")</f>
        <v>#REF!</v>
      </c>
      <c r="Y16" t="str">
        <f>AND(#REF!,"AAAAAH/9hxg=")</f>
        <v>#REF!</v>
      </c>
      <c r="Z16" t="str">
        <f>AND(#REF!,"AAAAAH/9hxk=")</f>
        <v>#REF!</v>
      </c>
      <c r="AA16" t="str">
        <f>AND(#REF!,"AAAAAH/9hxo=")</f>
        <v>#REF!</v>
      </c>
      <c r="AB16" t="str">
        <f>AND(#REF!,"AAAAAH/9hxs=")</f>
        <v>#REF!</v>
      </c>
      <c r="AC16" t="str">
        <f>AND(#REF!,"AAAAAH/9hxw=")</f>
        <v>#REF!</v>
      </c>
      <c r="AD16" t="str">
        <f>AND(#REF!,"AAAAAH/9hx0=")</f>
        <v>#REF!</v>
      </c>
      <c r="AE16" t="str">
        <f>AND(#REF!,"AAAAAH/9hx4=")</f>
        <v>#REF!</v>
      </c>
      <c r="AF16" t="str">
        <f>AND(#REF!,"AAAAAH/9hx8=")</f>
        <v>#REF!</v>
      </c>
      <c r="AG16" t="str">
        <f>AND(#REF!,"AAAAAH/9hyA=")</f>
        <v>#REF!</v>
      </c>
      <c r="AH16" t="str">
        <f>AND(#REF!,"AAAAAH/9hyE=")</f>
        <v>#REF!</v>
      </c>
      <c r="AI16" t="str">
        <f>AND(#REF!,"AAAAAH/9hyI=")</f>
        <v>#REF!</v>
      </c>
      <c r="AJ16" t="str">
        <f>AND(#REF!,"AAAAAH/9hyM=")</f>
        <v>#REF!</v>
      </c>
      <c r="AK16" t="str">
        <f>AND(#REF!,"AAAAAH/9hyQ=")</f>
        <v>#REF!</v>
      </c>
      <c r="AL16" t="str">
        <f>AND(#REF!,"AAAAAH/9hyU=")</f>
        <v>#REF!</v>
      </c>
      <c r="AM16" t="str">
        <f>AND(#REF!,"AAAAAH/9hyY=")</f>
        <v>#REF!</v>
      </c>
      <c r="AN16" t="str">
        <f>AND(#REF!,"AAAAAH/9hyc=")</f>
        <v>#REF!</v>
      </c>
      <c r="AO16" t="str">
        <f>AND(#REF!,"AAAAAH/9hyg=")</f>
        <v>#REF!</v>
      </c>
      <c r="AP16" t="str">
        <f>AND(#REF!,"AAAAAH/9hyk=")</f>
        <v>#REF!</v>
      </c>
      <c r="AQ16" t="str">
        <f>AND(#REF!,"AAAAAH/9hyo=")</f>
        <v>#REF!</v>
      </c>
      <c r="AR16" t="str">
        <f>IF(#REF!,"AAAAAH/9hys=",0)</f>
        <v>#REF!</v>
      </c>
      <c r="AS16" t="str">
        <f>AND(#REF!,"AAAAAH/9hyw=")</f>
        <v>#REF!</v>
      </c>
      <c r="AT16" t="str">
        <f>AND(#REF!,"AAAAAH/9hy0=")</f>
        <v>#REF!</v>
      </c>
      <c r="AU16" t="str">
        <f>AND(#REF!,"AAAAAH/9hy4=")</f>
        <v>#REF!</v>
      </c>
      <c r="AV16" t="str">
        <f>AND(#REF!,"AAAAAH/9hy8=")</f>
        <v>#REF!</v>
      </c>
      <c r="AW16" t="str">
        <f>AND(#REF!,"AAAAAH/9hzA=")</f>
        <v>#REF!</v>
      </c>
      <c r="AX16" t="str">
        <f>AND(#REF!,"AAAAAH/9hzE=")</f>
        <v>#REF!</v>
      </c>
      <c r="AY16" t="str">
        <f>AND(#REF!,"AAAAAH/9hzI=")</f>
        <v>#REF!</v>
      </c>
      <c r="AZ16" t="str">
        <f>AND(#REF!,"AAAAAH/9hzM=")</f>
        <v>#REF!</v>
      </c>
      <c r="BA16" t="str">
        <f>AND(#REF!,"AAAAAH/9hzQ=")</f>
        <v>#REF!</v>
      </c>
      <c r="BB16" t="str">
        <f>AND(#REF!,"AAAAAH/9hzU=")</f>
        <v>#REF!</v>
      </c>
      <c r="BC16" t="str">
        <f>AND(#REF!,"AAAAAH/9hzY=")</f>
        <v>#REF!</v>
      </c>
      <c r="BD16" t="str">
        <f>AND(#REF!,"AAAAAH/9hzc=")</f>
        <v>#REF!</v>
      </c>
      <c r="BE16" t="str">
        <f>AND(#REF!,"AAAAAH/9hzg=")</f>
        <v>#REF!</v>
      </c>
      <c r="BF16" t="str">
        <f>AND(#REF!,"AAAAAH/9hzk=")</f>
        <v>#REF!</v>
      </c>
      <c r="BG16" t="str">
        <f>AND(#REF!,"AAAAAH/9hzo=")</f>
        <v>#REF!</v>
      </c>
      <c r="BH16" t="str">
        <f>AND(#REF!,"AAAAAH/9hzs=")</f>
        <v>#REF!</v>
      </c>
      <c r="BI16" t="str">
        <f>AND(#REF!,"AAAAAH/9hzw=")</f>
        <v>#REF!</v>
      </c>
      <c r="BJ16" t="str">
        <f>AND(#REF!,"AAAAAH/9hz0=")</f>
        <v>#REF!</v>
      </c>
      <c r="BK16" t="str">
        <f>AND(#REF!,"AAAAAH/9hz4=")</f>
        <v>#REF!</v>
      </c>
      <c r="BL16" t="str">
        <f>AND(#REF!,"AAAAAH/9hz8=")</f>
        <v>#REF!</v>
      </c>
      <c r="BM16" t="str">
        <f>AND(#REF!,"AAAAAH/9h0A=")</f>
        <v>#REF!</v>
      </c>
      <c r="BN16" t="str">
        <f>AND(#REF!,"AAAAAH/9h0E=")</f>
        <v>#REF!</v>
      </c>
      <c r="BO16" t="str">
        <f>AND(#REF!,"AAAAAH/9h0I=")</f>
        <v>#REF!</v>
      </c>
      <c r="BP16" t="str">
        <f>AND(#REF!,"AAAAAH/9h0M=")</f>
        <v>#REF!</v>
      </c>
      <c r="BQ16" t="str">
        <f>AND(#REF!,"AAAAAH/9h0Q=")</f>
        <v>#REF!</v>
      </c>
      <c r="BR16" t="str">
        <f>AND(#REF!,"AAAAAH/9h0U=")</f>
        <v>#REF!</v>
      </c>
      <c r="BS16" t="str">
        <f>AND(#REF!,"AAAAAH/9h0Y=")</f>
        <v>#REF!</v>
      </c>
      <c r="BT16" t="str">
        <f>AND(#REF!,"AAAAAH/9h0c=")</f>
        <v>#REF!</v>
      </c>
      <c r="BU16" t="str">
        <f>AND(#REF!,"AAAAAH/9h0g=")</f>
        <v>#REF!</v>
      </c>
      <c r="BV16" t="str">
        <f>AND(#REF!,"AAAAAH/9h0k=")</f>
        <v>#REF!</v>
      </c>
      <c r="BW16" t="str">
        <f>AND(#REF!,"AAAAAH/9h0o=")</f>
        <v>#REF!</v>
      </c>
      <c r="BX16" t="str">
        <f>AND(#REF!,"AAAAAH/9h0s=")</f>
        <v>#REF!</v>
      </c>
      <c r="BY16" t="str">
        <f>AND(#REF!,"AAAAAH/9h0w=")</f>
        <v>#REF!</v>
      </c>
      <c r="BZ16" t="str">
        <f>AND(#REF!,"AAAAAH/9h00=")</f>
        <v>#REF!</v>
      </c>
      <c r="CA16" t="str">
        <f>AND(#REF!,"AAAAAH/9h04=")</f>
        <v>#REF!</v>
      </c>
      <c r="CB16" t="str">
        <f>AND(#REF!,"AAAAAH/9h08=")</f>
        <v>#REF!</v>
      </c>
      <c r="CC16" t="str">
        <f>AND(#REF!,"AAAAAH/9h1A=")</f>
        <v>#REF!</v>
      </c>
      <c r="CD16" t="str">
        <f>AND(#REF!,"AAAAAH/9h1E=")</f>
        <v>#REF!</v>
      </c>
      <c r="CE16" t="str">
        <f>AND(#REF!,"AAAAAH/9h1I=")</f>
        <v>#REF!</v>
      </c>
      <c r="CF16" t="str">
        <f>AND(#REF!,"AAAAAH/9h1M=")</f>
        <v>#REF!</v>
      </c>
      <c r="CG16" t="str">
        <f>AND(#REF!,"AAAAAH/9h1Q=")</f>
        <v>#REF!</v>
      </c>
      <c r="CH16" t="str">
        <f>AND(#REF!,"AAAAAH/9h1U=")</f>
        <v>#REF!</v>
      </c>
      <c r="CI16" t="str">
        <f>AND(#REF!,"AAAAAH/9h1Y=")</f>
        <v>#REF!</v>
      </c>
      <c r="CJ16" t="str">
        <f>AND(#REF!,"AAAAAH/9h1c=")</f>
        <v>#REF!</v>
      </c>
      <c r="CK16" t="str">
        <f>AND(#REF!,"AAAAAH/9h1g=")</f>
        <v>#REF!</v>
      </c>
      <c r="CL16" t="str">
        <f>AND(#REF!,"AAAAAH/9h1k=")</f>
        <v>#REF!</v>
      </c>
      <c r="CM16" t="str">
        <f>AND(#REF!,"AAAAAH/9h1o=")</f>
        <v>#REF!</v>
      </c>
      <c r="CN16" t="str">
        <f>AND(#REF!,"AAAAAH/9h1s=")</f>
        <v>#REF!</v>
      </c>
      <c r="CO16" t="str">
        <f>AND(#REF!,"AAAAAH/9h1w=")</f>
        <v>#REF!</v>
      </c>
      <c r="CP16" t="str">
        <f>AND(#REF!,"AAAAAH/9h10=")</f>
        <v>#REF!</v>
      </c>
      <c r="CQ16" t="str">
        <f>AND(#REF!,"AAAAAH/9h14=")</f>
        <v>#REF!</v>
      </c>
      <c r="CR16" t="str">
        <f>AND(#REF!,"AAAAAH/9h18=")</f>
        <v>#REF!</v>
      </c>
      <c r="CS16" t="str">
        <f>AND(#REF!,"AAAAAH/9h2A=")</f>
        <v>#REF!</v>
      </c>
      <c r="CT16" t="str">
        <f>AND(#REF!,"AAAAAH/9h2E=")</f>
        <v>#REF!</v>
      </c>
      <c r="CU16" t="str">
        <f>AND(#REF!,"AAAAAH/9h2I=")</f>
        <v>#REF!</v>
      </c>
      <c r="CV16" t="str">
        <f>AND(#REF!,"AAAAAH/9h2M=")</f>
        <v>#REF!</v>
      </c>
      <c r="CW16" t="str">
        <f>AND(#REF!,"AAAAAH/9h2Q=")</f>
        <v>#REF!</v>
      </c>
      <c r="CX16" t="str">
        <f>AND(#REF!,"AAAAAH/9h2U=")</f>
        <v>#REF!</v>
      </c>
      <c r="CY16" t="str">
        <f>AND(#REF!,"AAAAAH/9h2Y=")</f>
        <v>#REF!</v>
      </c>
      <c r="CZ16" t="str">
        <f>AND(#REF!,"AAAAAH/9h2c=")</f>
        <v>#REF!</v>
      </c>
      <c r="DA16" t="str">
        <f>AND(#REF!,"AAAAAH/9h2g=")</f>
        <v>#REF!</v>
      </c>
      <c r="DB16" t="str">
        <f>AND(#REF!,"AAAAAH/9h2k=")</f>
        <v>#REF!</v>
      </c>
      <c r="DC16" t="str">
        <f>AND(#REF!,"AAAAAH/9h2o=")</f>
        <v>#REF!</v>
      </c>
      <c r="DD16" t="str">
        <f>AND(#REF!,"AAAAAH/9h2s=")</f>
        <v>#REF!</v>
      </c>
      <c r="DE16" t="str">
        <f>AND(#REF!,"AAAAAH/9h2w=")</f>
        <v>#REF!</v>
      </c>
      <c r="DF16" t="str">
        <f>AND(#REF!,"AAAAAH/9h20=")</f>
        <v>#REF!</v>
      </c>
      <c r="DG16" t="str">
        <f>AND(#REF!,"AAAAAH/9h24=")</f>
        <v>#REF!</v>
      </c>
      <c r="DH16" t="str">
        <f>AND(#REF!,"AAAAAH/9h28=")</f>
        <v>#REF!</v>
      </c>
      <c r="DI16" t="str">
        <f>AND(#REF!,"AAAAAH/9h3A=")</f>
        <v>#REF!</v>
      </c>
      <c r="DJ16" t="str">
        <f>AND(#REF!,"AAAAAH/9h3E=")</f>
        <v>#REF!</v>
      </c>
      <c r="DK16" t="str">
        <f>AND(#REF!,"AAAAAH/9h3I=")</f>
        <v>#REF!</v>
      </c>
      <c r="DL16" t="str">
        <f>AND(#REF!,"AAAAAH/9h3M=")</f>
        <v>#REF!</v>
      </c>
      <c r="DM16" t="str">
        <f>AND(#REF!,"AAAAAH/9h3Q=")</f>
        <v>#REF!</v>
      </c>
      <c r="DN16" t="str">
        <f>AND(#REF!,"AAAAAH/9h3U=")</f>
        <v>#REF!</v>
      </c>
      <c r="DO16" t="str">
        <f>AND(#REF!,"AAAAAH/9h3Y=")</f>
        <v>#REF!</v>
      </c>
      <c r="DP16" t="str">
        <f>IF(#REF!,"AAAAAH/9h3c=",0)</f>
        <v>#REF!</v>
      </c>
      <c r="DQ16" t="str">
        <f>AND(#REF!,"AAAAAH/9h3g=")</f>
        <v>#REF!</v>
      </c>
      <c r="DR16" t="str">
        <f>AND(#REF!,"AAAAAH/9h3k=")</f>
        <v>#REF!</v>
      </c>
      <c r="DS16" t="str">
        <f>AND(#REF!,"AAAAAH/9h3o=")</f>
        <v>#REF!</v>
      </c>
      <c r="DT16" t="str">
        <f>AND(#REF!,"AAAAAH/9h3s=")</f>
        <v>#REF!</v>
      </c>
      <c r="DU16" t="str">
        <f>AND(#REF!,"AAAAAH/9h3w=")</f>
        <v>#REF!</v>
      </c>
      <c r="DV16" t="str">
        <f>AND(#REF!,"AAAAAH/9h30=")</f>
        <v>#REF!</v>
      </c>
      <c r="DW16" t="str">
        <f>AND(#REF!,"AAAAAH/9h34=")</f>
        <v>#REF!</v>
      </c>
      <c r="DX16" t="str">
        <f>AND(#REF!,"AAAAAH/9h38=")</f>
        <v>#REF!</v>
      </c>
      <c r="DY16" t="str">
        <f>AND(#REF!,"AAAAAH/9h4A=")</f>
        <v>#REF!</v>
      </c>
      <c r="DZ16" t="str">
        <f>AND(#REF!,"AAAAAH/9h4E=")</f>
        <v>#REF!</v>
      </c>
      <c r="EA16" t="str">
        <f>AND(#REF!,"AAAAAH/9h4I=")</f>
        <v>#REF!</v>
      </c>
      <c r="EB16" t="str">
        <f>AND(#REF!,"AAAAAH/9h4M=")</f>
        <v>#REF!</v>
      </c>
      <c r="EC16" t="str">
        <f>AND(#REF!,"AAAAAH/9h4Q=")</f>
        <v>#REF!</v>
      </c>
      <c r="ED16" t="str">
        <f>AND(#REF!,"AAAAAH/9h4U=")</f>
        <v>#REF!</v>
      </c>
      <c r="EE16" t="str">
        <f>AND(#REF!,"AAAAAH/9h4Y=")</f>
        <v>#REF!</v>
      </c>
      <c r="EF16" t="str">
        <f>AND(#REF!,"AAAAAH/9h4c=")</f>
        <v>#REF!</v>
      </c>
      <c r="EG16" t="str">
        <f>AND(#REF!,"AAAAAH/9h4g=")</f>
        <v>#REF!</v>
      </c>
      <c r="EH16" t="str">
        <f>AND(#REF!,"AAAAAH/9h4k=")</f>
        <v>#REF!</v>
      </c>
      <c r="EI16" t="str">
        <f>AND(#REF!,"AAAAAH/9h4o=")</f>
        <v>#REF!</v>
      </c>
      <c r="EJ16" t="str">
        <f>AND(#REF!,"AAAAAH/9h4s=")</f>
        <v>#REF!</v>
      </c>
      <c r="EK16" t="str">
        <f>AND(#REF!,"AAAAAH/9h4w=")</f>
        <v>#REF!</v>
      </c>
      <c r="EL16" t="str">
        <f>AND(#REF!,"AAAAAH/9h40=")</f>
        <v>#REF!</v>
      </c>
      <c r="EM16" t="str">
        <f>AND(#REF!,"AAAAAH/9h44=")</f>
        <v>#REF!</v>
      </c>
      <c r="EN16" t="str">
        <f>AND(#REF!,"AAAAAH/9h48=")</f>
        <v>#REF!</v>
      </c>
      <c r="EO16" t="str">
        <f>AND(#REF!,"AAAAAH/9h5A=")</f>
        <v>#REF!</v>
      </c>
      <c r="EP16" t="str">
        <f>AND(#REF!,"AAAAAH/9h5E=")</f>
        <v>#REF!</v>
      </c>
      <c r="EQ16" t="str">
        <f>AND(#REF!,"AAAAAH/9h5I=")</f>
        <v>#REF!</v>
      </c>
      <c r="ER16" t="str">
        <f>AND(#REF!,"AAAAAH/9h5M=")</f>
        <v>#REF!</v>
      </c>
      <c r="ES16" t="str">
        <f>AND(#REF!,"AAAAAH/9h5Q=")</f>
        <v>#REF!</v>
      </c>
      <c r="ET16" t="str">
        <f>AND(#REF!,"AAAAAH/9h5U=")</f>
        <v>#REF!</v>
      </c>
      <c r="EU16" t="str">
        <f>AND(#REF!,"AAAAAH/9h5Y=")</f>
        <v>#REF!</v>
      </c>
      <c r="EV16" t="str">
        <f>AND(#REF!,"AAAAAH/9h5c=")</f>
        <v>#REF!</v>
      </c>
      <c r="EW16" t="str">
        <f>AND(#REF!,"AAAAAH/9h5g=")</f>
        <v>#REF!</v>
      </c>
      <c r="EX16" t="str">
        <f>AND(#REF!,"AAAAAH/9h5k=")</f>
        <v>#REF!</v>
      </c>
      <c r="EY16" t="str">
        <f>AND(#REF!,"AAAAAH/9h5o=")</f>
        <v>#REF!</v>
      </c>
      <c r="EZ16" t="str">
        <f>AND(#REF!,"AAAAAH/9h5s=")</f>
        <v>#REF!</v>
      </c>
      <c r="FA16" t="str">
        <f>AND(#REF!,"AAAAAH/9h5w=")</f>
        <v>#REF!</v>
      </c>
      <c r="FB16" t="str">
        <f>AND(#REF!,"AAAAAH/9h50=")</f>
        <v>#REF!</v>
      </c>
      <c r="FC16" t="str">
        <f>AND(#REF!,"AAAAAH/9h54=")</f>
        <v>#REF!</v>
      </c>
      <c r="FD16" t="str">
        <f>AND(#REF!,"AAAAAH/9h58=")</f>
        <v>#REF!</v>
      </c>
      <c r="FE16" t="str">
        <f>AND(#REF!,"AAAAAH/9h6A=")</f>
        <v>#REF!</v>
      </c>
      <c r="FF16" t="str">
        <f>AND(#REF!,"AAAAAH/9h6E=")</f>
        <v>#REF!</v>
      </c>
      <c r="FG16" t="str">
        <f>AND(#REF!,"AAAAAH/9h6I=")</f>
        <v>#REF!</v>
      </c>
      <c r="FH16" t="str">
        <f>AND(#REF!,"AAAAAH/9h6M=")</f>
        <v>#REF!</v>
      </c>
      <c r="FI16" t="str">
        <f>AND(#REF!,"AAAAAH/9h6Q=")</f>
        <v>#REF!</v>
      </c>
      <c r="FJ16" t="str">
        <f>AND(#REF!,"AAAAAH/9h6U=")</f>
        <v>#REF!</v>
      </c>
      <c r="FK16" t="str">
        <f>AND(#REF!,"AAAAAH/9h6Y=")</f>
        <v>#REF!</v>
      </c>
      <c r="FL16" t="str">
        <f>AND(#REF!,"AAAAAH/9h6c=")</f>
        <v>#REF!</v>
      </c>
      <c r="FM16" t="str">
        <f>AND(#REF!,"AAAAAH/9h6g=")</f>
        <v>#REF!</v>
      </c>
      <c r="FN16" t="str">
        <f>AND(#REF!,"AAAAAH/9h6k=")</f>
        <v>#REF!</v>
      </c>
      <c r="FO16" t="str">
        <f>AND(#REF!,"AAAAAH/9h6o=")</f>
        <v>#REF!</v>
      </c>
      <c r="FP16" t="str">
        <f>AND(#REF!,"AAAAAH/9h6s=")</f>
        <v>#REF!</v>
      </c>
      <c r="FQ16" t="str">
        <f>AND(#REF!,"AAAAAH/9h6w=")</f>
        <v>#REF!</v>
      </c>
      <c r="FR16" t="str">
        <f>AND(#REF!,"AAAAAH/9h60=")</f>
        <v>#REF!</v>
      </c>
      <c r="FS16" t="str">
        <f>AND(#REF!,"AAAAAH/9h64=")</f>
        <v>#REF!</v>
      </c>
      <c r="FT16" t="str">
        <f>AND(#REF!,"AAAAAH/9h68=")</f>
        <v>#REF!</v>
      </c>
      <c r="FU16" t="str">
        <f>AND(#REF!,"AAAAAH/9h7A=")</f>
        <v>#REF!</v>
      </c>
      <c r="FV16" t="str">
        <f>AND(#REF!,"AAAAAH/9h7E=")</f>
        <v>#REF!</v>
      </c>
      <c r="FW16" t="str">
        <f>AND(#REF!,"AAAAAH/9h7I=")</f>
        <v>#REF!</v>
      </c>
      <c r="FX16" t="str">
        <f>AND(#REF!,"AAAAAH/9h7M=")</f>
        <v>#REF!</v>
      </c>
      <c r="FY16" t="str">
        <f>AND(#REF!,"AAAAAH/9h7Q=")</f>
        <v>#REF!</v>
      </c>
      <c r="FZ16" t="str">
        <f>AND(#REF!,"AAAAAH/9h7U=")</f>
        <v>#REF!</v>
      </c>
      <c r="GA16" t="str">
        <f>AND(#REF!,"AAAAAH/9h7Y=")</f>
        <v>#REF!</v>
      </c>
      <c r="GB16" t="str">
        <f>AND(#REF!,"AAAAAH/9h7c=")</f>
        <v>#REF!</v>
      </c>
      <c r="GC16" t="str">
        <f>AND(#REF!,"AAAAAH/9h7g=")</f>
        <v>#REF!</v>
      </c>
      <c r="GD16" t="str">
        <f>AND(#REF!,"AAAAAH/9h7k=")</f>
        <v>#REF!</v>
      </c>
      <c r="GE16" t="str">
        <f>AND(#REF!,"AAAAAH/9h7o=")</f>
        <v>#REF!</v>
      </c>
      <c r="GF16" t="str">
        <f>AND(#REF!,"AAAAAH/9h7s=")</f>
        <v>#REF!</v>
      </c>
      <c r="GG16" t="str">
        <f>AND(#REF!,"AAAAAH/9h7w=")</f>
        <v>#REF!</v>
      </c>
      <c r="GH16" t="str">
        <f>AND(#REF!,"AAAAAH/9h70=")</f>
        <v>#REF!</v>
      </c>
      <c r="GI16" t="str">
        <f>AND(#REF!,"AAAAAH/9h74=")</f>
        <v>#REF!</v>
      </c>
      <c r="GJ16" t="str">
        <f>AND(#REF!,"AAAAAH/9h78=")</f>
        <v>#REF!</v>
      </c>
      <c r="GK16" t="str">
        <f>AND(#REF!,"AAAAAH/9h8A=")</f>
        <v>#REF!</v>
      </c>
      <c r="GL16" t="str">
        <f>AND(#REF!,"AAAAAH/9h8E=")</f>
        <v>#REF!</v>
      </c>
      <c r="GM16" t="str">
        <f>AND(#REF!,"AAAAAH/9h8I=")</f>
        <v>#REF!</v>
      </c>
      <c r="GN16" t="str">
        <f>IF(#REF!,"AAAAAH/9h8M=",0)</f>
        <v>#REF!</v>
      </c>
      <c r="GO16" t="str">
        <f>AND(#REF!,"AAAAAH/9h8Q=")</f>
        <v>#REF!</v>
      </c>
      <c r="GP16" t="str">
        <f>AND(#REF!,"AAAAAH/9h8U=")</f>
        <v>#REF!</v>
      </c>
      <c r="GQ16" t="str">
        <f>AND(#REF!,"AAAAAH/9h8Y=")</f>
        <v>#REF!</v>
      </c>
      <c r="GR16" t="str">
        <f>AND(#REF!,"AAAAAH/9h8c=")</f>
        <v>#REF!</v>
      </c>
      <c r="GS16" t="str">
        <f>AND(#REF!,"AAAAAH/9h8g=")</f>
        <v>#REF!</v>
      </c>
      <c r="GT16" t="str">
        <f>AND(#REF!,"AAAAAH/9h8k=")</f>
        <v>#REF!</v>
      </c>
      <c r="GU16" t="str">
        <f>AND(#REF!,"AAAAAH/9h8o=")</f>
        <v>#REF!</v>
      </c>
      <c r="GV16" t="str">
        <f>AND(#REF!,"AAAAAH/9h8s=")</f>
        <v>#REF!</v>
      </c>
      <c r="GW16" t="str">
        <f>AND(#REF!,"AAAAAH/9h8w=")</f>
        <v>#REF!</v>
      </c>
      <c r="GX16" t="str">
        <f>AND(#REF!,"AAAAAH/9h80=")</f>
        <v>#REF!</v>
      </c>
      <c r="GY16" t="str">
        <f>AND(#REF!,"AAAAAH/9h84=")</f>
        <v>#REF!</v>
      </c>
      <c r="GZ16" t="str">
        <f>AND(#REF!,"AAAAAH/9h88=")</f>
        <v>#REF!</v>
      </c>
      <c r="HA16" t="str">
        <f>AND(#REF!,"AAAAAH/9h9A=")</f>
        <v>#REF!</v>
      </c>
      <c r="HB16" t="str">
        <f>AND(#REF!,"AAAAAH/9h9E=")</f>
        <v>#REF!</v>
      </c>
      <c r="HC16" t="str">
        <f>AND(#REF!,"AAAAAH/9h9I=")</f>
        <v>#REF!</v>
      </c>
      <c r="HD16" t="str">
        <f>AND(#REF!,"AAAAAH/9h9M=")</f>
        <v>#REF!</v>
      </c>
      <c r="HE16" t="str">
        <f>AND(#REF!,"AAAAAH/9h9Q=")</f>
        <v>#REF!</v>
      </c>
      <c r="HF16" t="str">
        <f>AND(#REF!,"AAAAAH/9h9U=")</f>
        <v>#REF!</v>
      </c>
      <c r="HG16" t="str">
        <f>AND(#REF!,"AAAAAH/9h9Y=")</f>
        <v>#REF!</v>
      </c>
      <c r="HH16" t="str">
        <f>AND(#REF!,"AAAAAH/9h9c=")</f>
        <v>#REF!</v>
      </c>
      <c r="HI16" t="str">
        <f>AND(#REF!,"AAAAAH/9h9g=")</f>
        <v>#REF!</v>
      </c>
      <c r="HJ16" t="str">
        <f>AND(#REF!,"AAAAAH/9h9k=")</f>
        <v>#REF!</v>
      </c>
      <c r="HK16" t="str">
        <f>AND(#REF!,"AAAAAH/9h9o=")</f>
        <v>#REF!</v>
      </c>
      <c r="HL16" t="str">
        <f>AND(#REF!,"AAAAAH/9h9s=")</f>
        <v>#REF!</v>
      </c>
      <c r="HM16" t="str">
        <f>AND(#REF!,"AAAAAH/9h9w=")</f>
        <v>#REF!</v>
      </c>
      <c r="HN16" t="str">
        <f>AND(#REF!,"AAAAAH/9h90=")</f>
        <v>#REF!</v>
      </c>
      <c r="HO16" t="str">
        <f>AND(#REF!,"AAAAAH/9h94=")</f>
        <v>#REF!</v>
      </c>
      <c r="HP16" t="str">
        <f>AND(#REF!,"AAAAAH/9h98=")</f>
        <v>#REF!</v>
      </c>
      <c r="HQ16" t="str">
        <f>AND(#REF!,"AAAAAH/9h+A=")</f>
        <v>#REF!</v>
      </c>
      <c r="HR16" t="str">
        <f>AND(#REF!,"AAAAAH/9h+E=")</f>
        <v>#REF!</v>
      </c>
      <c r="HS16" t="str">
        <f>AND(#REF!,"AAAAAH/9h+I=")</f>
        <v>#REF!</v>
      </c>
      <c r="HT16" t="str">
        <f>AND(#REF!,"AAAAAH/9h+M=")</f>
        <v>#REF!</v>
      </c>
      <c r="HU16" t="str">
        <f>AND(#REF!,"AAAAAH/9h+Q=")</f>
        <v>#REF!</v>
      </c>
      <c r="HV16" t="str">
        <f>AND(#REF!,"AAAAAH/9h+U=")</f>
        <v>#REF!</v>
      </c>
      <c r="HW16" t="str">
        <f>AND(#REF!,"AAAAAH/9h+Y=")</f>
        <v>#REF!</v>
      </c>
      <c r="HX16" t="str">
        <f>AND(#REF!,"AAAAAH/9h+c=")</f>
        <v>#REF!</v>
      </c>
      <c r="HY16" t="str">
        <f>AND(#REF!,"AAAAAH/9h+g=")</f>
        <v>#REF!</v>
      </c>
      <c r="HZ16" t="str">
        <f>AND(#REF!,"AAAAAH/9h+k=")</f>
        <v>#REF!</v>
      </c>
      <c r="IA16" t="str">
        <f>AND(#REF!,"AAAAAH/9h+o=")</f>
        <v>#REF!</v>
      </c>
      <c r="IB16" t="str">
        <f>AND(#REF!,"AAAAAH/9h+s=")</f>
        <v>#REF!</v>
      </c>
      <c r="IC16" t="str">
        <f>AND(#REF!,"AAAAAH/9h+w=")</f>
        <v>#REF!</v>
      </c>
      <c r="ID16" t="str">
        <f>AND(#REF!,"AAAAAH/9h+0=")</f>
        <v>#REF!</v>
      </c>
      <c r="IE16" t="str">
        <f>AND(#REF!,"AAAAAH/9h+4=")</f>
        <v>#REF!</v>
      </c>
      <c r="IF16" t="str">
        <f>AND(#REF!,"AAAAAH/9h+8=")</f>
        <v>#REF!</v>
      </c>
      <c r="IG16" t="str">
        <f>AND(#REF!,"AAAAAH/9h/A=")</f>
        <v>#REF!</v>
      </c>
      <c r="IH16" t="str">
        <f>AND(#REF!,"AAAAAH/9h/E=")</f>
        <v>#REF!</v>
      </c>
      <c r="II16" t="str">
        <f>AND(#REF!,"AAAAAH/9h/I=")</f>
        <v>#REF!</v>
      </c>
      <c r="IJ16" t="str">
        <f>AND(#REF!,"AAAAAH/9h/M=")</f>
        <v>#REF!</v>
      </c>
      <c r="IK16" t="str">
        <f>AND(#REF!,"AAAAAH/9h/Q=")</f>
        <v>#REF!</v>
      </c>
      <c r="IL16" t="str">
        <f>AND(#REF!,"AAAAAH/9h/U=")</f>
        <v>#REF!</v>
      </c>
      <c r="IM16" t="str">
        <f>AND(#REF!,"AAAAAH/9h/Y=")</f>
        <v>#REF!</v>
      </c>
      <c r="IN16" t="str">
        <f>AND(#REF!,"AAAAAH/9h/c=")</f>
        <v>#REF!</v>
      </c>
      <c r="IO16" t="str">
        <f>AND(#REF!,"AAAAAH/9h/g=")</f>
        <v>#REF!</v>
      </c>
      <c r="IP16" t="str">
        <f>AND(#REF!,"AAAAAH/9h/k=")</f>
        <v>#REF!</v>
      </c>
      <c r="IQ16" t="str">
        <f>AND(#REF!,"AAAAAH/9h/o=")</f>
        <v>#REF!</v>
      </c>
      <c r="IR16" t="str">
        <f>AND(#REF!,"AAAAAH/9h/s=")</f>
        <v>#REF!</v>
      </c>
      <c r="IS16" t="str">
        <f>AND(#REF!,"AAAAAH/9h/w=")</f>
        <v>#REF!</v>
      </c>
      <c r="IT16" t="str">
        <f>AND(#REF!,"AAAAAH/9h/0=")</f>
        <v>#REF!</v>
      </c>
      <c r="IU16" t="str">
        <f>AND(#REF!,"AAAAAH/9h/4=")</f>
        <v>#REF!</v>
      </c>
      <c r="IV16" t="str">
        <f>AND(#REF!,"AAAAAH/9h/8=")</f>
        <v>#REF!</v>
      </c>
    </row>
    <row r="17">
      <c r="A17" t="str">
        <f>AND(#REF!,"AAAAADd/vgA=")</f>
        <v>#REF!</v>
      </c>
      <c r="B17" t="str">
        <f>AND(#REF!,"AAAAADd/vgE=")</f>
        <v>#REF!</v>
      </c>
      <c r="C17" t="str">
        <f>AND(#REF!,"AAAAADd/vgI=")</f>
        <v>#REF!</v>
      </c>
      <c r="D17" t="str">
        <f>AND(#REF!,"AAAAADd/vgM=")</f>
        <v>#REF!</v>
      </c>
      <c r="E17" t="str">
        <f>AND(#REF!,"AAAAADd/vgQ=")</f>
        <v>#REF!</v>
      </c>
      <c r="F17" t="str">
        <f>AND(#REF!,"AAAAADd/vgU=")</f>
        <v>#REF!</v>
      </c>
      <c r="G17" t="str">
        <f>AND(#REF!,"AAAAADd/vgY=")</f>
        <v>#REF!</v>
      </c>
      <c r="H17" t="str">
        <f>AND(#REF!,"AAAAADd/vgc=")</f>
        <v>#REF!</v>
      </c>
      <c r="I17" t="str">
        <f>AND(#REF!,"AAAAADd/vgg=")</f>
        <v>#REF!</v>
      </c>
      <c r="J17" t="str">
        <f>AND(#REF!,"AAAAADd/vgk=")</f>
        <v>#REF!</v>
      </c>
      <c r="K17" t="str">
        <f>AND(#REF!,"AAAAADd/vgo=")</f>
        <v>#REF!</v>
      </c>
      <c r="L17" t="str">
        <f>AND(#REF!,"AAAAADd/vgs=")</f>
        <v>#REF!</v>
      </c>
      <c r="M17" t="str">
        <f>AND(#REF!,"AAAAADd/vgw=")</f>
        <v>#REF!</v>
      </c>
      <c r="N17" t="str">
        <f>AND(#REF!,"AAAAADd/vg0=")</f>
        <v>#REF!</v>
      </c>
      <c r="O17" t="str">
        <f>AND(#REF!,"AAAAADd/vg4=")</f>
        <v>#REF!</v>
      </c>
      <c r="P17" t="str">
        <f>IF(#REF!,"AAAAADd/vg8=",0)</f>
        <v>#REF!</v>
      </c>
      <c r="Q17" t="str">
        <f>AND(#REF!,"AAAAADd/vhA=")</f>
        <v>#REF!</v>
      </c>
      <c r="R17" t="str">
        <f>AND(#REF!,"AAAAADd/vhE=")</f>
        <v>#REF!</v>
      </c>
      <c r="S17" t="str">
        <f>AND(#REF!,"AAAAADd/vhI=")</f>
        <v>#REF!</v>
      </c>
      <c r="T17" t="str">
        <f>AND(#REF!,"AAAAADd/vhM=")</f>
        <v>#REF!</v>
      </c>
      <c r="U17" t="str">
        <f>AND(#REF!,"AAAAADd/vhQ=")</f>
        <v>#REF!</v>
      </c>
      <c r="V17" t="str">
        <f>AND(#REF!,"AAAAADd/vhU=")</f>
        <v>#REF!</v>
      </c>
      <c r="W17" t="str">
        <f>AND(#REF!,"AAAAADd/vhY=")</f>
        <v>#REF!</v>
      </c>
      <c r="X17" t="str">
        <f>AND(#REF!,"AAAAADd/vhc=")</f>
        <v>#REF!</v>
      </c>
      <c r="Y17" t="str">
        <f>AND(#REF!,"AAAAADd/vhg=")</f>
        <v>#REF!</v>
      </c>
      <c r="Z17" t="str">
        <f>AND(#REF!,"AAAAADd/vhk=")</f>
        <v>#REF!</v>
      </c>
      <c r="AA17" t="str">
        <f>AND(#REF!,"AAAAADd/vho=")</f>
        <v>#REF!</v>
      </c>
      <c r="AB17" t="str">
        <f>AND(#REF!,"AAAAADd/vhs=")</f>
        <v>#REF!</v>
      </c>
      <c r="AC17" t="str">
        <f>AND(#REF!,"AAAAADd/vhw=")</f>
        <v>#REF!</v>
      </c>
      <c r="AD17" t="str">
        <f>AND(#REF!,"AAAAADd/vh0=")</f>
        <v>#REF!</v>
      </c>
      <c r="AE17" t="str">
        <f>AND(#REF!,"AAAAADd/vh4=")</f>
        <v>#REF!</v>
      </c>
      <c r="AF17" t="str">
        <f>AND(#REF!,"AAAAADd/vh8=")</f>
        <v>#REF!</v>
      </c>
      <c r="AG17" t="str">
        <f>AND(#REF!,"AAAAADd/viA=")</f>
        <v>#REF!</v>
      </c>
      <c r="AH17" t="str">
        <f>AND(#REF!,"AAAAADd/viE=")</f>
        <v>#REF!</v>
      </c>
      <c r="AI17" t="str">
        <f>AND(#REF!,"AAAAADd/viI=")</f>
        <v>#REF!</v>
      </c>
      <c r="AJ17" t="str">
        <f>AND(#REF!,"AAAAADd/viM=")</f>
        <v>#REF!</v>
      </c>
      <c r="AK17" t="str">
        <f>AND(#REF!,"AAAAADd/viQ=")</f>
        <v>#REF!</v>
      </c>
      <c r="AL17" t="str">
        <f>AND(#REF!,"AAAAADd/viU=")</f>
        <v>#REF!</v>
      </c>
      <c r="AM17" t="str">
        <f>AND(#REF!,"AAAAADd/viY=")</f>
        <v>#REF!</v>
      </c>
      <c r="AN17" t="str">
        <f>AND(#REF!,"AAAAADd/vic=")</f>
        <v>#REF!</v>
      </c>
      <c r="AO17" t="str">
        <f>AND(#REF!,"AAAAADd/vig=")</f>
        <v>#REF!</v>
      </c>
      <c r="AP17" t="str">
        <f>AND(#REF!,"AAAAADd/vik=")</f>
        <v>#REF!</v>
      </c>
      <c r="AQ17" t="str">
        <f>AND(#REF!,"AAAAADd/vio=")</f>
        <v>#REF!</v>
      </c>
      <c r="AR17" t="str">
        <f>AND(#REF!,"AAAAADd/vis=")</f>
        <v>#REF!</v>
      </c>
      <c r="AS17" t="str">
        <f>AND(#REF!,"AAAAADd/viw=")</f>
        <v>#REF!</v>
      </c>
      <c r="AT17" t="str">
        <f>AND(#REF!,"AAAAADd/vi0=")</f>
        <v>#REF!</v>
      </c>
      <c r="AU17" t="str">
        <f>AND(#REF!,"AAAAADd/vi4=")</f>
        <v>#REF!</v>
      </c>
      <c r="AV17" t="str">
        <f>AND(#REF!,"AAAAADd/vi8=")</f>
        <v>#REF!</v>
      </c>
      <c r="AW17" t="str">
        <f>AND(#REF!,"AAAAADd/vjA=")</f>
        <v>#REF!</v>
      </c>
      <c r="AX17" t="str">
        <f>AND(#REF!,"AAAAADd/vjE=")</f>
        <v>#REF!</v>
      </c>
      <c r="AY17" t="str">
        <f>AND(#REF!,"AAAAADd/vjI=")</f>
        <v>#REF!</v>
      </c>
      <c r="AZ17" t="str">
        <f>AND(#REF!,"AAAAADd/vjM=")</f>
        <v>#REF!</v>
      </c>
      <c r="BA17" t="str">
        <f>AND(#REF!,"AAAAADd/vjQ=")</f>
        <v>#REF!</v>
      </c>
      <c r="BB17" t="str">
        <f>AND(#REF!,"AAAAADd/vjU=")</f>
        <v>#REF!</v>
      </c>
      <c r="BC17" t="str">
        <f>AND(#REF!,"AAAAADd/vjY=")</f>
        <v>#REF!</v>
      </c>
      <c r="BD17" t="str">
        <f>AND(#REF!,"AAAAADd/vjc=")</f>
        <v>#REF!</v>
      </c>
      <c r="BE17" t="str">
        <f>AND(#REF!,"AAAAADd/vjg=")</f>
        <v>#REF!</v>
      </c>
      <c r="BF17" t="str">
        <f>AND(#REF!,"AAAAADd/vjk=")</f>
        <v>#REF!</v>
      </c>
      <c r="BG17" t="str">
        <f>AND(#REF!,"AAAAADd/vjo=")</f>
        <v>#REF!</v>
      </c>
      <c r="BH17" t="str">
        <f>AND(#REF!,"AAAAADd/vjs=")</f>
        <v>#REF!</v>
      </c>
      <c r="BI17" t="str">
        <f>AND(#REF!,"AAAAADd/vjw=")</f>
        <v>#REF!</v>
      </c>
      <c r="BJ17" t="str">
        <f>AND(#REF!,"AAAAADd/vj0=")</f>
        <v>#REF!</v>
      </c>
      <c r="BK17" t="str">
        <f>AND(#REF!,"AAAAADd/vj4=")</f>
        <v>#REF!</v>
      </c>
      <c r="BL17" t="str">
        <f>AND(#REF!,"AAAAADd/vj8=")</f>
        <v>#REF!</v>
      </c>
      <c r="BM17" t="str">
        <f>AND(#REF!,"AAAAADd/vkA=")</f>
        <v>#REF!</v>
      </c>
      <c r="BN17" t="str">
        <f>AND(#REF!,"AAAAADd/vkE=")</f>
        <v>#REF!</v>
      </c>
      <c r="BO17" t="str">
        <f>AND(#REF!,"AAAAADd/vkI=")</f>
        <v>#REF!</v>
      </c>
      <c r="BP17" t="str">
        <f>AND(#REF!,"AAAAADd/vkM=")</f>
        <v>#REF!</v>
      </c>
      <c r="BQ17" t="str">
        <f>AND(#REF!,"AAAAADd/vkQ=")</f>
        <v>#REF!</v>
      </c>
      <c r="BR17" t="str">
        <f>AND(#REF!,"AAAAADd/vkU=")</f>
        <v>#REF!</v>
      </c>
      <c r="BS17" t="str">
        <f>AND(#REF!,"AAAAADd/vkY=")</f>
        <v>#REF!</v>
      </c>
      <c r="BT17" t="str">
        <f>AND(#REF!,"AAAAADd/vkc=")</f>
        <v>#REF!</v>
      </c>
      <c r="BU17" t="str">
        <f>AND(#REF!,"AAAAADd/vkg=")</f>
        <v>#REF!</v>
      </c>
      <c r="BV17" t="str">
        <f>AND(#REF!,"AAAAADd/vkk=")</f>
        <v>#REF!</v>
      </c>
      <c r="BW17" t="str">
        <f>AND(#REF!,"AAAAADd/vko=")</f>
        <v>#REF!</v>
      </c>
      <c r="BX17" t="str">
        <f>AND(#REF!,"AAAAADd/vks=")</f>
        <v>#REF!</v>
      </c>
      <c r="BY17" t="str">
        <f>AND(#REF!,"AAAAADd/vkw=")</f>
        <v>#REF!</v>
      </c>
      <c r="BZ17" t="str">
        <f>AND(#REF!,"AAAAADd/vk0=")</f>
        <v>#REF!</v>
      </c>
      <c r="CA17" t="str">
        <f>AND(#REF!,"AAAAADd/vk4=")</f>
        <v>#REF!</v>
      </c>
      <c r="CB17" t="str">
        <f>AND(#REF!,"AAAAADd/vk8=")</f>
        <v>#REF!</v>
      </c>
      <c r="CC17" t="str">
        <f>AND(#REF!,"AAAAADd/vlA=")</f>
        <v>#REF!</v>
      </c>
      <c r="CD17" t="str">
        <f>AND(#REF!,"AAAAADd/vlE=")</f>
        <v>#REF!</v>
      </c>
      <c r="CE17" t="str">
        <f>AND(#REF!,"AAAAADd/vlI=")</f>
        <v>#REF!</v>
      </c>
      <c r="CF17" t="str">
        <f>AND(#REF!,"AAAAADd/vlM=")</f>
        <v>#REF!</v>
      </c>
      <c r="CG17" t="str">
        <f>AND(#REF!,"AAAAADd/vlQ=")</f>
        <v>#REF!</v>
      </c>
      <c r="CH17" t="str">
        <f>AND(#REF!,"AAAAADd/vlU=")</f>
        <v>#REF!</v>
      </c>
      <c r="CI17" t="str">
        <f>AND(#REF!,"AAAAADd/vlY=")</f>
        <v>#REF!</v>
      </c>
      <c r="CJ17" t="str">
        <f>AND(#REF!,"AAAAADd/vlc=")</f>
        <v>#REF!</v>
      </c>
      <c r="CK17" t="str">
        <f>AND(#REF!,"AAAAADd/vlg=")</f>
        <v>#REF!</v>
      </c>
      <c r="CL17" t="str">
        <f>AND(#REF!,"AAAAADd/vlk=")</f>
        <v>#REF!</v>
      </c>
      <c r="CM17" t="str">
        <f>AND(#REF!,"AAAAADd/vlo=")</f>
        <v>#REF!</v>
      </c>
      <c r="CN17" t="str">
        <f>IF(#REF!,"AAAAADd/vls=",0)</f>
        <v>#REF!</v>
      </c>
      <c r="CO17" t="str">
        <f>AND(#REF!,"AAAAADd/vlw=")</f>
        <v>#REF!</v>
      </c>
      <c r="CP17" t="str">
        <f>AND(#REF!,"AAAAADd/vl0=")</f>
        <v>#REF!</v>
      </c>
      <c r="CQ17" t="str">
        <f>AND(#REF!,"AAAAADd/vl4=")</f>
        <v>#REF!</v>
      </c>
      <c r="CR17" t="str">
        <f>AND(#REF!,"AAAAADd/vl8=")</f>
        <v>#REF!</v>
      </c>
      <c r="CS17" t="str">
        <f>AND(#REF!,"AAAAADd/vmA=")</f>
        <v>#REF!</v>
      </c>
      <c r="CT17" t="str">
        <f>AND(#REF!,"AAAAADd/vmE=")</f>
        <v>#REF!</v>
      </c>
      <c r="CU17" t="str">
        <f>AND(#REF!,"AAAAADd/vmI=")</f>
        <v>#REF!</v>
      </c>
      <c r="CV17" t="str">
        <f>AND(#REF!,"AAAAADd/vmM=")</f>
        <v>#REF!</v>
      </c>
      <c r="CW17" t="str">
        <f>AND(#REF!,"AAAAADd/vmQ=")</f>
        <v>#REF!</v>
      </c>
      <c r="CX17" t="str">
        <f>AND(#REF!,"AAAAADd/vmU=")</f>
        <v>#REF!</v>
      </c>
      <c r="CY17" t="str">
        <f>AND(#REF!,"AAAAADd/vmY=")</f>
        <v>#REF!</v>
      </c>
      <c r="CZ17" t="str">
        <f>AND(#REF!,"AAAAADd/vmc=")</f>
        <v>#REF!</v>
      </c>
      <c r="DA17" t="str">
        <f>AND(#REF!,"AAAAADd/vmg=")</f>
        <v>#REF!</v>
      </c>
      <c r="DB17" t="str">
        <f>AND(#REF!,"AAAAADd/vmk=")</f>
        <v>#REF!</v>
      </c>
      <c r="DC17" t="str">
        <f>AND(#REF!,"AAAAADd/vmo=")</f>
        <v>#REF!</v>
      </c>
      <c r="DD17" t="str">
        <f>AND(#REF!,"AAAAADd/vms=")</f>
        <v>#REF!</v>
      </c>
      <c r="DE17" t="str">
        <f>AND(#REF!,"AAAAADd/vmw=")</f>
        <v>#REF!</v>
      </c>
      <c r="DF17" t="str">
        <f>AND(#REF!,"AAAAADd/vm0=")</f>
        <v>#REF!</v>
      </c>
      <c r="DG17" t="str">
        <f>AND(#REF!,"AAAAADd/vm4=")</f>
        <v>#REF!</v>
      </c>
      <c r="DH17" t="str">
        <f>AND(#REF!,"AAAAADd/vm8=")</f>
        <v>#REF!</v>
      </c>
      <c r="DI17" t="str">
        <f>AND(#REF!,"AAAAADd/vnA=")</f>
        <v>#REF!</v>
      </c>
      <c r="DJ17" t="str">
        <f>AND(#REF!,"AAAAADd/vnE=")</f>
        <v>#REF!</v>
      </c>
      <c r="DK17" t="str">
        <f>AND(#REF!,"AAAAADd/vnI=")</f>
        <v>#REF!</v>
      </c>
      <c r="DL17" t="str">
        <f>AND(#REF!,"AAAAADd/vnM=")</f>
        <v>#REF!</v>
      </c>
      <c r="DM17" t="str">
        <f>AND(#REF!,"AAAAADd/vnQ=")</f>
        <v>#REF!</v>
      </c>
      <c r="DN17" t="str">
        <f>AND(#REF!,"AAAAADd/vnU=")</f>
        <v>#REF!</v>
      </c>
      <c r="DO17" t="str">
        <f>AND(#REF!,"AAAAADd/vnY=")</f>
        <v>#REF!</v>
      </c>
      <c r="DP17" t="str">
        <f>AND(#REF!,"AAAAADd/vnc=")</f>
        <v>#REF!</v>
      </c>
      <c r="DQ17" t="str">
        <f>AND(#REF!,"AAAAADd/vng=")</f>
        <v>#REF!</v>
      </c>
      <c r="DR17" t="str">
        <f>AND(#REF!,"AAAAADd/vnk=")</f>
        <v>#REF!</v>
      </c>
      <c r="DS17" t="str">
        <f>AND(#REF!,"AAAAADd/vno=")</f>
        <v>#REF!</v>
      </c>
      <c r="DT17" t="str">
        <f>AND(#REF!,"AAAAADd/vns=")</f>
        <v>#REF!</v>
      </c>
      <c r="DU17" t="str">
        <f>AND(#REF!,"AAAAADd/vnw=")</f>
        <v>#REF!</v>
      </c>
      <c r="DV17" t="str">
        <f>AND(#REF!,"AAAAADd/vn0=")</f>
        <v>#REF!</v>
      </c>
      <c r="DW17" t="str">
        <f>AND(#REF!,"AAAAADd/vn4=")</f>
        <v>#REF!</v>
      </c>
      <c r="DX17" t="str">
        <f>AND(#REF!,"AAAAADd/vn8=")</f>
        <v>#REF!</v>
      </c>
      <c r="DY17" t="str">
        <f>AND(#REF!,"AAAAADd/voA=")</f>
        <v>#REF!</v>
      </c>
      <c r="DZ17" t="str">
        <f>AND(#REF!,"AAAAADd/voE=")</f>
        <v>#REF!</v>
      </c>
      <c r="EA17" t="str">
        <f>AND(#REF!,"AAAAADd/voI=")</f>
        <v>#REF!</v>
      </c>
      <c r="EB17" t="str">
        <f>AND(#REF!,"AAAAADd/voM=")</f>
        <v>#REF!</v>
      </c>
      <c r="EC17" t="str">
        <f>AND(#REF!,"AAAAADd/voQ=")</f>
        <v>#REF!</v>
      </c>
      <c r="ED17" t="str">
        <f>AND(#REF!,"AAAAADd/voU=")</f>
        <v>#REF!</v>
      </c>
      <c r="EE17" t="str">
        <f>AND(#REF!,"AAAAADd/voY=")</f>
        <v>#REF!</v>
      </c>
      <c r="EF17" t="str">
        <f>AND(#REF!,"AAAAADd/voc=")</f>
        <v>#REF!</v>
      </c>
      <c r="EG17" t="str">
        <f>AND(#REF!,"AAAAADd/vog=")</f>
        <v>#REF!</v>
      </c>
      <c r="EH17" t="str">
        <f>AND(#REF!,"AAAAADd/vok=")</f>
        <v>#REF!</v>
      </c>
      <c r="EI17" t="str">
        <f>AND(#REF!,"AAAAADd/voo=")</f>
        <v>#REF!</v>
      </c>
      <c r="EJ17" t="str">
        <f>AND(#REF!,"AAAAADd/vos=")</f>
        <v>#REF!</v>
      </c>
      <c r="EK17" t="str">
        <f>AND(#REF!,"AAAAADd/vow=")</f>
        <v>#REF!</v>
      </c>
      <c r="EL17" t="str">
        <f>AND(#REF!,"AAAAADd/vo0=")</f>
        <v>#REF!</v>
      </c>
      <c r="EM17" t="str">
        <f>AND(#REF!,"AAAAADd/vo4=")</f>
        <v>#REF!</v>
      </c>
      <c r="EN17" t="str">
        <f>AND(#REF!,"AAAAADd/vo8=")</f>
        <v>#REF!</v>
      </c>
      <c r="EO17" t="str">
        <f>AND(#REF!,"AAAAADd/vpA=")</f>
        <v>#REF!</v>
      </c>
      <c r="EP17" t="str">
        <f>AND(#REF!,"AAAAADd/vpE=")</f>
        <v>#REF!</v>
      </c>
      <c r="EQ17" t="str">
        <f>AND(#REF!,"AAAAADd/vpI=")</f>
        <v>#REF!</v>
      </c>
      <c r="ER17" t="str">
        <f>AND(#REF!,"AAAAADd/vpM=")</f>
        <v>#REF!</v>
      </c>
      <c r="ES17" t="str">
        <f>AND(#REF!,"AAAAADd/vpQ=")</f>
        <v>#REF!</v>
      </c>
      <c r="ET17" t="str">
        <f>AND(#REF!,"AAAAADd/vpU=")</f>
        <v>#REF!</v>
      </c>
      <c r="EU17" t="str">
        <f>AND(#REF!,"AAAAADd/vpY=")</f>
        <v>#REF!</v>
      </c>
      <c r="EV17" t="str">
        <f>AND(#REF!,"AAAAADd/vpc=")</f>
        <v>#REF!</v>
      </c>
      <c r="EW17" t="str">
        <f>AND(#REF!,"AAAAADd/vpg=")</f>
        <v>#REF!</v>
      </c>
      <c r="EX17" t="str">
        <f>AND(#REF!,"AAAAADd/vpk=")</f>
        <v>#REF!</v>
      </c>
      <c r="EY17" t="str">
        <f>AND(#REF!,"AAAAADd/vpo=")</f>
        <v>#REF!</v>
      </c>
      <c r="EZ17" t="str">
        <f>AND(#REF!,"AAAAADd/vps=")</f>
        <v>#REF!</v>
      </c>
      <c r="FA17" t="str">
        <f>AND(#REF!,"AAAAADd/vpw=")</f>
        <v>#REF!</v>
      </c>
      <c r="FB17" t="str">
        <f>AND(#REF!,"AAAAADd/vp0=")</f>
        <v>#REF!</v>
      </c>
      <c r="FC17" t="str">
        <f>AND(#REF!,"AAAAADd/vp4=")</f>
        <v>#REF!</v>
      </c>
      <c r="FD17" t="str">
        <f>AND(#REF!,"AAAAADd/vp8=")</f>
        <v>#REF!</v>
      </c>
      <c r="FE17" t="str">
        <f>AND(#REF!,"AAAAADd/vqA=")</f>
        <v>#REF!</v>
      </c>
      <c r="FF17" t="str">
        <f>AND(#REF!,"AAAAADd/vqE=")</f>
        <v>#REF!</v>
      </c>
      <c r="FG17" t="str">
        <f>AND(#REF!,"AAAAADd/vqI=")</f>
        <v>#REF!</v>
      </c>
      <c r="FH17" t="str">
        <f>AND(#REF!,"AAAAADd/vqM=")</f>
        <v>#REF!</v>
      </c>
      <c r="FI17" t="str">
        <f>AND(#REF!,"AAAAADd/vqQ=")</f>
        <v>#REF!</v>
      </c>
      <c r="FJ17" t="str">
        <f>AND(#REF!,"AAAAADd/vqU=")</f>
        <v>#REF!</v>
      </c>
      <c r="FK17" t="str">
        <f>AND(#REF!,"AAAAADd/vqY=")</f>
        <v>#REF!</v>
      </c>
      <c r="FL17" t="str">
        <f>IF(#REF!,"AAAAADd/vqc=",0)</f>
        <v>#REF!</v>
      </c>
      <c r="FM17" t="str">
        <f>AND(#REF!,"AAAAADd/vqg=")</f>
        <v>#REF!</v>
      </c>
      <c r="FN17" t="str">
        <f>AND(#REF!,"AAAAADd/vqk=")</f>
        <v>#REF!</v>
      </c>
      <c r="FO17" t="str">
        <f>AND(#REF!,"AAAAADd/vqo=")</f>
        <v>#REF!</v>
      </c>
      <c r="FP17" t="str">
        <f>AND(#REF!,"AAAAADd/vqs=")</f>
        <v>#REF!</v>
      </c>
      <c r="FQ17" t="str">
        <f>AND(#REF!,"AAAAADd/vqw=")</f>
        <v>#REF!</v>
      </c>
      <c r="FR17" t="str">
        <f>AND(#REF!,"AAAAADd/vq0=")</f>
        <v>#REF!</v>
      </c>
      <c r="FS17" t="str">
        <f>AND(#REF!,"AAAAADd/vq4=")</f>
        <v>#REF!</v>
      </c>
      <c r="FT17" t="str">
        <f>AND(#REF!,"AAAAADd/vq8=")</f>
        <v>#REF!</v>
      </c>
      <c r="FU17" t="str">
        <f>AND(#REF!,"AAAAADd/vrA=")</f>
        <v>#REF!</v>
      </c>
      <c r="FV17" t="str">
        <f>AND(#REF!,"AAAAADd/vrE=")</f>
        <v>#REF!</v>
      </c>
      <c r="FW17" t="str">
        <f>AND(#REF!,"AAAAADd/vrI=")</f>
        <v>#REF!</v>
      </c>
      <c r="FX17" t="str">
        <f>AND(#REF!,"AAAAADd/vrM=")</f>
        <v>#REF!</v>
      </c>
      <c r="FY17" t="str">
        <f>AND(#REF!,"AAAAADd/vrQ=")</f>
        <v>#REF!</v>
      </c>
      <c r="FZ17" t="str">
        <f>AND(#REF!,"AAAAADd/vrU=")</f>
        <v>#REF!</v>
      </c>
      <c r="GA17" t="str">
        <f>AND(#REF!,"AAAAADd/vrY=")</f>
        <v>#REF!</v>
      </c>
      <c r="GB17" t="str">
        <f>AND(#REF!,"AAAAADd/vrc=")</f>
        <v>#REF!</v>
      </c>
      <c r="GC17" t="str">
        <f>AND(#REF!,"AAAAADd/vrg=")</f>
        <v>#REF!</v>
      </c>
      <c r="GD17" t="str">
        <f>AND(#REF!,"AAAAADd/vrk=")</f>
        <v>#REF!</v>
      </c>
      <c r="GE17" t="str">
        <f>AND(#REF!,"AAAAADd/vro=")</f>
        <v>#REF!</v>
      </c>
      <c r="GF17" t="str">
        <f>AND(#REF!,"AAAAADd/vrs=")</f>
        <v>#REF!</v>
      </c>
      <c r="GG17" t="str">
        <f>AND(#REF!,"AAAAADd/vrw=")</f>
        <v>#REF!</v>
      </c>
      <c r="GH17" t="str">
        <f>AND(#REF!,"AAAAADd/vr0=")</f>
        <v>#REF!</v>
      </c>
      <c r="GI17" t="str">
        <f>AND(#REF!,"AAAAADd/vr4=")</f>
        <v>#REF!</v>
      </c>
      <c r="GJ17" t="str">
        <f>AND(#REF!,"AAAAADd/vr8=")</f>
        <v>#REF!</v>
      </c>
      <c r="GK17" t="str">
        <f>AND(#REF!,"AAAAADd/vsA=")</f>
        <v>#REF!</v>
      </c>
      <c r="GL17" t="str">
        <f>AND(#REF!,"AAAAADd/vsE=")</f>
        <v>#REF!</v>
      </c>
      <c r="GM17" t="str">
        <f>AND(#REF!,"AAAAADd/vsI=")</f>
        <v>#REF!</v>
      </c>
      <c r="GN17" t="str">
        <f>AND(#REF!,"AAAAADd/vsM=")</f>
        <v>#REF!</v>
      </c>
      <c r="GO17" t="str">
        <f>AND(#REF!,"AAAAADd/vsQ=")</f>
        <v>#REF!</v>
      </c>
      <c r="GP17" t="str">
        <f>AND(#REF!,"AAAAADd/vsU=")</f>
        <v>#REF!</v>
      </c>
      <c r="GQ17" t="str">
        <f>AND(#REF!,"AAAAADd/vsY=")</f>
        <v>#REF!</v>
      </c>
      <c r="GR17" t="str">
        <f>AND(#REF!,"AAAAADd/vsc=")</f>
        <v>#REF!</v>
      </c>
      <c r="GS17" t="str">
        <f>AND(#REF!,"AAAAADd/vsg=")</f>
        <v>#REF!</v>
      </c>
      <c r="GT17" t="str">
        <f>AND(#REF!,"AAAAADd/vsk=")</f>
        <v>#REF!</v>
      </c>
      <c r="GU17" t="str">
        <f>AND(#REF!,"AAAAADd/vso=")</f>
        <v>#REF!</v>
      </c>
      <c r="GV17" t="str">
        <f>AND(#REF!,"AAAAADd/vss=")</f>
        <v>#REF!</v>
      </c>
      <c r="GW17" t="str">
        <f>AND(#REF!,"AAAAADd/vsw=")</f>
        <v>#REF!</v>
      </c>
      <c r="GX17" t="str">
        <f>AND(#REF!,"AAAAADd/vs0=")</f>
        <v>#REF!</v>
      </c>
      <c r="GY17" t="str">
        <f>AND(#REF!,"AAAAADd/vs4=")</f>
        <v>#REF!</v>
      </c>
      <c r="GZ17" t="str">
        <f>AND(#REF!,"AAAAADd/vs8=")</f>
        <v>#REF!</v>
      </c>
      <c r="HA17" t="str">
        <f>AND(#REF!,"AAAAADd/vtA=")</f>
        <v>#REF!</v>
      </c>
      <c r="HB17" t="str">
        <f>AND(#REF!,"AAAAADd/vtE=")</f>
        <v>#REF!</v>
      </c>
      <c r="HC17" t="str">
        <f>AND(#REF!,"AAAAADd/vtI=")</f>
        <v>#REF!</v>
      </c>
      <c r="HD17" t="str">
        <f>AND(#REF!,"AAAAADd/vtM=")</f>
        <v>#REF!</v>
      </c>
      <c r="HE17" t="str">
        <f>AND(#REF!,"AAAAADd/vtQ=")</f>
        <v>#REF!</v>
      </c>
      <c r="HF17" t="str">
        <f>AND(#REF!,"AAAAADd/vtU=")</f>
        <v>#REF!</v>
      </c>
      <c r="HG17" t="str">
        <f>AND(#REF!,"AAAAADd/vtY=")</f>
        <v>#REF!</v>
      </c>
      <c r="HH17" t="str">
        <f>AND(#REF!,"AAAAADd/vtc=")</f>
        <v>#REF!</v>
      </c>
      <c r="HI17" t="str">
        <f>AND(#REF!,"AAAAADd/vtg=")</f>
        <v>#REF!</v>
      </c>
      <c r="HJ17" t="str">
        <f>AND(#REF!,"AAAAADd/vtk=")</f>
        <v>#REF!</v>
      </c>
      <c r="HK17" t="str">
        <f>AND(#REF!,"AAAAADd/vto=")</f>
        <v>#REF!</v>
      </c>
      <c r="HL17" t="str">
        <f>AND(#REF!,"AAAAADd/vts=")</f>
        <v>#REF!</v>
      </c>
      <c r="HM17" t="str">
        <f>AND(#REF!,"AAAAADd/vtw=")</f>
        <v>#REF!</v>
      </c>
      <c r="HN17" t="str">
        <f>AND(#REF!,"AAAAADd/vt0=")</f>
        <v>#REF!</v>
      </c>
      <c r="HO17" t="str">
        <f>AND(#REF!,"AAAAADd/vt4=")</f>
        <v>#REF!</v>
      </c>
      <c r="HP17" t="str">
        <f>AND(#REF!,"AAAAADd/vt8=")</f>
        <v>#REF!</v>
      </c>
      <c r="HQ17" t="str">
        <f>AND(#REF!,"AAAAADd/vuA=")</f>
        <v>#REF!</v>
      </c>
      <c r="HR17" t="str">
        <f>AND(#REF!,"AAAAADd/vuE=")</f>
        <v>#REF!</v>
      </c>
      <c r="HS17" t="str">
        <f>AND(#REF!,"AAAAADd/vuI=")</f>
        <v>#REF!</v>
      </c>
      <c r="HT17" t="str">
        <f>AND(#REF!,"AAAAADd/vuM=")</f>
        <v>#REF!</v>
      </c>
      <c r="HU17" t="str">
        <f>AND(#REF!,"AAAAADd/vuQ=")</f>
        <v>#REF!</v>
      </c>
      <c r="HV17" t="str">
        <f>AND(#REF!,"AAAAADd/vuU=")</f>
        <v>#REF!</v>
      </c>
      <c r="HW17" t="str">
        <f>AND(#REF!,"AAAAADd/vuY=")</f>
        <v>#REF!</v>
      </c>
      <c r="HX17" t="str">
        <f>AND(#REF!,"AAAAADd/vuc=")</f>
        <v>#REF!</v>
      </c>
      <c r="HY17" t="str">
        <f>AND(#REF!,"AAAAADd/vug=")</f>
        <v>#REF!</v>
      </c>
      <c r="HZ17" t="str">
        <f>AND(#REF!,"AAAAADd/vuk=")</f>
        <v>#REF!</v>
      </c>
      <c r="IA17" t="str">
        <f>AND(#REF!,"AAAAADd/vuo=")</f>
        <v>#REF!</v>
      </c>
      <c r="IB17" t="str">
        <f>AND(#REF!,"AAAAADd/vus=")</f>
        <v>#REF!</v>
      </c>
      <c r="IC17" t="str">
        <f>AND(#REF!,"AAAAADd/vuw=")</f>
        <v>#REF!</v>
      </c>
      <c r="ID17" t="str">
        <f>AND(#REF!,"AAAAADd/vu0=")</f>
        <v>#REF!</v>
      </c>
      <c r="IE17" t="str">
        <f>AND(#REF!,"AAAAADd/vu4=")</f>
        <v>#REF!</v>
      </c>
      <c r="IF17" t="str">
        <f>AND(#REF!,"AAAAADd/vu8=")</f>
        <v>#REF!</v>
      </c>
      <c r="IG17" t="str">
        <f>AND(#REF!,"AAAAADd/vvA=")</f>
        <v>#REF!</v>
      </c>
      <c r="IH17" t="str">
        <f>AND(#REF!,"AAAAADd/vvE=")</f>
        <v>#REF!</v>
      </c>
      <c r="II17" t="str">
        <f>AND(#REF!,"AAAAADd/vvI=")</f>
        <v>#REF!</v>
      </c>
      <c r="IJ17" t="str">
        <f>IF(#REF!,"AAAAADd/vvM=",0)</f>
        <v>#REF!</v>
      </c>
      <c r="IK17" t="str">
        <f>AND(#REF!,"AAAAADd/vvQ=")</f>
        <v>#REF!</v>
      </c>
      <c r="IL17" t="str">
        <f>AND(#REF!,"AAAAADd/vvU=")</f>
        <v>#REF!</v>
      </c>
      <c r="IM17" t="str">
        <f>AND(#REF!,"AAAAADd/vvY=")</f>
        <v>#REF!</v>
      </c>
      <c r="IN17" t="str">
        <f>AND(#REF!,"AAAAADd/vvc=")</f>
        <v>#REF!</v>
      </c>
      <c r="IO17" t="str">
        <f>AND(#REF!,"AAAAADd/vvg=")</f>
        <v>#REF!</v>
      </c>
      <c r="IP17" t="str">
        <f>AND(#REF!,"AAAAADd/vvk=")</f>
        <v>#REF!</v>
      </c>
      <c r="IQ17" t="str">
        <f>AND(#REF!,"AAAAADd/vvo=")</f>
        <v>#REF!</v>
      </c>
      <c r="IR17" t="str">
        <f>AND(#REF!,"AAAAADd/vvs=")</f>
        <v>#REF!</v>
      </c>
      <c r="IS17" t="str">
        <f>AND(#REF!,"AAAAADd/vvw=")</f>
        <v>#REF!</v>
      </c>
      <c r="IT17" t="str">
        <f>AND(#REF!,"AAAAADd/vv0=")</f>
        <v>#REF!</v>
      </c>
      <c r="IU17" t="str">
        <f>AND(#REF!,"AAAAADd/vv4=")</f>
        <v>#REF!</v>
      </c>
      <c r="IV17" t="str">
        <f>AND(#REF!,"AAAAADd/vv8=")</f>
        <v>#REF!</v>
      </c>
    </row>
    <row r="18">
      <c r="A18" t="str">
        <f>AND(#REF!,"AAAAADm/tgA=")</f>
        <v>#REF!</v>
      </c>
      <c r="B18" t="str">
        <f>AND(#REF!,"AAAAADm/tgE=")</f>
        <v>#REF!</v>
      </c>
      <c r="C18" t="str">
        <f>AND(#REF!,"AAAAADm/tgI=")</f>
        <v>#REF!</v>
      </c>
      <c r="D18" t="str">
        <f>AND(#REF!,"AAAAADm/tgM=")</f>
        <v>#REF!</v>
      </c>
      <c r="E18" t="str">
        <f>AND(#REF!,"AAAAADm/tgQ=")</f>
        <v>#REF!</v>
      </c>
      <c r="F18" t="str">
        <f>AND(#REF!,"AAAAADm/tgU=")</f>
        <v>#REF!</v>
      </c>
      <c r="G18" t="str">
        <f>AND(#REF!,"AAAAADm/tgY=")</f>
        <v>#REF!</v>
      </c>
      <c r="H18" t="str">
        <f>AND(#REF!,"AAAAADm/tgc=")</f>
        <v>#REF!</v>
      </c>
      <c r="I18" t="str">
        <f>AND(#REF!,"AAAAADm/tgg=")</f>
        <v>#REF!</v>
      </c>
      <c r="J18" t="str">
        <f>AND(#REF!,"AAAAADm/tgk=")</f>
        <v>#REF!</v>
      </c>
      <c r="K18" t="str">
        <f>AND(#REF!,"AAAAADm/tgo=")</f>
        <v>#REF!</v>
      </c>
      <c r="L18" t="str">
        <f>AND(#REF!,"AAAAADm/tgs=")</f>
        <v>#REF!</v>
      </c>
      <c r="M18" t="str">
        <f>AND(#REF!,"AAAAADm/tgw=")</f>
        <v>#REF!</v>
      </c>
      <c r="N18" t="str">
        <f>AND(#REF!,"AAAAADm/tg0=")</f>
        <v>#REF!</v>
      </c>
      <c r="O18" t="str">
        <f>AND(#REF!,"AAAAADm/tg4=")</f>
        <v>#REF!</v>
      </c>
      <c r="P18" t="str">
        <f>AND(#REF!,"AAAAADm/tg8=")</f>
        <v>#REF!</v>
      </c>
      <c r="Q18" t="str">
        <f>AND(#REF!,"AAAAADm/thA=")</f>
        <v>#REF!</v>
      </c>
      <c r="R18" t="str">
        <f>AND(#REF!,"AAAAADm/thE=")</f>
        <v>#REF!</v>
      </c>
      <c r="S18" t="str">
        <f>AND(#REF!,"AAAAADm/thI=")</f>
        <v>#REF!</v>
      </c>
      <c r="T18" t="str">
        <f>AND(#REF!,"AAAAADm/thM=")</f>
        <v>#REF!</v>
      </c>
      <c r="U18" t="str">
        <f>AND(#REF!,"AAAAADm/thQ=")</f>
        <v>#REF!</v>
      </c>
      <c r="V18" t="str">
        <f>AND(#REF!,"AAAAADm/thU=")</f>
        <v>#REF!</v>
      </c>
      <c r="W18" t="str">
        <f>AND(#REF!,"AAAAADm/thY=")</f>
        <v>#REF!</v>
      </c>
      <c r="X18" t="str">
        <f>AND(#REF!,"AAAAADm/thc=")</f>
        <v>#REF!</v>
      </c>
      <c r="Y18" t="str">
        <f>AND(#REF!,"AAAAADm/thg=")</f>
        <v>#REF!</v>
      </c>
      <c r="Z18" t="str">
        <f>AND(#REF!,"AAAAADm/thk=")</f>
        <v>#REF!</v>
      </c>
      <c r="AA18" t="str">
        <f>AND(#REF!,"AAAAADm/tho=")</f>
        <v>#REF!</v>
      </c>
      <c r="AB18" t="str">
        <f>AND(#REF!,"AAAAADm/ths=")</f>
        <v>#REF!</v>
      </c>
      <c r="AC18" t="str">
        <f>AND(#REF!,"AAAAADm/thw=")</f>
        <v>#REF!</v>
      </c>
      <c r="AD18" t="str">
        <f>AND(#REF!,"AAAAADm/th0=")</f>
        <v>#REF!</v>
      </c>
      <c r="AE18" t="str">
        <f>AND(#REF!,"AAAAADm/th4=")</f>
        <v>#REF!</v>
      </c>
      <c r="AF18" t="str">
        <f>AND(#REF!,"AAAAADm/th8=")</f>
        <v>#REF!</v>
      </c>
      <c r="AG18" t="str">
        <f>AND(#REF!,"AAAAADm/tiA=")</f>
        <v>#REF!</v>
      </c>
      <c r="AH18" t="str">
        <f>AND(#REF!,"AAAAADm/tiE=")</f>
        <v>#REF!</v>
      </c>
      <c r="AI18" t="str">
        <f>AND(#REF!,"AAAAADm/tiI=")</f>
        <v>#REF!</v>
      </c>
      <c r="AJ18" t="str">
        <f>AND(#REF!,"AAAAADm/tiM=")</f>
        <v>#REF!</v>
      </c>
      <c r="AK18" t="str">
        <f>AND(#REF!,"AAAAADm/tiQ=")</f>
        <v>#REF!</v>
      </c>
      <c r="AL18" t="str">
        <f>AND(#REF!,"AAAAADm/tiU=")</f>
        <v>#REF!</v>
      </c>
      <c r="AM18" t="str">
        <f>AND(#REF!,"AAAAADm/tiY=")</f>
        <v>#REF!</v>
      </c>
      <c r="AN18" t="str">
        <f>AND(#REF!,"AAAAADm/tic=")</f>
        <v>#REF!</v>
      </c>
      <c r="AO18" t="str">
        <f>AND(#REF!,"AAAAADm/tig=")</f>
        <v>#REF!</v>
      </c>
      <c r="AP18" t="str">
        <f>AND(#REF!,"AAAAADm/tik=")</f>
        <v>#REF!</v>
      </c>
      <c r="AQ18" t="str">
        <f>AND(#REF!,"AAAAADm/tio=")</f>
        <v>#REF!</v>
      </c>
      <c r="AR18" t="str">
        <f>AND(#REF!,"AAAAADm/tis=")</f>
        <v>#REF!</v>
      </c>
      <c r="AS18" t="str">
        <f>AND(#REF!,"AAAAADm/tiw=")</f>
        <v>#REF!</v>
      </c>
      <c r="AT18" t="str">
        <f>AND(#REF!,"AAAAADm/ti0=")</f>
        <v>#REF!</v>
      </c>
      <c r="AU18" t="str">
        <f>AND(#REF!,"AAAAADm/ti4=")</f>
        <v>#REF!</v>
      </c>
      <c r="AV18" t="str">
        <f>AND(#REF!,"AAAAADm/ti8=")</f>
        <v>#REF!</v>
      </c>
      <c r="AW18" t="str">
        <f>AND(#REF!,"AAAAADm/tjA=")</f>
        <v>#REF!</v>
      </c>
      <c r="AX18" t="str">
        <f>AND(#REF!,"AAAAADm/tjE=")</f>
        <v>#REF!</v>
      </c>
      <c r="AY18" t="str">
        <f>AND(#REF!,"AAAAADm/tjI=")</f>
        <v>#REF!</v>
      </c>
      <c r="AZ18" t="str">
        <f>AND(#REF!,"AAAAADm/tjM=")</f>
        <v>#REF!</v>
      </c>
      <c r="BA18" t="str">
        <f>AND(#REF!,"AAAAADm/tjQ=")</f>
        <v>#REF!</v>
      </c>
      <c r="BB18" t="str">
        <f>AND(#REF!,"AAAAADm/tjU=")</f>
        <v>#REF!</v>
      </c>
      <c r="BC18" t="str">
        <f>AND(#REF!,"AAAAADm/tjY=")</f>
        <v>#REF!</v>
      </c>
      <c r="BD18" t="str">
        <f>AND(#REF!,"AAAAADm/tjc=")</f>
        <v>#REF!</v>
      </c>
      <c r="BE18" t="str">
        <f>AND(#REF!,"AAAAADm/tjg=")</f>
        <v>#REF!</v>
      </c>
      <c r="BF18" t="str">
        <f>AND(#REF!,"AAAAADm/tjk=")</f>
        <v>#REF!</v>
      </c>
      <c r="BG18" t="str">
        <f>AND(#REF!,"AAAAADm/tjo=")</f>
        <v>#REF!</v>
      </c>
      <c r="BH18" t="str">
        <f>AND(#REF!,"AAAAADm/tjs=")</f>
        <v>#REF!</v>
      </c>
      <c r="BI18" t="str">
        <f>AND(#REF!,"AAAAADm/tjw=")</f>
        <v>#REF!</v>
      </c>
      <c r="BJ18" t="str">
        <f>AND(#REF!,"AAAAADm/tj0=")</f>
        <v>#REF!</v>
      </c>
      <c r="BK18" t="str">
        <f>AND(#REF!,"AAAAADm/tj4=")</f>
        <v>#REF!</v>
      </c>
      <c r="BL18" t="str">
        <f>IF(#REF!,"AAAAADm/tj8=",0)</f>
        <v>#REF!</v>
      </c>
      <c r="BM18" t="str">
        <f>AND(#REF!,"AAAAADm/tkA=")</f>
        <v>#REF!</v>
      </c>
      <c r="BN18" t="str">
        <f>AND(#REF!,"AAAAADm/tkE=")</f>
        <v>#REF!</v>
      </c>
      <c r="BO18" t="str">
        <f>AND(#REF!,"AAAAADm/tkI=")</f>
        <v>#REF!</v>
      </c>
      <c r="BP18" t="str">
        <f>AND(#REF!,"AAAAADm/tkM=")</f>
        <v>#REF!</v>
      </c>
      <c r="BQ18" t="str">
        <f>AND(#REF!,"AAAAADm/tkQ=")</f>
        <v>#REF!</v>
      </c>
      <c r="BR18" t="str">
        <f>AND(#REF!,"AAAAADm/tkU=")</f>
        <v>#REF!</v>
      </c>
      <c r="BS18" t="str">
        <f>AND(#REF!,"AAAAADm/tkY=")</f>
        <v>#REF!</v>
      </c>
      <c r="BT18" t="str">
        <f>AND(#REF!,"AAAAADm/tkc=")</f>
        <v>#REF!</v>
      </c>
      <c r="BU18" t="str">
        <f>AND(#REF!,"AAAAADm/tkg=")</f>
        <v>#REF!</v>
      </c>
      <c r="BV18" t="str">
        <f>AND(#REF!,"AAAAADm/tkk=")</f>
        <v>#REF!</v>
      </c>
      <c r="BW18" t="str">
        <f>AND(#REF!,"AAAAADm/tko=")</f>
        <v>#REF!</v>
      </c>
      <c r="BX18" t="str">
        <f>AND(#REF!,"AAAAADm/tks=")</f>
        <v>#REF!</v>
      </c>
      <c r="BY18" t="str">
        <f>AND(#REF!,"AAAAADm/tkw=")</f>
        <v>#REF!</v>
      </c>
      <c r="BZ18" t="str">
        <f>AND(#REF!,"AAAAADm/tk0=")</f>
        <v>#REF!</v>
      </c>
      <c r="CA18" t="str">
        <f>AND(#REF!,"AAAAADm/tk4=")</f>
        <v>#REF!</v>
      </c>
      <c r="CB18" t="str">
        <f>AND(#REF!,"AAAAADm/tk8=")</f>
        <v>#REF!</v>
      </c>
      <c r="CC18" t="str">
        <f>AND(#REF!,"AAAAADm/tlA=")</f>
        <v>#REF!</v>
      </c>
      <c r="CD18" t="str">
        <f>AND(#REF!,"AAAAADm/tlE=")</f>
        <v>#REF!</v>
      </c>
      <c r="CE18" t="str">
        <f>AND(#REF!,"AAAAADm/tlI=")</f>
        <v>#REF!</v>
      </c>
      <c r="CF18" t="str">
        <f>AND(#REF!,"AAAAADm/tlM=")</f>
        <v>#REF!</v>
      </c>
      <c r="CG18" t="str">
        <f>AND(#REF!,"AAAAADm/tlQ=")</f>
        <v>#REF!</v>
      </c>
      <c r="CH18" t="str">
        <f>AND(#REF!,"AAAAADm/tlU=")</f>
        <v>#REF!</v>
      </c>
      <c r="CI18" t="str">
        <f>AND(#REF!,"AAAAADm/tlY=")</f>
        <v>#REF!</v>
      </c>
      <c r="CJ18" t="str">
        <f>AND(#REF!,"AAAAADm/tlc=")</f>
        <v>#REF!</v>
      </c>
      <c r="CK18" t="str">
        <f>AND(#REF!,"AAAAADm/tlg=")</f>
        <v>#REF!</v>
      </c>
      <c r="CL18" t="str">
        <f>AND(#REF!,"AAAAADm/tlk=")</f>
        <v>#REF!</v>
      </c>
      <c r="CM18" t="str">
        <f>AND(#REF!,"AAAAADm/tlo=")</f>
        <v>#REF!</v>
      </c>
      <c r="CN18" t="str">
        <f>AND(#REF!,"AAAAADm/tls=")</f>
        <v>#REF!</v>
      </c>
      <c r="CO18" t="str">
        <f>AND(#REF!,"AAAAADm/tlw=")</f>
        <v>#REF!</v>
      </c>
      <c r="CP18" t="str">
        <f>AND(#REF!,"AAAAADm/tl0=")</f>
        <v>#REF!</v>
      </c>
      <c r="CQ18" t="str">
        <f>AND(#REF!,"AAAAADm/tl4=")</f>
        <v>#REF!</v>
      </c>
      <c r="CR18" t="str">
        <f>AND(#REF!,"AAAAADm/tl8=")</f>
        <v>#REF!</v>
      </c>
      <c r="CS18" t="str">
        <f>AND(#REF!,"AAAAADm/tmA=")</f>
        <v>#REF!</v>
      </c>
      <c r="CT18" t="str">
        <f>AND(#REF!,"AAAAADm/tmE=")</f>
        <v>#REF!</v>
      </c>
      <c r="CU18" t="str">
        <f>AND(#REF!,"AAAAADm/tmI=")</f>
        <v>#REF!</v>
      </c>
      <c r="CV18" t="str">
        <f>AND(#REF!,"AAAAADm/tmM=")</f>
        <v>#REF!</v>
      </c>
      <c r="CW18" t="str">
        <f>AND(#REF!,"AAAAADm/tmQ=")</f>
        <v>#REF!</v>
      </c>
      <c r="CX18" t="str">
        <f>AND(#REF!,"AAAAADm/tmU=")</f>
        <v>#REF!</v>
      </c>
      <c r="CY18" t="str">
        <f>AND(#REF!,"AAAAADm/tmY=")</f>
        <v>#REF!</v>
      </c>
      <c r="CZ18" t="str">
        <f>AND(#REF!,"AAAAADm/tmc=")</f>
        <v>#REF!</v>
      </c>
      <c r="DA18" t="str">
        <f>AND(#REF!,"AAAAADm/tmg=")</f>
        <v>#REF!</v>
      </c>
      <c r="DB18" t="str">
        <f>AND(#REF!,"AAAAADm/tmk=")</f>
        <v>#REF!</v>
      </c>
      <c r="DC18" t="str">
        <f>AND(#REF!,"AAAAADm/tmo=")</f>
        <v>#REF!</v>
      </c>
      <c r="DD18" t="str">
        <f>AND(#REF!,"AAAAADm/tms=")</f>
        <v>#REF!</v>
      </c>
      <c r="DE18" t="str">
        <f>AND(#REF!,"AAAAADm/tmw=")</f>
        <v>#REF!</v>
      </c>
      <c r="DF18" t="str">
        <f>AND(#REF!,"AAAAADm/tm0=")</f>
        <v>#REF!</v>
      </c>
      <c r="DG18" t="str">
        <f>AND(#REF!,"AAAAADm/tm4=")</f>
        <v>#REF!</v>
      </c>
      <c r="DH18" t="str">
        <f>AND(#REF!,"AAAAADm/tm8=")</f>
        <v>#REF!</v>
      </c>
      <c r="DI18" t="str">
        <f>AND(#REF!,"AAAAADm/tnA=")</f>
        <v>#REF!</v>
      </c>
      <c r="DJ18" t="str">
        <f>AND(#REF!,"AAAAADm/tnE=")</f>
        <v>#REF!</v>
      </c>
      <c r="DK18" t="str">
        <f>AND(#REF!,"AAAAADm/tnI=")</f>
        <v>#REF!</v>
      </c>
      <c r="DL18" t="str">
        <f>AND(#REF!,"AAAAADm/tnM=")</f>
        <v>#REF!</v>
      </c>
      <c r="DM18" t="str">
        <f>AND(#REF!,"AAAAADm/tnQ=")</f>
        <v>#REF!</v>
      </c>
      <c r="DN18" t="str">
        <f>AND(#REF!,"AAAAADm/tnU=")</f>
        <v>#REF!</v>
      </c>
      <c r="DO18" t="str">
        <f>AND(#REF!,"AAAAADm/tnY=")</f>
        <v>#REF!</v>
      </c>
      <c r="DP18" t="str">
        <f>AND(#REF!,"AAAAADm/tnc=")</f>
        <v>#REF!</v>
      </c>
      <c r="DQ18" t="str">
        <f>AND(#REF!,"AAAAADm/tng=")</f>
        <v>#REF!</v>
      </c>
      <c r="DR18" t="str">
        <f>AND(#REF!,"AAAAADm/tnk=")</f>
        <v>#REF!</v>
      </c>
      <c r="DS18" t="str">
        <f>AND(#REF!,"AAAAADm/tno=")</f>
        <v>#REF!</v>
      </c>
      <c r="DT18" t="str">
        <f>AND(#REF!,"AAAAADm/tns=")</f>
        <v>#REF!</v>
      </c>
      <c r="DU18" t="str">
        <f>AND(#REF!,"AAAAADm/tnw=")</f>
        <v>#REF!</v>
      </c>
      <c r="DV18" t="str">
        <f>AND(#REF!,"AAAAADm/tn0=")</f>
        <v>#REF!</v>
      </c>
      <c r="DW18" t="str">
        <f>AND(#REF!,"AAAAADm/tn4=")</f>
        <v>#REF!</v>
      </c>
      <c r="DX18" t="str">
        <f>AND(#REF!,"AAAAADm/tn8=")</f>
        <v>#REF!</v>
      </c>
      <c r="DY18" t="str">
        <f>AND(#REF!,"AAAAADm/toA=")</f>
        <v>#REF!</v>
      </c>
      <c r="DZ18" t="str">
        <f>AND(#REF!,"AAAAADm/toE=")</f>
        <v>#REF!</v>
      </c>
      <c r="EA18" t="str">
        <f>AND(#REF!,"AAAAADm/toI=")</f>
        <v>#REF!</v>
      </c>
      <c r="EB18" t="str">
        <f>AND(#REF!,"AAAAADm/toM=")</f>
        <v>#REF!</v>
      </c>
      <c r="EC18" t="str">
        <f>AND(#REF!,"AAAAADm/toQ=")</f>
        <v>#REF!</v>
      </c>
      <c r="ED18" t="str">
        <f>AND(#REF!,"AAAAADm/toU=")</f>
        <v>#REF!</v>
      </c>
      <c r="EE18" t="str">
        <f>AND(#REF!,"AAAAADm/toY=")</f>
        <v>#REF!</v>
      </c>
      <c r="EF18" t="str">
        <f>AND(#REF!,"AAAAADm/toc=")</f>
        <v>#REF!</v>
      </c>
      <c r="EG18" t="str">
        <f>AND(#REF!,"AAAAADm/tog=")</f>
        <v>#REF!</v>
      </c>
      <c r="EH18" t="str">
        <f>AND(#REF!,"AAAAADm/tok=")</f>
        <v>#REF!</v>
      </c>
      <c r="EI18" t="str">
        <f>AND(#REF!,"AAAAADm/too=")</f>
        <v>#REF!</v>
      </c>
      <c r="EJ18" t="str">
        <f>IF(#REF!,"AAAAADm/tos=",0)</f>
        <v>#REF!</v>
      </c>
      <c r="EK18" t="str">
        <f>AND(#REF!,"AAAAADm/tow=")</f>
        <v>#REF!</v>
      </c>
      <c r="EL18" t="str">
        <f>AND(#REF!,"AAAAADm/to0=")</f>
        <v>#REF!</v>
      </c>
      <c r="EM18" t="str">
        <f>AND(#REF!,"AAAAADm/to4=")</f>
        <v>#REF!</v>
      </c>
      <c r="EN18" t="str">
        <f>AND(#REF!,"AAAAADm/to8=")</f>
        <v>#REF!</v>
      </c>
      <c r="EO18" t="str">
        <f>AND(#REF!,"AAAAADm/tpA=")</f>
        <v>#REF!</v>
      </c>
      <c r="EP18" t="str">
        <f>AND(#REF!,"AAAAADm/tpE=")</f>
        <v>#REF!</v>
      </c>
      <c r="EQ18" t="str">
        <f>AND(#REF!,"AAAAADm/tpI=")</f>
        <v>#REF!</v>
      </c>
      <c r="ER18" t="str">
        <f>AND(#REF!,"AAAAADm/tpM=")</f>
        <v>#REF!</v>
      </c>
      <c r="ES18" t="str">
        <f>AND(#REF!,"AAAAADm/tpQ=")</f>
        <v>#REF!</v>
      </c>
      <c r="ET18" t="str">
        <f>AND(#REF!,"AAAAADm/tpU=")</f>
        <v>#REF!</v>
      </c>
      <c r="EU18" t="str">
        <f>AND(#REF!,"AAAAADm/tpY=")</f>
        <v>#REF!</v>
      </c>
      <c r="EV18" t="str">
        <f>AND(#REF!,"AAAAADm/tpc=")</f>
        <v>#REF!</v>
      </c>
      <c r="EW18" t="str">
        <f>AND(#REF!,"AAAAADm/tpg=")</f>
        <v>#REF!</v>
      </c>
      <c r="EX18" t="str">
        <f>AND(#REF!,"AAAAADm/tpk=")</f>
        <v>#REF!</v>
      </c>
      <c r="EY18" t="str">
        <f>AND(#REF!,"AAAAADm/tpo=")</f>
        <v>#REF!</v>
      </c>
      <c r="EZ18" t="str">
        <f>AND(#REF!,"AAAAADm/tps=")</f>
        <v>#REF!</v>
      </c>
      <c r="FA18" t="str">
        <f>AND(#REF!,"AAAAADm/tpw=")</f>
        <v>#REF!</v>
      </c>
      <c r="FB18" t="str">
        <f>AND(#REF!,"AAAAADm/tp0=")</f>
        <v>#REF!</v>
      </c>
      <c r="FC18" t="str">
        <f>AND(#REF!,"AAAAADm/tp4=")</f>
        <v>#REF!</v>
      </c>
      <c r="FD18" t="str">
        <f>AND(#REF!,"AAAAADm/tp8=")</f>
        <v>#REF!</v>
      </c>
      <c r="FE18" t="str">
        <f>AND(#REF!,"AAAAADm/tqA=")</f>
        <v>#REF!</v>
      </c>
      <c r="FF18" t="str">
        <f>AND(#REF!,"AAAAADm/tqE=")</f>
        <v>#REF!</v>
      </c>
      <c r="FG18" t="str">
        <f>AND(#REF!,"AAAAADm/tqI=")</f>
        <v>#REF!</v>
      </c>
      <c r="FH18" t="str">
        <f>AND(#REF!,"AAAAADm/tqM=")</f>
        <v>#REF!</v>
      </c>
      <c r="FI18" t="str">
        <f>AND(#REF!,"AAAAADm/tqQ=")</f>
        <v>#REF!</v>
      </c>
      <c r="FJ18" t="str">
        <f>AND(#REF!,"AAAAADm/tqU=")</f>
        <v>#REF!</v>
      </c>
      <c r="FK18" t="str">
        <f>AND(#REF!,"AAAAADm/tqY=")</f>
        <v>#REF!</v>
      </c>
      <c r="FL18" t="str">
        <f>AND(#REF!,"AAAAADm/tqc=")</f>
        <v>#REF!</v>
      </c>
      <c r="FM18" t="str">
        <f>AND(#REF!,"AAAAADm/tqg=")</f>
        <v>#REF!</v>
      </c>
      <c r="FN18" t="str">
        <f>AND(#REF!,"AAAAADm/tqk=")</f>
        <v>#REF!</v>
      </c>
      <c r="FO18" t="str">
        <f>AND(#REF!,"AAAAADm/tqo=")</f>
        <v>#REF!</v>
      </c>
      <c r="FP18" t="str">
        <f>AND(#REF!,"AAAAADm/tqs=")</f>
        <v>#REF!</v>
      </c>
      <c r="FQ18" t="str">
        <f>AND(#REF!,"AAAAADm/tqw=")</f>
        <v>#REF!</v>
      </c>
      <c r="FR18" t="str">
        <f>AND(#REF!,"AAAAADm/tq0=")</f>
        <v>#REF!</v>
      </c>
      <c r="FS18" t="str">
        <f>AND(#REF!,"AAAAADm/tq4=")</f>
        <v>#REF!</v>
      </c>
      <c r="FT18" t="str">
        <f>AND(#REF!,"AAAAADm/tq8=")</f>
        <v>#REF!</v>
      </c>
      <c r="FU18" t="str">
        <f>AND(#REF!,"AAAAADm/trA=")</f>
        <v>#REF!</v>
      </c>
      <c r="FV18" t="str">
        <f>AND(#REF!,"AAAAADm/trE=")</f>
        <v>#REF!</v>
      </c>
      <c r="FW18" t="str">
        <f>AND(#REF!,"AAAAADm/trI=")</f>
        <v>#REF!</v>
      </c>
      <c r="FX18" t="str">
        <f>AND(#REF!,"AAAAADm/trM=")</f>
        <v>#REF!</v>
      </c>
      <c r="FY18" t="str">
        <f>AND(#REF!,"AAAAADm/trQ=")</f>
        <v>#REF!</v>
      </c>
      <c r="FZ18" t="str">
        <f>AND(#REF!,"AAAAADm/trU=")</f>
        <v>#REF!</v>
      </c>
      <c r="GA18" t="str">
        <f>AND(#REF!,"AAAAADm/trY=")</f>
        <v>#REF!</v>
      </c>
      <c r="GB18" t="str">
        <f>AND(#REF!,"AAAAADm/trc=")</f>
        <v>#REF!</v>
      </c>
      <c r="GC18" t="str">
        <f>AND(#REF!,"AAAAADm/trg=")</f>
        <v>#REF!</v>
      </c>
      <c r="GD18" t="str">
        <f>AND(#REF!,"AAAAADm/trk=")</f>
        <v>#REF!</v>
      </c>
      <c r="GE18" t="str">
        <f>AND(#REF!,"AAAAADm/tro=")</f>
        <v>#REF!</v>
      </c>
      <c r="GF18" t="str">
        <f>AND(#REF!,"AAAAADm/trs=")</f>
        <v>#REF!</v>
      </c>
      <c r="GG18" t="str">
        <f>AND(#REF!,"AAAAADm/trw=")</f>
        <v>#REF!</v>
      </c>
      <c r="GH18" t="str">
        <f>AND(#REF!,"AAAAADm/tr0=")</f>
        <v>#REF!</v>
      </c>
      <c r="GI18" t="str">
        <f>AND(#REF!,"AAAAADm/tr4=")</f>
        <v>#REF!</v>
      </c>
      <c r="GJ18" t="str">
        <f>AND(#REF!,"AAAAADm/tr8=")</f>
        <v>#REF!</v>
      </c>
      <c r="GK18" t="str">
        <f>AND(#REF!,"AAAAADm/tsA=")</f>
        <v>#REF!</v>
      </c>
      <c r="GL18" t="str">
        <f>AND(#REF!,"AAAAADm/tsE=")</f>
        <v>#REF!</v>
      </c>
      <c r="GM18" t="str">
        <f>AND(#REF!,"AAAAADm/tsI=")</f>
        <v>#REF!</v>
      </c>
      <c r="GN18" t="str">
        <f>AND(#REF!,"AAAAADm/tsM=")</f>
        <v>#REF!</v>
      </c>
      <c r="GO18" t="str">
        <f>AND(#REF!,"AAAAADm/tsQ=")</f>
        <v>#REF!</v>
      </c>
      <c r="GP18" t="str">
        <f>AND(#REF!,"AAAAADm/tsU=")</f>
        <v>#REF!</v>
      </c>
      <c r="GQ18" t="str">
        <f>AND(#REF!,"AAAAADm/tsY=")</f>
        <v>#REF!</v>
      </c>
      <c r="GR18" t="str">
        <f>AND(#REF!,"AAAAADm/tsc=")</f>
        <v>#REF!</v>
      </c>
      <c r="GS18" t="str">
        <f>AND(#REF!,"AAAAADm/tsg=")</f>
        <v>#REF!</v>
      </c>
      <c r="GT18" t="str">
        <f>AND(#REF!,"AAAAADm/tsk=")</f>
        <v>#REF!</v>
      </c>
      <c r="GU18" t="str">
        <f>AND(#REF!,"AAAAADm/tso=")</f>
        <v>#REF!</v>
      </c>
      <c r="GV18" t="str">
        <f>AND(#REF!,"AAAAADm/tss=")</f>
        <v>#REF!</v>
      </c>
      <c r="GW18" t="str">
        <f>AND(#REF!,"AAAAADm/tsw=")</f>
        <v>#REF!</v>
      </c>
      <c r="GX18" t="str">
        <f>AND(#REF!,"AAAAADm/ts0=")</f>
        <v>#REF!</v>
      </c>
      <c r="GY18" t="str">
        <f>AND(#REF!,"AAAAADm/ts4=")</f>
        <v>#REF!</v>
      </c>
      <c r="GZ18" t="str">
        <f>AND(#REF!,"AAAAADm/ts8=")</f>
        <v>#REF!</v>
      </c>
      <c r="HA18" t="str">
        <f>AND(#REF!,"AAAAADm/ttA=")</f>
        <v>#REF!</v>
      </c>
      <c r="HB18" t="str">
        <f>AND(#REF!,"AAAAADm/ttE=")</f>
        <v>#REF!</v>
      </c>
      <c r="HC18" t="str">
        <f>AND(#REF!,"AAAAADm/ttI=")</f>
        <v>#REF!</v>
      </c>
      <c r="HD18" t="str">
        <f>AND(#REF!,"AAAAADm/ttM=")</f>
        <v>#REF!</v>
      </c>
      <c r="HE18" t="str">
        <f>AND(#REF!,"AAAAADm/ttQ=")</f>
        <v>#REF!</v>
      </c>
      <c r="HF18" t="str">
        <f>AND(#REF!,"AAAAADm/ttU=")</f>
        <v>#REF!</v>
      </c>
      <c r="HG18" t="str">
        <f>AND(#REF!,"AAAAADm/ttY=")</f>
        <v>#REF!</v>
      </c>
      <c r="HH18" t="str">
        <f>IF(#REF!,"AAAAADm/ttc=",0)</f>
        <v>#REF!</v>
      </c>
      <c r="HI18" t="str">
        <f>AND(#REF!,"AAAAADm/ttg=")</f>
        <v>#REF!</v>
      </c>
      <c r="HJ18" t="str">
        <f>AND(#REF!,"AAAAADm/ttk=")</f>
        <v>#REF!</v>
      </c>
      <c r="HK18" t="str">
        <f>AND(#REF!,"AAAAADm/tto=")</f>
        <v>#REF!</v>
      </c>
      <c r="HL18" t="str">
        <f>AND(#REF!,"AAAAADm/tts=")</f>
        <v>#REF!</v>
      </c>
      <c r="HM18" t="str">
        <f>AND(#REF!,"AAAAADm/ttw=")</f>
        <v>#REF!</v>
      </c>
      <c r="HN18" t="str">
        <f>AND(#REF!,"AAAAADm/tt0=")</f>
        <v>#REF!</v>
      </c>
      <c r="HO18" t="str">
        <f>AND(#REF!,"AAAAADm/tt4=")</f>
        <v>#REF!</v>
      </c>
      <c r="HP18" t="str">
        <f>AND(#REF!,"AAAAADm/tt8=")</f>
        <v>#REF!</v>
      </c>
      <c r="HQ18" t="str">
        <f>AND(#REF!,"AAAAADm/tuA=")</f>
        <v>#REF!</v>
      </c>
      <c r="HR18" t="str">
        <f>AND(#REF!,"AAAAADm/tuE=")</f>
        <v>#REF!</v>
      </c>
      <c r="HS18" t="str">
        <f>AND(#REF!,"AAAAADm/tuI=")</f>
        <v>#REF!</v>
      </c>
      <c r="HT18" t="str">
        <f>AND(#REF!,"AAAAADm/tuM=")</f>
        <v>#REF!</v>
      </c>
      <c r="HU18" t="str">
        <f>AND(#REF!,"AAAAADm/tuQ=")</f>
        <v>#REF!</v>
      </c>
      <c r="HV18" t="str">
        <f>AND(#REF!,"AAAAADm/tuU=")</f>
        <v>#REF!</v>
      </c>
      <c r="HW18" t="str">
        <f>AND(#REF!,"AAAAADm/tuY=")</f>
        <v>#REF!</v>
      </c>
      <c r="HX18" t="str">
        <f>AND(#REF!,"AAAAADm/tuc=")</f>
        <v>#REF!</v>
      </c>
      <c r="HY18" t="str">
        <f>AND(#REF!,"AAAAADm/tug=")</f>
        <v>#REF!</v>
      </c>
      <c r="HZ18" t="str">
        <f>AND(#REF!,"AAAAADm/tuk=")</f>
        <v>#REF!</v>
      </c>
      <c r="IA18" t="str">
        <f>AND(#REF!,"AAAAADm/tuo=")</f>
        <v>#REF!</v>
      </c>
      <c r="IB18" t="str">
        <f>AND(#REF!,"AAAAADm/tus=")</f>
        <v>#REF!</v>
      </c>
      <c r="IC18" t="str">
        <f>AND(#REF!,"AAAAADm/tuw=")</f>
        <v>#REF!</v>
      </c>
      <c r="ID18" t="str">
        <f>AND(#REF!,"AAAAADm/tu0=")</f>
        <v>#REF!</v>
      </c>
      <c r="IE18" t="str">
        <f>AND(#REF!,"AAAAADm/tu4=")</f>
        <v>#REF!</v>
      </c>
      <c r="IF18" t="str">
        <f>AND(#REF!,"AAAAADm/tu8=")</f>
        <v>#REF!</v>
      </c>
      <c r="IG18" t="str">
        <f>AND(#REF!,"AAAAADm/tvA=")</f>
        <v>#REF!</v>
      </c>
      <c r="IH18" t="str">
        <f>AND(#REF!,"AAAAADm/tvE=")</f>
        <v>#REF!</v>
      </c>
      <c r="II18" t="str">
        <f>AND(#REF!,"AAAAADm/tvI=")</f>
        <v>#REF!</v>
      </c>
      <c r="IJ18" t="str">
        <f>AND(#REF!,"AAAAADm/tvM=")</f>
        <v>#REF!</v>
      </c>
      <c r="IK18" t="str">
        <f>AND(#REF!,"AAAAADm/tvQ=")</f>
        <v>#REF!</v>
      </c>
      <c r="IL18" t="str">
        <f>AND(#REF!,"AAAAADm/tvU=")</f>
        <v>#REF!</v>
      </c>
      <c r="IM18" t="str">
        <f>AND(#REF!,"AAAAADm/tvY=")</f>
        <v>#REF!</v>
      </c>
      <c r="IN18" t="str">
        <f>AND(#REF!,"AAAAADm/tvc=")</f>
        <v>#REF!</v>
      </c>
      <c r="IO18" t="str">
        <f>AND(#REF!,"AAAAADm/tvg=")</f>
        <v>#REF!</v>
      </c>
      <c r="IP18" t="str">
        <f>AND(#REF!,"AAAAADm/tvk=")</f>
        <v>#REF!</v>
      </c>
      <c r="IQ18" t="str">
        <f>AND(#REF!,"AAAAADm/tvo=")</f>
        <v>#REF!</v>
      </c>
      <c r="IR18" t="str">
        <f>AND(#REF!,"AAAAADm/tvs=")</f>
        <v>#REF!</v>
      </c>
      <c r="IS18" t="str">
        <f>AND(#REF!,"AAAAADm/tvw=")</f>
        <v>#REF!</v>
      </c>
      <c r="IT18" t="str">
        <f>AND(#REF!,"AAAAADm/tv0=")</f>
        <v>#REF!</v>
      </c>
      <c r="IU18" t="str">
        <f>AND(#REF!,"AAAAADm/tv4=")</f>
        <v>#REF!</v>
      </c>
      <c r="IV18" t="str">
        <f>AND(#REF!,"AAAAADm/tv8=")</f>
        <v>#REF!</v>
      </c>
    </row>
    <row r="19">
      <c r="A19" t="str">
        <f>AND(#REF!,"AAAAAG/1/wA=")</f>
        <v>#REF!</v>
      </c>
      <c r="B19" t="str">
        <f>AND(#REF!,"AAAAAG/1/wE=")</f>
        <v>#REF!</v>
      </c>
      <c r="C19" t="str">
        <f>AND(#REF!,"AAAAAG/1/wI=")</f>
        <v>#REF!</v>
      </c>
      <c r="D19" t="str">
        <f>AND(#REF!,"AAAAAG/1/wM=")</f>
        <v>#REF!</v>
      </c>
      <c r="E19" t="str">
        <f>AND(#REF!,"AAAAAG/1/wQ=")</f>
        <v>#REF!</v>
      </c>
      <c r="F19" t="str">
        <f>AND(#REF!,"AAAAAG/1/wU=")</f>
        <v>#REF!</v>
      </c>
      <c r="G19" t="str">
        <f>AND(#REF!,"AAAAAG/1/wY=")</f>
        <v>#REF!</v>
      </c>
      <c r="H19" t="str">
        <f>AND(#REF!,"AAAAAG/1/wc=")</f>
        <v>#REF!</v>
      </c>
      <c r="I19" t="str">
        <f>AND(#REF!,"AAAAAG/1/wg=")</f>
        <v>#REF!</v>
      </c>
      <c r="J19" t="str">
        <f>AND(#REF!,"AAAAAG/1/wk=")</f>
        <v>#REF!</v>
      </c>
      <c r="K19" t="str">
        <f>AND(#REF!,"AAAAAG/1/wo=")</f>
        <v>#REF!</v>
      </c>
      <c r="L19" t="str">
        <f>AND(#REF!,"AAAAAG/1/ws=")</f>
        <v>#REF!</v>
      </c>
      <c r="M19" t="str">
        <f>AND(#REF!,"AAAAAG/1/ww=")</f>
        <v>#REF!</v>
      </c>
      <c r="N19" t="str">
        <f>AND(#REF!,"AAAAAG/1/w0=")</f>
        <v>#REF!</v>
      </c>
      <c r="O19" t="str">
        <f>AND(#REF!,"AAAAAG/1/w4=")</f>
        <v>#REF!</v>
      </c>
      <c r="P19" t="str">
        <f>AND(#REF!,"AAAAAG/1/w8=")</f>
        <v>#REF!</v>
      </c>
      <c r="Q19" t="str">
        <f>AND(#REF!,"AAAAAG/1/xA=")</f>
        <v>#REF!</v>
      </c>
      <c r="R19" t="str">
        <f>AND(#REF!,"AAAAAG/1/xE=")</f>
        <v>#REF!</v>
      </c>
      <c r="S19" t="str">
        <f>AND(#REF!,"AAAAAG/1/xI=")</f>
        <v>#REF!</v>
      </c>
      <c r="T19" t="str">
        <f>AND(#REF!,"AAAAAG/1/xM=")</f>
        <v>#REF!</v>
      </c>
      <c r="U19" t="str">
        <f>AND(#REF!,"AAAAAG/1/xQ=")</f>
        <v>#REF!</v>
      </c>
      <c r="V19" t="str">
        <f>AND(#REF!,"AAAAAG/1/xU=")</f>
        <v>#REF!</v>
      </c>
      <c r="W19" t="str">
        <f>AND(#REF!,"AAAAAG/1/xY=")</f>
        <v>#REF!</v>
      </c>
      <c r="X19" t="str">
        <f>AND(#REF!,"AAAAAG/1/xc=")</f>
        <v>#REF!</v>
      </c>
      <c r="Y19" t="str">
        <f>AND(#REF!,"AAAAAG/1/xg=")</f>
        <v>#REF!</v>
      </c>
      <c r="Z19" t="str">
        <f>AND(#REF!,"AAAAAG/1/xk=")</f>
        <v>#REF!</v>
      </c>
      <c r="AA19" t="str">
        <f>AND(#REF!,"AAAAAG/1/xo=")</f>
        <v>#REF!</v>
      </c>
      <c r="AB19" t="str">
        <f>AND(#REF!,"AAAAAG/1/xs=")</f>
        <v>#REF!</v>
      </c>
      <c r="AC19" t="str">
        <f>AND(#REF!,"AAAAAG/1/xw=")</f>
        <v>#REF!</v>
      </c>
      <c r="AD19" t="str">
        <f>AND(#REF!,"AAAAAG/1/x0=")</f>
        <v>#REF!</v>
      </c>
      <c r="AE19" t="str">
        <f>AND(#REF!,"AAAAAG/1/x4=")</f>
        <v>#REF!</v>
      </c>
      <c r="AF19" t="str">
        <f>AND(#REF!,"AAAAAG/1/x8=")</f>
        <v>#REF!</v>
      </c>
      <c r="AG19" t="str">
        <f>AND(#REF!,"AAAAAG/1/yA=")</f>
        <v>#REF!</v>
      </c>
      <c r="AH19" t="str">
        <f>AND(#REF!,"AAAAAG/1/yE=")</f>
        <v>#REF!</v>
      </c>
      <c r="AI19" t="str">
        <f>AND(#REF!,"AAAAAG/1/yI=")</f>
        <v>#REF!</v>
      </c>
      <c r="AJ19" t="str">
        <f>IF(#REF!,"AAAAAG/1/yM=",0)</f>
        <v>#REF!</v>
      </c>
      <c r="AK19" t="str">
        <f>AND(#REF!,"AAAAAG/1/yQ=")</f>
        <v>#REF!</v>
      </c>
      <c r="AL19" t="str">
        <f>AND(#REF!,"AAAAAG/1/yU=")</f>
        <v>#REF!</v>
      </c>
      <c r="AM19" t="str">
        <f>AND(#REF!,"AAAAAG/1/yY=")</f>
        <v>#REF!</v>
      </c>
      <c r="AN19" t="str">
        <f>AND(#REF!,"AAAAAG/1/yc=")</f>
        <v>#REF!</v>
      </c>
      <c r="AO19" t="str">
        <f>AND(#REF!,"AAAAAG/1/yg=")</f>
        <v>#REF!</v>
      </c>
      <c r="AP19" t="str">
        <f>AND(#REF!,"AAAAAG/1/yk=")</f>
        <v>#REF!</v>
      </c>
      <c r="AQ19" t="str">
        <f>AND(#REF!,"AAAAAG/1/yo=")</f>
        <v>#REF!</v>
      </c>
      <c r="AR19" t="str">
        <f>AND(#REF!,"AAAAAG/1/ys=")</f>
        <v>#REF!</v>
      </c>
      <c r="AS19" t="str">
        <f>AND(#REF!,"AAAAAG/1/yw=")</f>
        <v>#REF!</v>
      </c>
      <c r="AT19" t="str">
        <f>AND(#REF!,"AAAAAG/1/y0=")</f>
        <v>#REF!</v>
      </c>
      <c r="AU19" t="str">
        <f>AND(#REF!,"AAAAAG/1/y4=")</f>
        <v>#REF!</v>
      </c>
      <c r="AV19" t="str">
        <f>AND(#REF!,"AAAAAG/1/y8=")</f>
        <v>#REF!</v>
      </c>
      <c r="AW19" t="str">
        <f>AND(#REF!,"AAAAAG/1/zA=")</f>
        <v>#REF!</v>
      </c>
      <c r="AX19" t="str">
        <f>AND(#REF!,"AAAAAG/1/zE=")</f>
        <v>#REF!</v>
      </c>
      <c r="AY19" t="str">
        <f>AND(#REF!,"AAAAAG/1/zI=")</f>
        <v>#REF!</v>
      </c>
      <c r="AZ19" t="str">
        <f>AND(#REF!,"AAAAAG/1/zM=")</f>
        <v>#REF!</v>
      </c>
      <c r="BA19" t="str">
        <f>AND(#REF!,"AAAAAG/1/zQ=")</f>
        <v>#REF!</v>
      </c>
      <c r="BB19" t="str">
        <f>AND(#REF!,"AAAAAG/1/zU=")</f>
        <v>#REF!</v>
      </c>
      <c r="BC19" t="str">
        <f>AND(#REF!,"AAAAAG/1/zY=")</f>
        <v>#REF!</v>
      </c>
      <c r="BD19" t="str">
        <f>AND(#REF!,"AAAAAG/1/zc=")</f>
        <v>#REF!</v>
      </c>
      <c r="BE19" t="str">
        <f>AND(#REF!,"AAAAAG/1/zg=")</f>
        <v>#REF!</v>
      </c>
      <c r="BF19" t="str">
        <f>AND(#REF!,"AAAAAG/1/zk=")</f>
        <v>#REF!</v>
      </c>
      <c r="BG19" t="str">
        <f>AND(#REF!,"AAAAAG/1/zo=")</f>
        <v>#REF!</v>
      </c>
      <c r="BH19" t="str">
        <f>AND(#REF!,"AAAAAG/1/zs=")</f>
        <v>#REF!</v>
      </c>
      <c r="BI19" t="str">
        <f>AND(#REF!,"AAAAAG/1/zw=")</f>
        <v>#REF!</v>
      </c>
      <c r="BJ19" t="str">
        <f>AND(#REF!,"AAAAAG/1/z0=")</f>
        <v>#REF!</v>
      </c>
      <c r="BK19" t="str">
        <f>AND(#REF!,"AAAAAG/1/z4=")</f>
        <v>#REF!</v>
      </c>
      <c r="BL19" t="str">
        <f>AND(#REF!,"AAAAAG/1/z8=")</f>
        <v>#REF!</v>
      </c>
      <c r="BM19" t="str">
        <f>AND(#REF!,"AAAAAG/1/0A=")</f>
        <v>#REF!</v>
      </c>
      <c r="BN19" t="str">
        <f>AND(#REF!,"AAAAAG/1/0E=")</f>
        <v>#REF!</v>
      </c>
      <c r="BO19" t="str">
        <f>AND(#REF!,"AAAAAG/1/0I=")</f>
        <v>#REF!</v>
      </c>
      <c r="BP19" t="str">
        <f>AND(#REF!,"AAAAAG/1/0M=")</f>
        <v>#REF!</v>
      </c>
      <c r="BQ19" t="str">
        <f>AND(#REF!,"AAAAAG/1/0Q=")</f>
        <v>#REF!</v>
      </c>
      <c r="BR19" t="str">
        <f>AND(#REF!,"AAAAAG/1/0U=")</f>
        <v>#REF!</v>
      </c>
      <c r="BS19" t="str">
        <f>AND(#REF!,"AAAAAG/1/0Y=")</f>
        <v>#REF!</v>
      </c>
      <c r="BT19" t="str">
        <f>AND(#REF!,"AAAAAG/1/0c=")</f>
        <v>#REF!</v>
      </c>
      <c r="BU19" t="str">
        <f>AND(#REF!,"AAAAAG/1/0g=")</f>
        <v>#REF!</v>
      </c>
      <c r="BV19" t="str">
        <f>AND(#REF!,"AAAAAG/1/0k=")</f>
        <v>#REF!</v>
      </c>
      <c r="BW19" t="str">
        <f>AND(#REF!,"AAAAAG/1/0o=")</f>
        <v>#REF!</v>
      </c>
      <c r="BX19" t="str">
        <f>AND(#REF!,"AAAAAG/1/0s=")</f>
        <v>#REF!</v>
      </c>
      <c r="BY19" t="str">
        <f>AND(#REF!,"AAAAAG/1/0w=")</f>
        <v>#REF!</v>
      </c>
      <c r="BZ19" t="str">
        <f>AND(#REF!,"AAAAAG/1/00=")</f>
        <v>#REF!</v>
      </c>
      <c r="CA19" t="str">
        <f>AND(#REF!,"AAAAAG/1/04=")</f>
        <v>#REF!</v>
      </c>
      <c r="CB19" t="str">
        <f>AND(#REF!,"AAAAAG/1/08=")</f>
        <v>#REF!</v>
      </c>
      <c r="CC19" t="str">
        <f>AND(#REF!,"AAAAAG/1/1A=")</f>
        <v>#REF!</v>
      </c>
      <c r="CD19" t="str">
        <f>AND(#REF!,"AAAAAG/1/1E=")</f>
        <v>#REF!</v>
      </c>
      <c r="CE19" t="str">
        <f>AND(#REF!,"AAAAAG/1/1I=")</f>
        <v>#REF!</v>
      </c>
      <c r="CF19" t="str">
        <f>AND(#REF!,"AAAAAG/1/1M=")</f>
        <v>#REF!</v>
      </c>
      <c r="CG19" t="str">
        <f>AND(#REF!,"AAAAAG/1/1Q=")</f>
        <v>#REF!</v>
      </c>
      <c r="CH19" t="str">
        <f>AND(#REF!,"AAAAAG/1/1U=")</f>
        <v>#REF!</v>
      </c>
      <c r="CI19" t="str">
        <f>AND(#REF!,"AAAAAG/1/1Y=")</f>
        <v>#REF!</v>
      </c>
      <c r="CJ19" t="str">
        <f>AND(#REF!,"AAAAAG/1/1c=")</f>
        <v>#REF!</v>
      </c>
      <c r="CK19" t="str">
        <f>AND(#REF!,"AAAAAG/1/1g=")</f>
        <v>#REF!</v>
      </c>
      <c r="CL19" t="str">
        <f>AND(#REF!,"AAAAAG/1/1k=")</f>
        <v>#REF!</v>
      </c>
      <c r="CM19" t="str">
        <f>AND(#REF!,"AAAAAG/1/1o=")</f>
        <v>#REF!</v>
      </c>
      <c r="CN19" t="str">
        <f>AND(#REF!,"AAAAAG/1/1s=")</f>
        <v>#REF!</v>
      </c>
      <c r="CO19" t="str">
        <f>AND(#REF!,"AAAAAG/1/1w=")</f>
        <v>#REF!</v>
      </c>
      <c r="CP19" t="str">
        <f>AND(#REF!,"AAAAAG/1/10=")</f>
        <v>#REF!</v>
      </c>
      <c r="CQ19" t="str">
        <f>AND(#REF!,"AAAAAG/1/14=")</f>
        <v>#REF!</v>
      </c>
      <c r="CR19" t="str">
        <f>AND(#REF!,"AAAAAG/1/18=")</f>
        <v>#REF!</v>
      </c>
      <c r="CS19" t="str">
        <f>AND(#REF!,"AAAAAG/1/2A=")</f>
        <v>#REF!</v>
      </c>
      <c r="CT19" t="str">
        <f>AND(#REF!,"AAAAAG/1/2E=")</f>
        <v>#REF!</v>
      </c>
      <c r="CU19" t="str">
        <f>AND(#REF!,"AAAAAG/1/2I=")</f>
        <v>#REF!</v>
      </c>
      <c r="CV19" t="str">
        <f>AND(#REF!,"AAAAAG/1/2M=")</f>
        <v>#REF!</v>
      </c>
      <c r="CW19" t="str">
        <f>AND(#REF!,"AAAAAG/1/2Q=")</f>
        <v>#REF!</v>
      </c>
      <c r="CX19" t="str">
        <f>AND(#REF!,"AAAAAG/1/2U=")</f>
        <v>#REF!</v>
      </c>
      <c r="CY19" t="str">
        <f>AND(#REF!,"AAAAAG/1/2Y=")</f>
        <v>#REF!</v>
      </c>
      <c r="CZ19" t="str">
        <f>AND(#REF!,"AAAAAG/1/2c=")</f>
        <v>#REF!</v>
      </c>
      <c r="DA19" t="str">
        <f>AND(#REF!,"AAAAAG/1/2g=")</f>
        <v>#REF!</v>
      </c>
      <c r="DB19" t="str">
        <f>AND(#REF!,"AAAAAG/1/2k=")</f>
        <v>#REF!</v>
      </c>
      <c r="DC19" t="str">
        <f>AND(#REF!,"AAAAAG/1/2o=")</f>
        <v>#REF!</v>
      </c>
      <c r="DD19" t="str">
        <f>AND(#REF!,"AAAAAG/1/2s=")</f>
        <v>#REF!</v>
      </c>
      <c r="DE19" t="str">
        <f>AND(#REF!,"AAAAAG/1/2w=")</f>
        <v>#REF!</v>
      </c>
      <c r="DF19" t="str">
        <f>AND(#REF!,"AAAAAG/1/20=")</f>
        <v>#REF!</v>
      </c>
      <c r="DG19" t="str">
        <f>AND(#REF!,"AAAAAG/1/24=")</f>
        <v>#REF!</v>
      </c>
      <c r="DH19" t="str">
        <f>IF(#REF!,"AAAAAG/1/28=",0)</f>
        <v>#REF!</v>
      </c>
      <c r="DI19" t="str">
        <f>AND(#REF!,"AAAAAG/1/3A=")</f>
        <v>#REF!</v>
      </c>
      <c r="DJ19" t="str">
        <f>AND(#REF!,"AAAAAG/1/3E=")</f>
        <v>#REF!</v>
      </c>
      <c r="DK19" t="str">
        <f>AND(#REF!,"AAAAAG/1/3I=")</f>
        <v>#REF!</v>
      </c>
      <c r="DL19" t="str">
        <f>IF(#REF!,"AAAAAG/1/3M=",0)</f>
        <v>#REF!</v>
      </c>
      <c r="DM19" t="str">
        <f>AND(#REF!,"AAAAAG/1/3Q=")</f>
        <v>#REF!</v>
      </c>
      <c r="DN19" t="str">
        <f>AND(#REF!,"AAAAAG/1/3U=")</f>
        <v>#REF!</v>
      </c>
      <c r="DO19" t="str">
        <f>AND(#REF!,"AAAAAG/1/3Y=")</f>
        <v>#REF!</v>
      </c>
      <c r="DP19" t="str">
        <f>IF(#REF!,"AAAAAG/1/3c=",0)</f>
        <v>#REF!</v>
      </c>
      <c r="DQ19" t="str">
        <f>AND(#REF!,"AAAAAG/1/3g=")</f>
        <v>#REF!</v>
      </c>
      <c r="DR19" t="str">
        <f>AND(#REF!,"AAAAAG/1/3k=")</f>
        <v>#REF!</v>
      </c>
      <c r="DS19" t="str">
        <f>AND(#REF!,"AAAAAG/1/3o=")</f>
        <v>#REF!</v>
      </c>
      <c r="DT19" t="str">
        <f>IF(#REF!,"AAAAAG/1/3s=",0)</f>
        <v>#REF!</v>
      </c>
      <c r="DU19" t="str">
        <f>AND(#REF!,"AAAAAG/1/3w=")</f>
        <v>#REF!</v>
      </c>
      <c r="DV19" t="str">
        <f>AND(#REF!,"AAAAAG/1/30=")</f>
        <v>#REF!</v>
      </c>
      <c r="DW19" t="str">
        <f>AND(#REF!,"AAAAAG/1/34=")</f>
        <v>#REF!</v>
      </c>
      <c r="DX19" t="str">
        <f>IF(#REF!,"AAAAAG/1/38=",0)</f>
        <v>#REF!</v>
      </c>
      <c r="DY19" t="str">
        <f>AND(#REF!,"AAAAAG/1/4A=")</f>
        <v>#REF!</v>
      </c>
      <c r="DZ19" t="str">
        <f>AND(#REF!,"AAAAAG/1/4E=")</f>
        <v>#REF!</v>
      </c>
      <c r="EA19" t="str">
        <f>AND(#REF!,"AAAAAG/1/4I=")</f>
        <v>#REF!</v>
      </c>
      <c r="EB19" t="str">
        <f>IF(#REF!,"AAAAAG/1/4M=",0)</f>
        <v>#REF!</v>
      </c>
      <c r="EC19" t="str">
        <f>AND(#REF!,"AAAAAG/1/4Q=")</f>
        <v>#REF!</v>
      </c>
      <c r="ED19" t="str">
        <f>AND(#REF!,"AAAAAG/1/4U=")</f>
        <v>#REF!</v>
      </c>
      <c r="EE19" t="str">
        <f>AND(#REF!,"AAAAAG/1/4Y=")</f>
        <v>#REF!</v>
      </c>
      <c r="EF19" t="str">
        <f>IF(#REF!,"AAAAAG/1/4c=",0)</f>
        <v>#REF!</v>
      </c>
      <c r="EG19" t="str">
        <f>AND(#REF!,"AAAAAG/1/4g=")</f>
        <v>#REF!</v>
      </c>
      <c r="EH19" t="str">
        <f>AND(#REF!,"AAAAAG/1/4k=")</f>
        <v>#REF!</v>
      </c>
      <c r="EI19" t="str">
        <f>AND(#REF!,"AAAAAG/1/4o=")</f>
        <v>#REF!</v>
      </c>
      <c r="EJ19" t="str">
        <f>IF(#REF!,"AAAAAG/1/4s=",0)</f>
        <v>#REF!</v>
      </c>
      <c r="EK19" t="str">
        <f>AND(#REF!,"AAAAAG/1/4w=")</f>
        <v>#REF!</v>
      </c>
      <c r="EL19" t="str">
        <f>AND(#REF!,"AAAAAG/1/40=")</f>
        <v>#REF!</v>
      </c>
      <c r="EM19" t="str">
        <f>AND(#REF!,"AAAAAG/1/44=")</f>
        <v>#REF!</v>
      </c>
      <c r="EN19" t="str">
        <f>IF(#REF!,"AAAAAG/1/48=",0)</f>
        <v>#REF!</v>
      </c>
      <c r="EO19" t="str">
        <f>AND(#REF!,"AAAAAG/1/5A=")</f>
        <v>#REF!</v>
      </c>
      <c r="EP19" t="str">
        <f>AND(#REF!,"AAAAAG/1/5E=")</f>
        <v>#REF!</v>
      </c>
      <c r="EQ19" t="str">
        <f>AND(#REF!,"AAAAAG/1/5I=")</f>
        <v>#REF!</v>
      </c>
      <c r="ER19" t="str">
        <f>IF(#REF!,"AAAAAG/1/5M=",0)</f>
        <v>#REF!</v>
      </c>
      <c r="ES19" t="str">
        <f>AND(#REF!,"AAAAAG/1/5Q=")</f>
        <v>#REF!</v>
      </c>
      <c r="ET19" t="str">
        <f>AND(#REF!,"AAAAAG/1/5U=")</f>
        <v>#REF!</v>
      </c>
      <c r="EU19" t="str">
        <f>AND(#REF!,"AAAAAG/1/5Y=")</f>
        <v>#REF!</v>
      </c>
      <c r="EV19" t="str">
        <f>IF(#REF!,"AAAAAG/1/5c=",0)</f>
        <v>#REF!</v>
      </c>
      <c r="EW19" t="str">
        <f>AND(#REF!,"AAAAAG/1/5g=")</f>
        <v>#REF!</v>
      </c>
      <c r="EX19" t="str">
        <f>AND(#REF!,"AAAAAG/1/5k=")</f>
        <v>#REF!</v>
      </c>
      <c r="EY19" t="str">
        <f>AND(#REF!,"AAAAAG/1/5o=")</f>
        <v>#REF!</v>
      </c>
      <c r="EZ19" t="str">
        <f>IF(#REF!,"AAAAAG/1/5s=",0)</f>
        <v>#REF!</v>
      </c>
      <c r="FA19" t="str">
        <f>IF(#REF!,"AAAAAG/1/5w=",0)</f>
        <v>#REF!</v>
      </c>
      <c r="FB19" t="str">
        <f>IF(#REF!,"AAAAAG/1/50=",0)</f>
        <v>#REF!</v>
      </c>
      <c r="FC19" t="str">
        <f>IF(#REF!,"AAAAAG/1/54=",0)</f>
        <v>#REF!</v>
      </c>
      <c r="FD19" t="str">
        <f>IF(#REF!,"AAAAAG/1/58=",0)</f>
        <v>#REF!</v>
      </c>
      <c r="FE19" t="str">
        <f>IF(#REF!,"AAAAAG/1/6A=",0)</f>
        <v>#REF!</v>
      </c>
      <c r="FF19" t="str">
        <f>IF(#REF!,"AAAAAG/1/6E=",0)</f>
        <v>#REF!</v>
      </c>
      <c r="FG19" t="str">
        <f>IF(#REF!,"AAAAAG/1/6I=",0)</f>
        <v>#REF!</v>
      </c>
      <c r="FH19" t="str">
        <f>IF(#REF!,"AAAAAG/1/6M=",0)</f>
        <v>#REF!</v>
      </c>
      <c r="FI19" t="str">
        <f>IF(#REF!,"AAAAAG/1/6Q=",0)</f>
        <v>#REF!</v>
      </c>
      <c r="FJ19" t="str">
        <f>IF(#REF!,"AAAAAG/1/6U=",0)</f>
        <v>#REF!</v>
      </c>
      <c r="FK19" t="str">
        <f>IF(#REF!,"AAAAAG/1/6Y=",0)</f>
        <v>#REF!</v>
      </c>
      <c r="FL19" t="str">
        <f>IF(#REF!,"AAAAAG/1/6c=",0)</f>
        <v>#REF!</v>
      </c>
      <c r="FM19" t="str">
        <f>IF(#REF!,"AAAAAG/1/6g=",0)</f>
        <v>#REF!</v>
      </c>
      <c r="FN19" t="str">
        <f>IF(#REF!,"AAAAAG/1/6k=",0)</f>
        <v>#REF!</v>
      </c>
      <c r="FO19" t="str">
        <f>IF(#REF!,"AAAAAG/1/6o=",0)</f>
        <v>#REF!</v>
      </c>
      <c r="FP19" t="str">
        <f>IF(#REF!,"AAAAAG/1/6s=",0)</f>
        <v>#REF!</v>
      </c>
      <c r="FQ19" t="str">
        <f>IF(#REF!,"AAAAAG/1/6w=",0)</f>
        <v>#REF!</v>
      </c>
      <c r="FR19" t="str">
        <f>IF(#REF!,"AAAAAG/1/60=",0)</f>
        <v>#REF!</v>
      </c>
      <c r="FS19" t="str">
        <f>IF(#REF!,"AAAAAG/1/64=",0)</f>
        <v>#REF!</v>
      </c>
      <c r="FT19" t="str">
        <f>IF(#REF!,"AAAAAG/1/68=",0)</f>
        <v>#REF!</v>
      </c>
      <c r="FU19" t="str">
        <f>IF(#REF!,"AAAAAG/1/7A=",0)</f>
        <v>#REF!</v>
      </c>
      <c r="FV19" t="str">
        <f>IF(#REF!,"AAAAAG/1/7E=",0)</f>
        <v>#REF!</v>
      </c>
      <c r="FW19" t="str">
        <f>IF(#REF!,"AAAAAG/1/7I=",0)</f>
        <v>#REF!</v>
      </c>
      <c r="FX19" t="str">
        <f>IF(#REF!,"AAAAAG/1/7M=",0)</f>
        <v>#REF!</v>
      </c>
      <c r="FY19" t="str">
        <f>IF(#REF!,"AAAAAG/1/7Q=",0)</f>
        <v>#REF!</v>
      </c>
      <c r="FZ19" t="str">
        <f>IF(#REF!,"AAAAAG/1/7U=",0)</f>
        <v>#REF!</v>
      </c>
      <c r="GA19" t="str">
        <f>IF(#REF!,"AAAAAG/1/7Y=",0)</f>
        <v>#REF!</v>
      </c>
      <c r="GB19" t="str">
        <f>IF(#REF!,"AAAAAG/1/7c=",0)</f>
        <v>#REF!</v>
      </c>
      <c r="GC19" t="str">
        <f>IF(#REF!,"AAAAAG/1/7g=",0)</f>
        <v>#REF!</v>
      </c>
      <c r="GD19" t="str">
        <f>IF(#REF!,"AAAAAG/1/7k=",0)</f>
        <v>#REF!</v>
      </c>
      <c r="GE19" t="str">
        <f>IF(#REF!,"AAAAAG/1/7o=",0)</f>
        <v>#REF!</v>
      </c>
      <c r="GF19" t="str">
        <f>IF(#REF!,"AAAAAG/1/7s=",0)</f>
        <v>#REF!</v>
      </c>
      <c r="GG19" t="str">
        <f>IF(#REF!,"AAAAAG/1/7w=",0)</f>
        <v>#REF!</v>
      </c>
      <c r="GH19" t="str">
        <f>IF(#REF!,"AAAAAG/1/70=",0)</f>
        <v>#REF!</v>
      </c>
      <c r="GI19" t="str">
        <f>IF(#REF!,"AAAAAG/1/74=",0)</f>
        <v>#REF!</v>
      </c>
      <c r="GJ19" t="str">
        <f>IF(#REF!,"AAAAAG/1/78=",0)</f>
        <v>#REF!</v>
      </c>
      <c r="GK19" t="str">
        <f>IF(#REF!,"AAAAAG/1/8A=",0)</f>
        <v>#REF!</v>
      </c>
      <c r="GL19" t="str">
        <f>IF(#REF!,"AAAAAG/1/8E=",0)</f>
        <v>#REF!</v>
      </c>
      <c r="GM19" t="str">
        <f>IF(#REF!,"AAAAAG/1/8I=",0)</f>
        <v>#REF!</v>
      </c>
      <c r="GN19" t="str">
        <f>IF(#REF!,"AAAAAG/1/8M=",0)</f>
        <v>#REF!</v>
      </c>
      <c r="GO19" t="str">
        <f>IF(#REF!,"AAAAAG/1/8Q=",0)</f>
        <v>#REF!</v>
      </c>
      <c r="GP19" t="str">
        <f>IF(#REF!,"AAAAAG/1/8U=",0)</f>
        <v>#REF!</v>
      </c>
      <c r="GQ19" t="str">
        <f>IF(#REF!,"AAAAAG/1/8Y=",0)</f>
        <v>#REF!</v>
      </c>
      <c r="GR19" t="str">
        <f>IF(#REF!,"AAAAAG/1/8c=",0)</f>
        <v>#REF!</v>
      </c>
      <c r="GS19" t="str">
        <f>IF(#REF!,"AAAAAG/1/8g=",0)</f>
        <v>#REF!</v>
      </c>
      <c r="GT19" t="str">
        <f>IF(#REF!,"AAAAAG/1/8k=",0)</f>
        <v>#REF!</v>
      </c>
      <c r="GU19" t="str">
        <f>IF(#REF!,"AAAAAG/1/8o=",0)</f>
        <v>#REF!</v>
      </c>
      <c r="GV19" t="str">
        <f>IF(#REF!,"AAAAAG/1/8s=",0)</f>
        <v>#REF!</v>
      </c>
      <c r="GW19" t="str">
        <f>IF(#REF!,"AAAAAG/1/8w=",0)</f>
        <v>#REF!</v>
      </c>
      <c r="GX19" t="str">
        <f>IF(#REF!,"AAAAAG/1/80=",0)</f>
        <v>#REF!</v>
      </c>
      <c r="GY19" t="str">
        <f>IF(#REF!,"AAAAAG/1/84=",0)</f>
        <v>#REF!</v>
      </c>
      <c r="GZ19" t="str">
        <f>IF(#REF!,"AAAAAG/1/88=",0)</f>
        <v>#REF!</v>
      </c>
      <c r="HA19" t="str">
        <f>IF(#REF!,"AAAAAG/1/9A=",0)</f>
        <v>#REF!</v>
      </c>
      <c r="HB19" t="str">
        <f>IF(#REF!,"AAAAAG/1/9E=",0)</f>
        <v>#REF!</v>
      </c>
      <c r="HC19" t="str">
        <f>IF(#REF!,"AAAAAG/1/9I=",0)</f>
        <v>#REF!</v>
      </c>
      <c r="HD19" t="str">
        <f>IF(#REF!,"AAAAAG/1/9M=",0)</f>
        <v>#REF!</v>
      </c>
      <c r="HE19" t="str">
        <f>IF(#REF!,"AAAAAG/1/9Q=",0)</f>
        <v>#REF!</v>
      </c>
      <c r="HF19" t="str">
        <f>IF(#REF!,"AAAAAG/1/9U=",0)</f>
        <v>#REF!</v>
      </c>
      <c r="HG19" t="str">
        <f>IF(#REF!,"AAAAAG/1/9Y=",0)</f>
        <v>#REF!</v>
      </c>
      <c r="HH19" t="str">
        <f>IF(#REF!,"AAAAAG/1/9c=",0)</f>
        <v>#REF!</v>
      </c>
      <c r="HI19" t="str">
        <f>IF(#REF!,"AAAAAG/1/9g=",0)</f>
        <v>#REF!</v>
      </c>
      <c r="HJ19" t="str">
        <f>IF(#REF!,"AAAAAG/1/9k=",0)</f>
        <v>#REF!</v>
      </c>
      <c r="HK19" t="str">
        <f>IF(#REF!,"AAAAAG/1/9o=",0)</f>
        <v>#REF!</v>
      </c>
      <c r="HL19" t="str">
        <f>IF(#REF!,"AAAAAG/1/9s=",0)</f>
        <v>#REF!</v>
      </c>
      <c r="HM19" t="str">
        <f>IF(#REF!,"AAAAAG/1/9w=",0)</f>
        <v>#REF!</v>
      </c>
      <c r="HN19" t="str">
        <f>IF(#REF!,"AAAAAG/1/90=",0)</f>
        <v>#REF!</v>
      </c>
      <c r="HO19" t="str">
        <f>IF(#REF!,"AAAAAG/1/94=",0)</f>
        <v>#REF!</v>
      </c>
      <c r="HP19" t="str">
        <f>IF(#REF!,"AAAAAG/1/98=",0)</f>
        <v>#REF!</v>
      </c>
      <c r="HQ19" t="str">
        <f>IF(#REF!,"AAAAAG/1/+A=",0)</f>
        <v>#REF!</v>
      </c>
      <c r="HR19" t="str">
        <f>IF(#REF!,"AAAAAG/1/+E=",0)</f>
        <v>#REF!</v>
      </c>
      <c r="HS19" t="str">
        <f>IF(#REF!,"AAAAAG/1/+I=",0)</f>
        <v>#REF!</v>
      </c>
      <c r="HT19" t="str">
        <f>IF(#REF!,"AAAAAG/1/+M=",0)</f>
        <v>#REF!</v>
      </c>
      <c r="HU19" t="str">
        <f>IF(#REF!,"AAAAAG/1/+Q=",0)</f>
        <v>#REF!</v>
      </c>
      <c r="HV19" t="str">
        <f>IF(#REF!,"AAAAAG/1/+U=",0)</f>
        <v>#REF!</v>
      </c>
      <c r="HW19" t="str">
        <f>IF(#REF!,"AAAAAG/1/+Y=",0)</f>
        <v>#REF!</v>
      </c>
      <c r="HX19" t="str">
        <f>AND(#REF!,"AAAAAG/1/+c=")</f>
        <v>#REF!</v>
      </c>
      <c r="HY19" t="str">
        <f>AND(#REF!,"AAAAAG/1/+g=")</f>
        <v>#REF!</v>
      </c>
      <c r="HZ19" t="str">
        <f>AND(#REF!,"AAAAAG/1/+k=")</f>
        <v>#REF!</v>
      </c>
      <c r="IA19" t="str">
        <f>AND(#REF!,"AAAAAG/1/+o=")</f>
        <v>#REF!</v>
      </c>
      <c r="IB19" t="str">
        <f>AND(#REF!,"AAAAAG/1/+s=")</f>
        <v>#REF!</v>
      </c>
      <c r="IC19" t="str">
        <f>AND(#REF!,"AAAAAG/1/+w=")</f>
        <v>#REF!</v>
      </c>
      <c r="ID19" t="str">
        <f>AND(#REF!,"AAAAAG/1/+0=")</f>
        <v>#REF!</v>
      </c>
      <c r="IE19" t="str">
        <f>AND(#REF!,"AAAAAG/1/+4=")</f>
        <v>#REF!</v>
      </c>
      <c r="IF19" t="str">
        <f>AND(#REF!,"AAAAAG/1/+8=")</f>
        <v>#REF!</v>
      </c>
      <c r="IG19" t="str">
        <f>AND(#REF!,"AAAAAG/1//A=")</f>
        <v>#REF!</v>
      </c>
      <c r="IH19" t="str">
        <f>AND(#REF!,"AAAAAG/1//E=")</f>
        <v>#REF!</v>
      </c>
      <c r="II19" t="str">
        <f>AND(#REF!,"AAAAAG/1//I=")</f>
        <v>#REF!</v>
      </c>
      <c r="IJ19" t="str">
        <f>AND(#REF!,"AAAAAG/1//M=")</f>
        <v>#REF!</v>
      </c>
      <c r="IK19" t="str">
        <f>AND(#REF!,"AAAAAG/1//Q=")</f>
        <v>#REF!</v>
      </c>
      <c r="IL19" t="str">
        <f>AND(#REF!,"AAAAAG/1//U=")</f>
        <v>#REF!</v>
      </c>
      <c r="IM19" t="str">
        <f>AND(#REF!,"AAAAAG/1//Y=")</f>
        <v>#REF!</v>
      </c>
      <c r="IN19" t="str">
        <f>AND(#REF!,"AAAAAG/1//c=")</f>
        <v>#REF!</v>
      </c>
      <c r="IO19" t="str">
        <f>AND(#REF!,"AAAAAG/1//g=")</f>
        <v>#REF!</v>
      </c>
      <c r="IP19" t="str">
        <f>AND(#REF!,"AAAAAG/1//k=")</f>
        <v>#REF!</v>
      </c>
      <c r="IQ19" t="str">
        <f>AND(#REF!,"AAAAAG/1//o=")</f>
        <v>#REF!</v>
      </c>
      <c r="IR19" t="str">
        <f>AND(#REF!,"AAAAAG/1//s=")</f>
        <v>#REF!</v>
      </c>
      <c r="IS19" t="str">
        <f>AND(#REF!,"AAAAAG/1//w=")</f>
        <v>#REF!</v>
      </c>
      <c r="IT19" t="str">
        <f>AND(#REF!,"AAAAAG/1//0=")</f>
        <v>#REF!</v>
      </c>
      <c r="IU19" t="str">
        <f>AND(#REF!,"AAAAAG/1//4=")</f>
        <v>#REF!</v>
      </c>
      <c r="IV19" t="str">
        <f>AND(#REF!,"AAAAAG/1//8=")</f>
        <v>#REF!</v>
      </c>
    </row>
    <row r="20">
      <c r="A20" t="str">
        <f>AND(#REF!,"AAAAAHL97gA=")</f>
        <v>#REF!</v>
      </c>
      <c r="B20" t="str">
        <f>AND(#REF!,"AAAAAHL97gE=")</f>
        <v>#REF!</v>
      </c>
      <c r="C20" t="str">
        <f>AND(#REF!,"AAAAAHL97gI=")</f>
        <v>#REF!</v>
      </c>
      <c r="D20" t="str">
        <f>AND(#REF!,"AAAAAHL97gM=")</f>
        <v>#REF!</v>
      </c>
      <c r="E20" t="str">
        <f>AND(#REF!,"AAAAAHL97gQ=")</f>
        <v>#REF!</v>
      </c>
      <c r="F20" t="str">
        <f>AND(#REF!,"AAAAAHL97gU=")</f>
        <v>#REF!</v>
      </c>
      <c r="G20" t="str">
        <f>AND(#REF!,"AAAAAHL97gY=")</f>
        <v>#REF!</v>
      </c>
      <c r="H20" t="str">
        <f>AND(#REF!,"AAAAAHL97gc=")</f>
        <v>#REF!</v>
      </c>
      <c r="I20" t="str">
        <f>AND(#REF!,"AAAAAHL97gg=")</f>
        <v>#REF!</v>
      </c>
      <c r="J20" t="str">
        <f>AND(#REF!,"AAAAAHL97gk=")</f>
        <v>#REF!</v>
      </c>
      <c r="K20" t="str">
        <f>AND(#REF!,"AAAAAHL97go=")</f>
        <v>#REF!</v>
      </c>
      <c r="L20" t="str">
        <f>AND(#REF!,"AAAAAHL97gs=")</f>
        <v>#REF!</v>
      </c>
      <c r="M20" t="str">
        <f>AND(#REF!,"AAAAAHL97gw=")</f>
        <v>#REF!</v>
      </c>
      <c r="N20" t="str">
        <f>AND(#REF!,"AAAAAHL97g0=")</f>
        <v>#REF!</v>
      </c>
      <c r="O20" t="str">
        <f>AND(#REF!,"AAAAAHL97g4=")</f>
        <v>#REF!</v>
      </c>
      <c r="P20" t="str">
        <f>AND(#REF!,"AAAAAHL97g8=")</f>
        <v>#REF!</v>
      </c>
      <c r="Q20" t="str">
        <f>AND(#REF!,"AAAAAHL97hA=")</f>
        <v>#REF!</v>
      </c>
      <c r="R20" t="str">
        <f>AND(#REF!,"AAAAAHL97hE=")</f>
        <v>#REF!</v>
      </c>
      <c r="S20" t="str">
        <f>AND(#REF!,"AAAAAHL97hI=")</f>
        <v>#REF!</v>
      </c>
      <c r="T20" t="str">
        <f>AND(#REF!,"AAAAAHL97hM=")</f>
        <v>#REF!</v>
      </c>
      <c r="U20" t="str">
        <f>AND(#REF!,"AAAAAHL97hQ=")</f>
        <v>#REF!</v>
      </c>
      <c r="V20" t="str">
        <f>AND(#REF!,"AAAAAHL97hU=")</f>
        <v>#REF!</v>
      </c>
      <c r="W20" t="str">
        <f>AND(#REF!,"AAAAAHL97hY=")</f>
        <v>#REF!</v>
      </c>
      <c r="X20" t="str">
        <f>AND(#REF!,"AAAAAHL97hc=")</f>
        <v>#REF!</v>
      </c>
      <c r="Y20" t="str">
        <f>AND(#REF!,"AAAAAHL97hg=")</f>
        <v>#REF!</v>
      </c>
      <c r="Z20" t="str">
        <f>AND(#REF!,"AAAAAHL97hk=")</f>
        <v>#REF!</v>
      </c>
      <c r="AA20" t="str">
        <f>AND(#REF!,"AAAAAHL97ho=")</f>
        <v>#REF!</v>
      </c>
      <c r="AB20" t="str">
        <f>AND(#REF!,"AAAAAHL97hs=")</f>
        <v>#REF!</v>
      </c>
      <c r="AC20" t="str">
        <f>AND(#REF!,"AAAAAHL97hw=")</f>
        <v>#REF!</v>
      </c>
      <c r="AD20" t="str">
        <f>AND(#REF!,"AAAAAHL97h0=")</f>
        <v>#REF!</v>
      </c>
      <c r="AE20" t="str">
        <f>AND(#REF!,"AAAAAHL97h4=")</f>
        <v>#REF!</v>
      </c>
      <c r="AF20" t="str">
        <f>AND(#REF!,"AAAAAHL97h8=")</f>
        <v>#REF!</v>
      </c>
      <c r="AG20" t="str">
        <f>AND(#REF!,"AAAAAHL97iA=")</f>
        <v>#REF!</v>
      </c>
      <c r="AH20" t="str">
        <f>AND(#REF!,"AAAAAHL97iE=")</f>
        <v>#REF!</v>
      </c>
      <c r="AI20" t="str">
        <f>AND(#REF!,"AAAAAHL97iI=")</f>
        <v>#REF!</v>
      </c>
      <c r="AJ20" t="str">
        <f>AND(#REF!,"AAAAAHL97iM=")</f>
        <v>#REF!</v>
      </c>
      <c r="AK20" t="str">
        <f>AND(#REF!,"AAAAAHL97iQ=")</f>
        <v>#REF!</v>
      </c>
      <c r="AL20" t="str">
        <f>AND(#REF!,"AAAAAHL97iU=")</f>
        <v>#REF!</v>
      </c>
      <c r="AM20" t="str">
        <f>AND(#REF!,"AAAAAHL97iY=")</f>
        <v>#REF!</v>
      </c>
      <c r="AN20" t="str">
        <f>AND(#REF!,"AAAAAHL97ic=")</f>
        <v>#REF!</v>
      </c>
      <c r="AO20" t="str">
        <f>AND(#REF!,"AAAAAHL97ig=")</f>
        <v>#REF!</v>
      </c>
      <c r="AP20" t="str">
        <f>AND(#REF!,"AAAAAHL97ik=")</f>
        <v>#REF!</v>
      </c>
      <c r="AQ20" t="str">
        <f>AND(#REF!,"AAAAAHL97io=")</f>
        <v>#REF!</v>
      </c>
      <c r="AR20" t="str">
        <f>AND(#REF!,"AAAAAHL97is=")</f>
        <v>#REF!</v>
      </c>
      <c r="AS20" t="str">
        <f>AND(#REF!,"AAAAAHL97iw=")</f>
        <v>#REF!</v>
      </c>
      <c r="AT20" t="str">
        <f>AND(#REF!,"AAAAAHL97i0=")</f>
        <v>#REF!</v>
      </c>
      <c r="AU20" t="str">
        <f>AND(#REF!,"AAAAAHL97i4=")</f>
        <v>#REF!</v>
      </c>
      <c r="AV20" t="str">
        <f>AND(#REF!,"AAAAAHL97i8=")</f>
        <v>#REF!</v>
      </c>
      <c r="AW20" t="str">
        <f>AND(#REF!,"AAAAAHL97jA=")</f>
        <v>#REF!</v>
      </c>
      <c r="AX20" t="str">
        <f>AND(#REF!,"AAAAAHL97jE=")</f>
        <v>#REF!</v>
      </c>
      <c r="AY20" t="str">
        <f>IF(#REF!,"AAAAAHL97jI=",0)</f>
        <v>#REF!</v>
      </c>
      <c r="AZ20" t="str">
        <f>AND(#REF!,"AAAAAHL97jM=")</f>
        <v>#REF!</v>
      </c>
      <c r="BA20" t="str">
        <f>AND(#REF!,"AAAAAHL97jQ=")</f>
        <v>#REF!</v>
      </c>
      <c r="BB20" t="str">
        <f>AND(#REF!,"AAAAAHL97jU=")</f>
        <v>#REF!</v>
      </c>
      <c r="BC20" t="str">
        <f>AND(#REF!,"AAAAAHL97jY=")</f>
        <v>#REF!</v>
      </c>
      <c r="BD20" t="str">
        <f>AND(#REF!,"AAAAAHL97jc=")</f>
        <v>#REF!</v>
      </c>
      <c r="BE20" t="str">
        <f>AND(#REF!,"AAAAAHL97jg=")</f>
        <v>#REF!</v>
      </c>
      <c r="BF20" t="str">
        <f>AND(#REF!,"AAAAAHL97jk=")</f>
        <v>#REF!</v>
      </c>
      <c r="BG20" t="str">
        <f>AND(#REF!,"AAAAAHL97jo=")</f>
        <v>#REF!</v>
      </c>
      <c r="BH20" t="str">
        <f>AND(#REF!,"AAAAAHL97js=")</f>
        <v>#REF!</v>
      </c>
      <c r="BI20" t="str">
        <f>AND(#REF!,"AAAAAHL97jw=")</f>
        <v>#REF!</v>
      </c>
      <c r="BJ20" t="str">
        <f>AND(#REF!,"AAAAAHL97j0=")</f>
        <v>#REF!</v>
      </c>
      <c r="BK20" t="str">
        <f>AND(#REF!,"AAAAAHL97j4=")</f>
        <v>#REF!</v>
      </c>
      <c r="BL20" t="str">
        <f>AND(#REF!,"AAAAAHL97j8=")</f>
        <v>#REF!</v>
      </c>
      <c r="BM20" t="str">
        <f>AND(#REF!,"AAAAAHL97kA=")</f>
        <v>#REF!</v>
      </c>
      <c r="BN20" t="str">
        <f>AND(#REF!,"AAAAAHL97kE=")</f>
        <v>#REF!</v>
      </c>
      <c r="BO20" t="str">
        <f>AND(#REF!,"AAAAAHL97kI=")</f>
        <v>#REF!</v>
      </c>
      <c r="BP20" t="str">
        <f>AND(#REF!,"AAAAAHL97kM=")</f>
        <v>#REF!</v>
      </c>
      <c r="BQ20" t="str">
        <f>AND(#REF!,"AAAAAHL97kQ=")</f>
        <v>#REF!</v>
      </c>
      <c r="BR20" t="str">
        <f>AND(#REF!,"AAAAAHL97kU=")</f>
        <v>#REF!</v>
      </c>
      <c r="BS20" t="str">
        <f>AND(#REF!,"AAAAAHL97kY=")</f>
        <v>#REF!</v>
      </c>
      <c r="BT20" t="str">
        <f>AND(#REF!,"AAAAAHL97kc=")</f>
        <v>#REF!</v>
      </c>
      <c r="BU20" t="str">
        <f>AND(#REF!,"AAAAAHL97kg=")</f>
        <v>#REF!</v>
      </c>
      <c r="BV20" t="str">
        <f>AND(#REF!,"AAAAAHL97kk=")</f>
        <v>#REF!</v>
      </c>
      <c r="BW20" t="str">
        <f>AND(#REF!,"AAAAAHL97ko=")</f>
        <v>#REF!</v>
      </c>
      <c r="BX20" t="str">
        <f>AND(#REF!,"AAAAAHL97ks=")</f>
        <v>#REF!</v>
      </c>
      <c r="BY20" t="str">
        <f>AND(#REF!,"AAAAAHL97kw=")</f>
        <v>#REF!</v>
      </c>
      <c r="BZ20" t="str">
        <f>AND(#REF!,"AAAAAHL97k0=")</f>
        <v>#REF!</v>
      </c>
      <c r="CA20" t="str">
        <f>AND(#REF!,"AAAAAHL97k4=")</f>
        <v>#REF!</v>
      </c>
      <c r="CB20" t="str">
        <f>AND(#REF!,"AAAAAHL97k8=")</f>
        <v>#REF!</v>
      </c>
      <c r="CC20" t="str">
        <f>AND(#REF!,"AAAAAHL97lA=")</f>
        <v>#REF!</v>
      </c>
      <c r="CD20" t="str">
        <f>AND(#REF!,"AAAAAHL97lE=")</f>
        <v>#REF!</v>
      </c>
      <c r="CE20" t="str">
        <f>AND(#REF!,"AAAAAHL97lI=")</f>
        <v>#REF!</v>
      </c>
      <c r="CF20" t="str">
        <f>AND(#REF!,"AAAAAHL97lM=")</f>
        <v>#REF!</v>
      </c>
      <c r="CG20" t="str">
        <f>AND(#REF!,"AAAAAHL97lQ=")</f>
        <v>#REF!</v>
      </c>
      <c r="CH20" t="str">
        <f>AND(#REF!,"AAAAAHL97lU=")</f>
        <v>#REF!</v>
      </c>
      <c r="CI20" t="str">
        <f>AND(#REF!,"AAAAAHL97lY=")</f>
        <v>#REF!</v>
      </c>
      <c r="CJ20" t="str">
        <f>AND(#REF!,"AAAAAHL97lc=")</f>
        <v>#REF!</v>
      </c>
      <c r="CK20" t="str">
        <f>AND(#REF!,"AAAAAHL97lg=")</f>
        <v>#REF!</v>
      </c>
      <c r="CL20" t="str">
        <f>AND(#REF!,"AAAAAHL97lk=")</f>
        <v>#REF!</v>
      </c>
      <c r="CM20" t="str">
        <f>AND(#REF!,"AAAAAHL97lo=")</f>
        <v>#REF!</v>
      </c>
      <c r="CN20" t="str">
        <f>AND(#REF!,"AAAAAHL97ls=")</f>
        <v>#REF!</v>
      </c>
      <c r="CO20" t="str">
        <f>AND(#REF!,"AAAAAHL97lw=")</f>
        <v>#REF!</v>
      </c>
      <c r="CP20" t="str">
        <f>AND(#REF!,"AAAAAHL97l0=")</f>
        <v>#REF!</v>
      </c>
      <c r="CQ20" t="str">
        <f>AND(#REF!,"AAAAAHL97l4=")</f>
        <v>#REF!</v>
      </c>
      <c r="CR20" t="str">
        <f>AND(#REF!,"AAAAAHL97l8=")</f>
        <v>#REF!</v>
      </c>
      <c r="CS20" t="str">
        <f>AND(#REF!,"AAAAAHL97mA=")</f>
        <v>#REF!</v>
      </c>
      <c r="CT20" t="str">
        <f>AND(#REF!,"AAAAAHL97mE=")</f>
        <v>#REF!</v>
      </c>
      <c r="CU20" t="str">
        <f>AND(#REF!,"AAAAAHL97mI=")</f>
        <v>#REF!</v>
      </c>
      <c r="CV20" t="str">
        <f>AND(#REF!,"AAAAAHL97mM=")</f>
        <v>#REF!</v>
      </c>
      <c r="CW20" t="str">
        <f>AND(#REF!,"AAAAAHL97mQ=")</f>
        <v>#REF!</v>
      </c>
      <c r="CX20" t="str">
        <f>AND(#REF!,"AAAAAHL97mU=")</f>
        <v>#REF!</v>
      </c>
      <c r="CY20" t="str">
        <f>AND(#REF!,"AAAAAHL97mY=")</f>
        <v>#REF!</v>
      </c>
      <c r="CZ20" t="str">
        <f>AND(#REF!,"AAAAAHL97mc=")</f>
        <v>#REF!</v>
      </c>
      <c r="DA20" t="str">
        <f>AND(#REF!,"AAAAAHL97mg=")</f>
        <v>#REF!</v>
      </c>
      <c r="DB20" t="str">
        <f>AND(#REF!,"AAAAAHL97mk=")</f>
        <v>#REF!</v>
      </c>
      <c r="DC20" t="str">
        <f>AND(#REF!,"AAAAAHL97mo=")</f>
        <v>#REF!</v>
      </c>
      <c r="DD20" t="str">
        <f>AND(#REF!,"AAAAAHL97ms=")</f>
        <v>#REF!</v>
      </c>
      <c r="DE20" t="str">
        <f>AND(#REF!,"AAAAAHL97mw=")</f>
        <v>#REF!</v>
      </c>
      <c r="DF20" t="str">
        <f>AND(#REF!,"AAAAAHL97m0=")</f>
        <v>#REF!</v>
      </c>
      <c r="DG20" t="str">
        <f>AND(#REF!,"AAAAAHL97m4=")</f>
        <v>#REF!</v>
      </c>
      <c r="DH20" t="str">
        <f>AND(#REF!,"AAAAAHL97m8=")</f>
        <v>#REF!</v>
      </c>
      <c r="DI20" t="str">
        <f>AND(#REF!,"AAAAAHL97nA=")</f>
        <v>#REF!</v>
      </c>
      <c r="DJ20" t="str">
        <f>AND(#REF!,"AAAAAHL97nE=")</f>
        <v>#REF!</v>
      </c>
      <c r="DK20" t="str">
        <f>AND(#REF!,"AAAAAHL97nI=")</f>
        <v>#REF!</v>
      </c>
      <c r="DL20" t="str">
        <f>AND(#REF!,"AAAAAHL97nM=")</f>
        <v>#REF!</v>
      </c>
      <c r="DM20" t="str">
        <f>AND(#REF!,"AAAAAHL97nQ=")</f>
        <v>#REF!</v>
      </c>
      <c r="DN20" t="str">
        <f>AND(#REF!,"AAAAAHL97nU=")</f>
        <v>#REF!</v>
      </c>
      <c r="DO20" t="str">
        <f>AND(#REF!,"AAAAAHL97nY=")</f>
        <v>#REF!</v>
      </c>
      <c r="DP20" t="str">
        <f>AND(#REF!,"AAAAAHL97nc=")</f>
        <v>#REF!</v>
      </c>
      <c r="DQ20" t="str">
        <f>AND(#REF!,"AAAAAHL97ng=")</f>
        <v>#REF!</v>
      </c>
      <c r="DR20" t="str">
        <f>AND(#REF!,"AAAAAHL97nk=")</f>
        <v>#REF!</v>
      </c>
      <c r="DS20" t="str">
        <f>AND(#REF!,"AAAAAHL97no=")</f>
        <v>#REF!</v>
      </c>
      <c r="DT20" t="str">
        <f>AND(#REF!,"AAAAAHL97ns=")</f>
        <v>#REF!</v>
      </c>
      <c r="DU20" t="str">
        <f>AND(#REF!,"AAAAAHL97nw=")</f>
        <v>#REF!</v>
      </c>
      <c r="DV20" t="str">
        <f>AND(#REF!,"AAAAAHL97n0=")</f>
        <v>#REF!</v>
      </c>
      <c r="DW20" t="str">
        <f>IF(#REF!,"AAAAAHL97n4=",0)</f>
        <v>#REF!</v>
      </c>
      <c r="DX20" t="str">
        <f>AND(#REF!,"AAAAAHL97n8=")</f>
        <v>#REF!</v>
      </c>
      <c r="DY20" t="str">
        <f>AND(#REF!,"AAAAAHL97oA=")</f>
        <v>#REF!</v>
      </c>
      <c r="DZ20" t="str">
        <f>AND(#REF!,"AAAAAHL97oE=")</f>
        <v>#REF!</v>
      </c>
      <c r="EA20" t="str">
        <f>AND(#REF!,"AAAAAHL97oI=")</f>
        <v>#REF!</v>
      </c>
      <c r="EB20" t="str">
        <f>AND(#REF!,"AAAAAHL97oM=")</f>
        <v>#REF!</v>
      </c>
      <c r="EC20" t="str">
        <f>AND(#REF!,"AAAAAHL97oQ=")</f>
        <v>#REF!</v>
      </c>
      <c r="ED20" t="str">
        <f>AND(#REF!,"AAAAAHL97oU=")</f>
        <v>#REF!</v>
      </c>
      <c r="EE20" t="str">
        <f>AND(#REF!,"AAAAAHL97oY=")</f>
        <v>#REF!</v>
      </c>
      <c r="EF20" t="str">
        <f>AND(#REF!,"AAAAAHL97oc=")</f>
        <v>#REF!</v>
      </c>
      <c r="EG20" t="str">
        <f>AND(#REF!,"AAAAAHL97og=")</f>
        <v>#REF!</v>
      </c>
      <c r="EH20" t="str">
        <f>AND(#REF!,"AAAAAHL97ok=")</f>
        <v>#REF!</v>
      </c>
      <c r="EI20" t="str">
        <f>AND(#REF!,"AAAAAHL97oo=")</f>
        <v>#REF!</v>
      </c>
      <c r="EJ20" t="str">
        <f>AND(#REF!,"AAAAAHL97os=")</f>
        <v>#REF!</v>
      </c>
      <c r="EK20" t="str">
        <f>AND(#REF!,"AAAAAHL97ow=")</f>
        <v>#REF!</v>
      </c>
      <c r="EL20" t="str">
        <f>AND(#REF!,"AAAAAHL97o0=")</f>
        <v>#REF!</v>
      </c>
      <c r="EM20" t="str">
        <f>AND(#REF!,"AAAAAHL97o4=")</f>
        <v>#REF!</v>
      </c>
      <c r="EN20" t="str">
        <f>AND(#REF!,"AAAAAHL97o8=")</f>
        <v>#REF!</v>
      </c>
      <c r="EO20" t="str">
        <f>AND(#REF!,"AAAAAHL97pA=")</f>
        <v>#REF!</v>
      </c>
      <c r="EP20" t="str">
        <f>AND(#REF!,"AAAAAHL97pE=")</f>
        <v>#REF!</v>
      </c>
      <c r="EQ20" t="str">
        <f>AND(#REF!,"AAAAAHL97pI=")</f>
        <v>#REF!</v>
      </c>
      <c r="ER20" t="str">
        <f>AND(#REF!,"AAAAAHL97pM=")</f>
        <v>#REF!</v>
      </c>
      <c r="ES20" t="str">
        <f>AND(#REF!,"AAAAAHL97pQ=")</f>
        <v>#REF!</v>
      </c>
      <c r="ET20" t="str">
        <f>AND(#REF!,"AAAAAHL97pU=")</f>
        <v>#REF!</v>
      </c>
      <c r="EU20" t="str">
        <f>AND(#REF!,"AAAAAHL97pY=")</f>
        <v>#REF!</v>
      </c>
      <c r="EV20" t="str">
        <f>AND(#REF!,"AAAAAHL97pc=")</f>
        <v>#REF!</v>
      </c>
      <c r="EW20" t="str">
        <f>AND(#REF!,"AAAAAHL97pg=")</f>
        <v>#REF!</v>
      </c>
      <c r="EX20" t="str">
        <f>AND(#REF!,"AAAAAHL97pk=")</f>
        <v>#REF!</v>
      </c>
      <c r="EY20" t="str">
        <f>AND(#REF!,"AAAAAHL97po=")</f>
        <v>#REF!</v>
      </c>
      <c r="EZ20" t="str">
        <f>AND(#REF!,"AAAAAHL97ps=")</f>
        <v>#REF!</v>
      </c>
      <c r="FA20" t="str">
        <f>AND(#REF!,"AAAAAHL97pw=")</f>
        <v>#REF!</v>
      </c>
      <c r="FB20" t="str">
        <f>AND(#REF!,"AAAAAHL97p0=")</f>
        <v>#REF!</v>
      </c>
      <c r="FC20" t="str">
        <f>AND(#REF!,"AAAAAHL97p4=")</f>
        <v>#REF!</v>
      </c>
      <c r="FD20" t="str">
        <f>AND(#REF!,"AAAAAHL97p8=")</f>
        <v>#REF!</v>
      </c>
      <c r="FE20" t="str">
        <f>AND(#REF!,"AAAAAHL97qA=")</f>
        <v>#REF!</v>
      </c>
      <c r="FF20" t="str">
        <f>AND(#REF!,"AAAAAHL97qE=")</f>
        <v>#REF!</v>
      </c>
      <c r="FG20" t="str">
        <f>AND(#REF!,"AAAAAHL97qI=")</f>
        <v>#REF!</v>
      </c>
      <c r="FH20" t="str">
        <f>AND(#REF!,"AAAAAHL97qM=")</f>
        <v>#REF!</v>
      </c>
      <c r="FI20" t="str">
        <f>AND(#REF!,"AAAAAHL97qQ=")</f>
        <v>#REF!</v>
      </c>
      <c r="FJ20" t="str">
        <f>AND(#REF!,"AAAAAHL97qU=")</f>
        <v>#REF!</v>
      </c>
      <c r="FK20" t="str">
        <f>AND(#REF!,"AAAAAHL97qY=")</f>
        <v>#REF!</v>
      </c>
      <c r="FL20" t="str">
        <f>AND(#REF!,"AAAAAHL97qc=")</f>
        <v>#REF!</v>
      </c>
      <c r="FM20" t="str">
        <f>AND(#REF!,"AAAAAHL97qg=")</f>
        <v>#REF!</v>
      </c>
      <c r="FN20" t="str">
        <f>AND(#REF!,"AAAAAHL97qk=")</f>
        <v>#REF!</v>
      </c>
      <c r="FO20" t="str">
        <f>AND(#REF!,"AAAAAHL97qo=")</f>
        <v>#REF!</v>
      </c>
      <c r="FP20" t="str">
        <f>AND(#REF!,"AAAAAHL97qs=")</f>
        <v>#REF!</v>
      </c>
      <c r="FQ20" t="str">
        <f>AND(#REF!,"AAAAAHL97qw=")</f>
        <v>#REF!</v>
      </c>
      <c r="FR20" t="str">
        <f>AND(#REF!,"AAAAAHL97q0=")</f>
        <v>#REF!</v>
      </c>
      <c r="FS20" t="str">
        <f>AND(#REF!,"AAAAAHL97q4=")</f>
        <v>#REF!</v>
      </c>
      <c r="FT20" t="str">
        <f>AND(#REF!,"AAAAAHL97q8=")</f>
        <v>#REF!</v>
      </c>
      <c r="FU20" t="str">
        <f>AND(#REF!,"AAAAAHL97rA=")</f>
        <v>#REF!</v>
      </c>
      <c r="FV20" t="str">
        <f>AND(#REF!,"AAAAAHL97rE=")</f>
        <v>#REF!</v>
      </c>
      <c r="FW20" t="str">
        <f>AND(#REF!,"AAAAAHL97rI=")</f>
        <v>#REF!</v>
      </c>
      <c r="FX20" t="str">
        <f>AND(#REF!,"AAAAAHL97rM=")</f>
        <v>#REF!</v>
      </c>
      <c r="FY20" t="str">
        <f>AND(#REF!,"AAAAAHL97rQ=")</f>
        <v>#REF!</v>
      </c>
      <c r="FZ20" t="str">
        <f>AND(#REF!,"AAAAAHL97rU=")</f>
        <v>#REF!</v>
      </c>
      <c r="GA20" t="str">
        <f>AND(#REF!,"AAAAAHL97rY=")</f>
        <v>#REF!</v>
      </c>
      <c r="GB20" t="str">
        <f>AND(#REF!,"AAAAAHL97rc=")</f>
        <v>#REF!</v>
      </c>
      <c r="GC20" t="str">
        <f>AND(#REF!,"AAAAAHL97rg=")</f>
        <v>#REF!</v>
      </c>
      <c r="GD20" t="str">
        <f>AND(#REF!,"AAAAAHL97rk=")</f>
        <v>#REF!</v>
      </c>
      <c r="GE20" t="str">
        <f>AND(#REF!,"AAAAAHL97ro=")</f>
        <v>#REF!</v>
      </c>
      <c r="GF20" t="str">
        <f>AND(#REF!,"AAAAAHL97rs=")</f>
        <v>#REF!</v>
      </c>
      <c r="GG20" t="str">
        <f>AND(#REF!,"AAAAAHL97rw=")</f>
        <v>#REF!</v>
      </c>
      <c r="GH20" t="str">
        <f>AND(#REF!,"AAAAAHL97r0=")</f>
        <v>#REF!</v>
      </c>
      <c r="GI20" t="str">
        <f>AND(#REF!,"AAAAAHL97r4=")</f>
        <v>#REF!</v>
      </c>
      <c r="GJ20" t="str">
        <f>AND(#REF!,"AAAAAHL97r8=")</f>
        <v>#REF!</v>
      </c>
      <c r="GK20" t="str">
        <f>AND(#REF!,"AAAAAHL97sA=")</f>
        <v>#REF!</v>
      </c>
      <c r="GL20" t="str">
        <f>AND(#REF!,"AAAAAHL97sE=")</f>
        <v>#REF!</v>
      </c>
      <c r="GM20" t="str">
        <f>AND(#REF!,"AAAAAHL97sI=")</f>
        <v>#REF!</v>
      </c>
      <c r="GN20" t="str">
        <f>AND(#REF!,"AAAAAHL97sM=")</f>
        <v>#REF!</v>
      </c>
      <c r="GO20" t="str">
        <f>AND(#REF!,"AAAAAHL97sQ=")</f>
        <v>#REF!</v>
      </c>
      <c r="GP20" t="str">
        <f>AND(#REF!,"AAAAAHL97sU=")</f>
        <v>#REF!</v>
      </c>
      <c r="GQ20" t="str">
        <f>AND(#REF!,"AAAAAHL97sY=")</f>
        <v>#REF!</v>
      </c>
      <c r="GR20" t="str">
        <f>AND(#REF!,"AAAAAHL97sc=")</f>
        <v>#REF!</v>
      </c>
      <c r="GS20" t="str">
        <f>AND(#REF!,"AAAAAHL97sg=")</f>
        <v>#REF!</v>
      </c>
      <c r="GT20" t="str">
        <f>AND(#REF!,"AAAAAHL97sk=")</f>
        <v>#REF!</v>
      </c>
      <c r="GU20" t="str">
        <f>IF(#REF!,"AAAAAHL97so=",0)</f>
        <v>#REF!</v>
      </c>
      <c r="GV20" t="str">
        <f>AND(#REF!,"AAAAAHL97ss=")</f>
        <v>#REF!</v>
      </c>
      <c r="GW20" t="str">
        <f>AND(#REF!,"AAAAAHL97sw=")</f>
        <v>#REF!</v>
      </c>
      <c r="GX20" t="str">
        <f>AND(#REF!,"AAAAAHL97s0=")</f>
        <v>#REF!</v>
      </c>
      <c r="GY20" t="str">
        <f>AND(#REF!,"AAAAAHL97s4=")</f>
        <v>#REF!</v>
      </c>
      <c r="GZ20" t="str">
        <f>AND(#REF!,"AAAAAHL97s8=")</f>
        <v>#REF!</v>
      </c>
      <c r="HA20" t="str">
        <f>AND(#REF!,"AAAAAHL97tA=")</f>
        <v>#REF!</v>
      </c>
      <c r="HB20" t="str">
        <f>AND(#REF!,"AAAAAHL97tE=")</f>
        <v>#REF!</v>
      </c>
      <c r="HC20" t="str">
        <f>AND(#REF!,"AAAAAHL97tI=")</f>
        <v>#REF!</v>
      </c>
      <c r="HD20" t="str">
        <f>AND(#REF!,"AAAAAHL97tM=")</f>
        <v>#REF!</v>
      </c>
      <c r="HE20" t="str">
        <f>AND(#REF!,"AAAAAHL97tQ=")</f>
        <v>#REF!</v>
      </c>
      <c r="HF20" t="str">
        <f>AND(#REF!,"AAAAAHL97tU=")</f>
        <v>#REF!</v>
      </c>
      <c r="HG20" t="str">
        <f>AND(#REF!,"AAAAAHL97tY=")</f>
        <v>#REF!</v>
      </c>
      <c r="HH20" t="str">
        <f>AND(#REF!,"AAAAAHL97tc=")</f>
        <v>#REF!</v>
      </c>
      <c r="HI20" t="str">
        <f>AND(#REF!,"AAAAAHL97tg=")</f>
        <v>#REF!</v>
      </c>
      <c r="HJ20" t="str">
        <f>AND(#REF!,"AAAAAHL97tk=")</f>
        <v>#REF!</v>
      </c>
      <c r="HK20" t="str">
        <f>AND(#REF!,"AAAAAHL97to=")</f>
        <v>#REF!</v>
      </c>
      <c r="HL20" t="str">
        <f>AND(#REF!,"AAAAAHL97ts=")</f>
        <v>#REF!</v>
      </c>
      <c r="HM20" t="str">
        <f>AND(#REF!,"AAAAAHL97tw=")</f>
        <v>#REF!</v>
      </c>
      <c r="HN20" t="str">
        <f>AND(#REF!,"AAAAAHL97t0=")</f>
        <v>#REF!</v>
      </c>
      <c r="HO20" t="str">
        <f>AND(#REF!,"AAAAAHL97t4=")</f>
        <v>#REF!</v>
      </c>
      <c r="HP20" t="str">
        <f>AND(#REF!,"AAAAAHL97t8=")</f>
        <v>#REF!</v>
      </c>
      <c r="HQ20" t="str">
        <f>AND(#REF!,"AAAAAHL97uA=")</f>
        <v>#REF!</v>
      </c>
      <c r="HR20" t="str">
        <f>AND(#REF!,"AAAAAHL97uE=")</f>
        <v>#REF!</v>
      </c>
      <c r="HS20" t="str">
        <f>AND(#REF!,"AAAAAHL97uI=")</f>
        <v>#REF!</v>
      </c>
      <c r="HT20" t="str">
        <f>AND(#REF!,"AAAAAHL97uM=")</f>
        <v>#REF!</v>
      </c>
      <c r="HU20" t="str">
        <f>AND(#REF!,"AAAAAHL97uQ=")</f>
        <v>#REF!</v>
      </c>
      <c r="HV20" t="str">
        <f>AND(#REF!,"AAAAAHL97uU=")</f>
        <v>#REF!</v>
      </c>
      <c r="HW20" t="str">
        <f>AND(#REF!,"AAAAAHL97uY=")</f>
        <v>#REF!</v>
      </c>
      <c r="HX20" t="str">
        <f>AND(#REF!,"AAAAAHL97uc=")</f>
        <v>#REF!</v>
      </c>
      <c r="HY20" t="str">
        <f>AND(#REF!,"AAAAAHL97ug=")</f>
        <v>#REF!</v>
      </c>
      <c r="HZ20" t="str">
        <f>AND(#REF!,"AAAAAHL97uk=")</f>
        <v>#REF!</v>
      </c>
      <c r="IA20" t="str">
        <f>AND(#REF!,"AAAAAHL97uo=")</f>
        <v>#REF!</v>
      </c>
      <c r="IB20" t="str">
        <f>AND(#REF!,"AAAAAHL97us=")</f>
        <v>#REF!</v>
      </c>
      <c r="IC20" t="str">
        <f>AND(#REF!,"AAAAAHL97uw=")</f>
        <v>#REF!</v>
      </c>
      <c r="ID20" t="str">
        <f>AND(#REF!,"AAAAAHL97u0=")</f>
        <v>#REF!</v>
      </c>
      <c r="IE20" t="str">
        <f>AND(#REF!,"AAAAAHL97u4=")</f>
        <v>#REF!</v>
      </c>
      <c r="IF20" t="str">
        <f>AND(#REF!,"AAAAAHL97u8=")</f>
        <v>#REF!</v>
      </c>
      <c r="IG20" t="str">
        <f>AND(#REF!,"AAAAAHL97vA=")</f>
        <v>#REF!</v>
      </c>
      <c r="IH20" t="str">
        <f>AND(#REF!,"AAAAAHL97vE=")</f>
        <v>#REF!</v>
      </c>
      <c r="II20" t="str">
        <f>AND(#REF!,"AAAAAHL97vI=")</f>
        <v>#REF!</v>
      </c>
      <c r="IJ20" t="str">
        <f>AND(#REF!,"AAAAAHL97vM=")</f>
        <v>#REF!</v>
      </c>
      <c r="IK20" t="str">
        <f>AND(#REF!,"AAAAAHL97vQ=")</f>
        <v>#REF!</v>
      </c>
      <c r="IL20" t="str">
        <f>AND(#REF!,"AAAAAHL97vU=")</f>
        <v>#REF!</v>
      </c>
      <c r="IM20" t="str">
        <f>AND(#REF!,"AAAAAHL97vY=")</f>
        <v>#REF!</v>
      </c>
      <c r="IN20" t="str">
        <f>AND(#REF!,"AAAAAHL97vc=")</f>
        <v>#REF!</v>
      </c>
      <c r="IO20" t="str">
        <f>AND(#REF!,"AAAAAHL97vg=")</f>
        <v>#REF!</v>
      </c>
      <c r="IP20" t="str">
        <f>AND(#REF!,"AAAAAHL97vk=")</f>
        <v>#REF!</v>
      </c>
      <c r="IQ20" t="str">
        <f>AND(#REF!,"AAAAAHL97vo=")</f>
        <v>#REF!</v>
      </c>
      <c r="IR20" t="str">
        <f>AND(#REF!,"AAAAAHL97vs=")</f>
        <v>#REF!</v>
      </c>
      <c r="IS20" t="str">
        <f>AND(#REF!,"AAAAAHL97vw=")</f>
        <v>#REF!</v>
      </c>
      <c r="IT20" t="str">
        <f>AND(#REF!,"AAAAAHL97v0=")</f>
        <v>#REF!</v>
      </c>
      <c r="IU20" t="str">
        <f>AND(#REF!,"AAAAAHL97v4=")</f>
        <v>#REF!</v>
      </c>
      <c r="IV20" t="str">
        <f>AND(#REF!,"AAAAAHL97v8=")</f>
        <v>#REF!</v>
      </c>
    </row>
    <row r="21" ht="15.75" customHeight="1">
      <c r="A21" t="str">
        <f>AND(#REF!,"AAAAAH0T5QA=")</f>
        <v>#REF!</v>
      </c>
      <c r="B21" t="str">
        <f>AND(#REF!,"AAAAAH0T5QE=")</f>
        <v>#REF!</v>
      </c>
      <c r="C21" t="str">
        <f>AND(#REF!,"AAAAAH0T5QI=")</f>
        <v>#REF!</v>
      </c>
      <c r="D21" t="str">
        <f>AND(#REF!,"AAAAAH0T5QM=")</f>
        <v>#REF!</v>
      </c>
      <c r="E21" t="str">
        <f>AND(#REF!,"AAAAAH0T5QQ=")</f>
        <v>#REF!</v>
      </c>
      <c r="F21" t="str">
        <f>AND(#REF!,"AAAAAH0T5QU=")</f>
        <v>#REF!</v>
      </c>
      <c r="G21" t="str">
        <f>AND(#REF!,"AAAAAH0T5QY=")</f>
        <v>#REF!</v>
      </c>
      <c r="H21" t="str">
        <f>AND(#REF!,"AAAAAH0T5Qc=")</f>
        <v>#REF!</v>
      </c>
      <c r="I21" t="str">
        <f>AND(#REF!,"AAAAAH0T5Qg=")</f>
        <v>#REF!</v>
      </c>
      <c r="J21" t="str">
        <f>AND(#REF!,"AAAAAH0T5Qk=")</f>
        <v>#REF!</v>
      </c>
      <c r="K21" t="str">
        <f>AND(#REF!,"AAAAAH0T5Qo=")</f>
        <v>#REF!</v>
      </c>
      <c r="L21" t="str">
        <f>AND(#REF!,"AAAAAH0T5Qs=")</f>
        <v>#REF!</v>
      </c>
      <c r="M21" t="str">
        <f>AND(#REF!,"AAAAAH0T5Qw=")</f>
        <v>#REF!</v>
      </c>
      <c r="N21" t="str">
        <f>AND(#REF!,"AAAAAH0T5Q0=")</f>
        <v>#REF!</v>
      </c>
      <c r="O21" t="str">
        <f>AND(#REF!,"AAAAAH0T5Q4=")</f>
        <v>#REF!</v>
      </c>
      <c r="P21" t="str">
        <f>AND(#REF!,"AAAAAH0T5Q8=")</f>
        <v>#REF!</v>
      </c>
      <c r="Q21" t="str">
        <f>AND(#REF!,"AAAAAH0T5RA=")</f>
        <v>#REF!</v>
      </c>
      <c r="R21" t="str">
        <f>AND(#REF!,"AAAAAH0T5RE=")</f>
        <v>#REF!</v>
      </c>
      <c r="S21" t="str">
        <f>AND(#REF!,"AAAAAH0T5RI=")</f>
        <v>#REF!</v>
      </c>
      <c r="T21" t="str">
        <f>AND(#REF!,"AAAAAH0T5RM=")</f>
        <v>#REF!</v>
      </c>
      <c r="U21" t="str">
        <f>AND(#REF!,"AAAAAH0T5RQ=")</f>
        <v>#REF!</v>
      </c>
      <c r="V21" t="str">
        <f>AND(#REF!,"AAAAAH0T5RU=")</f>
        <v>#REF!</v>
      </c>
      <c r="W21" t="str">
        <f>IF(#REF!,"AAAAAH0T5RY=",0)</f>
        <v>#REF!</v>
      </c>
      <c r="X21" t="str">
        <f>AND(#REF!,"AAAAAH0T5Rc=")</f>
        <v>#REF!</v>
      </c>
      <c r="Y21" t="str">
        <f>AND(#REF!,"AAAAAH0T5Rg=")</f>
        <v>#REF!</v>
      </c>
      <c r="Z21" t="str">
        <f>AND(#REF!,"AAAAAH0T5Rk=")</f>
        <v>#REF!</v>
      </c>
      <c r="AA21" t="str">
        <f>AND(#REF!,"AAAAAH0T5Ro=")</f>
        <v>#REF!</v>
      </c>
      <c r="AB21" t="str">
        <f>AND(#REF!,"AAAAAH0T5Rs=")</f>
        <v>#REF!</v>
      </c>
      <c r="AC21" t="str">
        <f>AND(#REF!,"AAAAAH0T5Rw=")</f>
        <v>#REF!</v>
      </c>
      <c r="AD21" t="str">
        <f>AND(#REF!,"AAAAAH0T5R0=")</f>
        <v>#REF!</v>
      </c>
      <c r="AE21" t="str">
        <f>AND(#REF!,"AAAAAH0T5R4=")</f>
        <v>#REF!</v>
      </c>
      <c r="AF21" t="str">
        <f>AND(#REF!,"AAAAAH0T5R8=")</f>
        <v>#REF!</v>
      </c>
      <c r="AG21" t="str">
        <f>AND(#REF!,"AAAAAH0T5SA=")</f>
        <v>#REF!</v>
      </c>
      <c r="AH21" t="str">
        <f>AND(#REF!,"AAAAAH0T5SE=")</f>
        <v>#REF!</v>
      </c>
      <c r="AI21" t="str">
        <f>AND(#REF!,"AAAAAH0T5SI=")</f>
        <v>#REF!</v>
      </c>
      <c r="AJ21" t="str">
        <f>AND(#REF!,"AAAAAH0T5SM=")</f>
        <v>#REF!</v>
      </c>
      <c r="AK21" t="str">
        <f>AND(#REF!,"AAAAAH0T5SQ=")</f>
        <v>#REF!</v>
      </c>
      <c r="AL21" t="str">
        <f>AND(#REF!,"AAAAAH0T5SU=")</f>
        <v>#REF!</v>
      </c>
      <c r="AM21" t="str">
        <f>AND(#REF!,"AAAAAH0T5SY=")</f>
        <v>#REF!</v>
      </c>
      <c r="AN21" t="str">
        <f>AND(#REF!,"AAAAAH0T5Sc=")</f>
        <v>#REF!</v>
      </c>
      <c r="AO21" t="str">
        <f>AND(#REF!,"AAAAAH0T5Sg=")</f>
        <v>#REF!</v>
      </c>
      <c r="AP21" t="str">
        <f>AND(#REF!,"AAAAAH0T5Sk=")</f>
        <v>#REF!</v>
      </c>
      <c r="AQ21" t="str">
        <f>AND(#REF!,"AAAAAH0T5So=")</f>
        <v>#REF!</v>
      </c>
      <c r="AR21" t="str">
        <f>AND(#REF!,"AAAAAH0T5Ss=")</f>
        <v>#REF!</v>
      </c>
      <c r="AS21" t="str">
        <f>AND(#REF!,"AAAAAH0T5Sw=")</f>
        <v>#REF!</v>
      </c>
      <c r="AT21" t="str">
        <f>AND(#REF!,"AAAAAH0T5S0=")</f>
        <v>#REF!</v>
      </c>
      <c r="AU21" t="str">
        <f>AND(#REF!,"AAAAAH0T5S4=")</f>
        <v>#REF!</v>
      </c>
      <c r="AV21" t="str">
        <f>AND(#REF!,"AAAAAH0T5S8=")</f>
        <v>#REF!</v>
      </c>
      <c r="AW21" t="str">
        <f>AND(#REF!,"AAAAAH0T5TA=")</f>
        <v>#REF!</v>
      </c>
      <c r="AX21" t="str">
        <f>AND(#REF!,"AAAAAH0T5TE=")</f>
        <v>#REF!</v>
      </c>
      <c r="AY21" t="str">
        <f>AND(#REF!,"AAAAAH0T5TI=")</f>
        <v>#REF!</v>
      </c>
      <c r="AZ21" t="str">
        <f>AND(#REF!,"AAAAAH0T5TM=")</f>
        <v>#REF!</v>
      </c>
      <c r="BA21" t="str">
        <f>AND(#REF!,"AAAAAH0T5TQ=")</f>
        <v>#REF!</v>
      </c>
      <c r="BB21" t="str">
        <f>AND(#REF!,"AAAAAH0T5TU=")</f>
        <v>#REF!</v>
      </c>
      <c r="BC21" t="str">
        <f>AND(#REF!,"AAAAAH0T5TY=")</f>
        <v>#REF!</v>
      </c>
      <c r="BD21" t="str">
        <f>AND(#REF!,"AAAAAH0T5Tc=")</f>
        <v>#REF!</v>
      </c>
      <c r="BE21" t="str">
        <f>AND(#REF!,"AAAAAH0T5Tg=")</f>
        <v>#REF!</v>
      </c>
      <c r="BF21" t="str">
        <f>AND(#REF!,"AAAAAH0T5Tk=")</f>
        <v>#REF!</v>
      </c>
      <c r="BG21" t="str">
        <f>AND(#REF!,"AAAAAH0T5To=")</f>
        <v>#REF!</v>
      </c>
      <c r="BH21" t="str">
        <f>AND(#REF!,"AAAAAH0T5Ts=")</f>
        <v>#REF!</v>
      </c>
      <c r="BI21" t="str">
        <f>AND(#REF!,"AAAAAH0T5Tw=")</f>
        <v>#REF!</v>
      </c>
      <c r="BJ21" t="str">
        <f>AND(#REF!,"AAAAAH0T5T0=")</f>
        <v>#REF!</v>
      </c>
      <c r="BK21" t="str">
        <f>AND(#REF!,"AAAAAH0T5T4=")</f>
        <v>#REF!</v>
      </c>
      <c r="BL21" t="str">
        <f>AND(#REF!,"AAAAAH0T5T8=")</f>
        <v>#REF!</v>
      </c>
      <c r="BM21" t="str">
        <f>AND(#REF!,"AAAAAH0T5UA=")</f>
        <v>#REF!</v>
      </c>
      <c r="BN21" t="str">
        <f>AND(#REF!,"AAAAAH0T5UE=")</f>
        <v>#REF!</v>
      </c>
      <c r="BO21" t="str">
        <f>AND(#REF!,"AAAAAH0T5UI=")</f>
        <v>#REF!</v>
      </c>
      <c r="BP21" t="str">
        <f>AND(#REF!,"AAAAAH0T5UM=")</f>
        <v>#REF!</v>
      </c>
      <c r="BQ21" t="str">
        <f>AND(#REF!,"AAAAAH0T5UQ=")</f>
        <v>#REF!</v>
      </c>
      <c r="BR21" t="str">
        <f>AND(#REF!,"AAAAAH0T5UU=")</f>
        <v>#REF!</v>
      </c>
      <c r="BS21" t="str">
        <f>AND(#REF!,"AAAAAH0T5UY=")</f>
        <v>#REF!</v>
      </c>
      <c r="BT21" t="str">
        <f>AND(#REF!,"AAAAAH0T5Uc=")</f>
        <v>#REF!</v>
      </c>
      <c r="BU21" t="str">
        <f>AND(#REF!,"AAAAAH0T5Ug=")</f>
        <v>#REF!</v>
      </c>
      <c r="BV21" t="str">
        <f>AND(#REF!,"AAAAAH0T5Uk=")</f>
        <v>#REF!</v>
      </c>
      <c r="BW21" t="str">
        <f>AND(#REF!,"AAAAAH0T5Uo=")</f>
        <v>#REF!</v>
      </c>
      <c r="BX21" t="str">
        <f>AND(#REF!,"AAAAAH0T5Us=")</f>
        <v>#REF!</v>
      </c>
      <c r="BY21" t="str">
        <f>AND(#REF!,"AAAAAH0T5Uw=")</f>
        <v>#REF!</v>
      </c>
      <c r="BZ21" t="str">
        <f>AND(#REF!,"AAAAAH0T5U0=")</f>
        <v>#REF!</v>
      </c>
      <c r="CA21" t="str">
        <f>AND(#REF!,"AAAAAH0T5U4=")</f>
        <v>#REF!</v>
      </c>
      <c r="CB21" t="str">
        <f>AND(#REF!,"AAAAAH0T5U8=")</f>
        <v>#REF!</v>
      </c>
      <c r="CC21" t="str">
        <f>AND(#REF!,"AAAAAH0T5VA=")</f>
        <v>#REF!</v>
      </c>
      <c r="CD21" t="str">
        <f>AND(#REF!,"AAAAAH0T5VE=")</f>
        <v>#REF!</v>
      </c>
      <c r="CE21" t="str">
        <f>AND(#REF!,"AAAAAH0T5VI=")</f>
        <v>#REF!</v>
      </c>
      <c r="CF21" t="str">
        <f>AND(#REF!,"AAAAAH0T5VM=")</f>
        <v>#REF!</v>
      </c>
      <c r="CG21" t="str">
        <f>AND(#REF!,"AAAAAH0T5VQ=")</f>
        <v>#REF!</v>
      </c>
      <c r="CH21" t="str">
        <f>AND(#REF!,"AAAAAH0T5VU=")</f>
        <v>#REF!</v>
      </c>
      <c r="CI21" t="str">
        <f>AND(#REF!,"AAAAAH0T5VY=")</f>
        <v>#REF!</v>
      </c>
      <c r="CJ21" t="str">
        <f>AND(#REF!,"AAAAAH0T5Vc=")</f>
        <v>#REF!</v>
      </c>
      <c r="CK21" t="str">
        <f>AND(#REF!,"AAAAAH0T5Vg=")</f>
        <v>#REF!</v>
      </c>
      <c r="CL21" t="str">
        <f>AND(#REF!,"AAAAAH0T5Vk=")</f>
        <v>#REF!</v>
      </c>
      <c r="CM21" t="str">
        <f>AND(#REF!,"AAAAAH0T5Vo=")</f>
        <v>#REF!</v>
      </c>
      <c r="CN21" t="str">
        <f>AND(#REF!,"AAAAAH0T5Vs=")</f>
        <v>#REF!</v>
      </c>
      <c r="CO21" t="str">
        <f>AND(#REF!,"AAAAAH0T5Vw=")</f>
        <v>#REF!</v>
      </c>
      <c r="CP21" t="str">
        <f>AND(#REF!,"AAAAAH0T5V0=")</f>
        <v>#REF!</v>
      </c>
      <c r="CQ21" t="str">
        <f>AND(#REF!,"AAAAAH0T5V4=")</f>
        <v>#REF!</v>
      </c>
      <c r="CR21" t="str">
        <f>AND(#REF!,"AAAAAH0T5V8=")</f>
        <v>#REF!</v>
      </c>
      <c r="CS21" t="str">
        <f>AND(#REF!,"AAAAAH0T5WA=")</f>
        <v>#REF!</v>
      </c>
      <c r="CT21" t="str">
        <f>AND(#REF!,"AAAAAH0T5WE=")</f>
        <v>#REF!</v>
      </c>
      <c r="CU21" t="str">
        <f>IF(#REF!,"AAAAAH0T5WI=",0)</f>
        <v>#REF!</v>
      </c>
      <c r="CV21" t="str">
        <f>AND(#REF!,"AAAAAH0T5WM=")</f>
        <v>#REF!</v>
      </c>
      <c r="CW21" t="str">
        <f>AND(#REF!,"AAAAAH0T5WQ=")</f>
        <v>#REF!</v>
      </c>
      <c r="CX21" t="str">
        <f>AND(#REF!,"AAAAAH0T5WU=")</f>
        <v>#REF!</v>
      </c>
      <c r="CY21" t="str">
        <f>AND(#REF!,"AAAAAH0T5WY=")</f>
        <v>#REF!</v>
      </c>
      <c r="CZ21" t="str">
        <f>AND(#REF!,"AAAAAH0T5Wc=")</f>
        <v>#REF!</v>
      </c>
      <c r="DA21" t="str">
        <f>AND(#REF!,"AAAAAH0T5Wg=")</f>
        <v>#REF!</v>
      </c>
      <c r="DB21" t="str">
        <f>AND(#REF!,"AAAAAH0T5Wk=")</f>
        <v>#REF!</v>
      </c>
      <c r="DC21" t="str">
        <f>AND(#REF!,"AAAAAH0T5Wo=")</f>
        <v>#REF!</v>
      </c>
      <c r="DD21" t="str">
        <f>AND(#REF!,"AAAAAH0T5Ws=")</f>
        <v>#REF!</v>
      </c>
      <c r="DE21" t="str">
        <f>AND(#REF!,"AAAAAH0T5Ww=")</f>
        <v>#REF!</v>
      </c>
      <c r="DF21" t="str">
        <f>AND(#REF!,"AAAAAH0T5W0=")</f>
        <v>#REF!</v>
      </c>
      <c r="DG21" t="str">
        <f>AND(#REF!,"AAAAAH0T5W4=")</f>
        <v>#REF!</v>
      </c>
      <c r="DH21" t="str">
        <f>AND(#REF!,"AAAAAH0T5W8=")</f>
        <v>#REF!</v>
      </c>
      <c r="DI21" t="str">
        <f>AND(#REF!,"AAAAAH0T5XA=")</f>
        <v>#REF!</v>
      </c>
      <c r="DJ21" t="str">
        <f>AND(#REF!,"AAAAAH0T5XE=")</f>
        <v>#REF!</v>
      </c>
      <c r="DK21" t="str">
        <f>AND(#REF!,"AAAAAH0T5XI=")</f>
        <v>#REF!</v>
      </c>
      <c r="DL21" t="str">
        <f>AND(#REF!,"AAAAAH0T5XM=")</f>
        <v>#REF!</v>
      </c>
      <c r="DM21" t="str">
        <f>AND(#REF!,"AAAAAH0T5XQ=")</f>
        <v>#REF!</v>
      </c>
      <c r="DN21" t="str">
        <f>AND(#REF!,"AAAAAH0T5XU=")</f>
        <v>#REF!</v>
      </c>
      <c r="DO21" t="str">
        <f>AND(#REF!,"AAAAAH0T5XY=")</f>
        <v>#REF!</v>
      </c>
      <c r="DP21" t="str">
        <f>AND(#REF!,"AAAAAH0T5Xc=")</f>
        <v>#REF!</v>
      </c>
      <c r="DQ21" t="str">
        <f>AND(#REF!,"AAAAAH0T5Xg=")</f>
        <v>#REF!</v>
      </c>
      <c r="DR21" t="str">
        <f>AND(#REF!,"AAAAAH0T5Xk=")</f>
        <v>#REF!</v>
      </c>
      <c r="DS21" t="str">
        <f>AND(#REF!,"AAAAAH0T5Xo=")</f>
        <v>#REF!</v>
      </c>
      <c r="DT21" t="str">
        <f>AND(#REF!,"AAAAAH0T5Xs=")</f>
        <v>#REF!</v>
      </c>
      <c r="DU21" t="str">
        <f>AND(#REF!,"AAAAAH0T5Xw=")</f>
        <v>#REF!</v>
      </c>
      <c r="DV21" t="str">
        <f>AND(#REF!,"AAAAAH0T5X0=")</f>
        <v>#REF!</v>
      </c>
      <c r="DW21" t="str">
        <f>AND(#REF!,"AAAAAH0T5X4=")</f>
        <v>#REF!</v>
      </c>
      <c r="DX21" t="str">
        <f>AND(#REF!,"AAAAAH0T5X8=")</f>
        <v>#REF!</v>
      </c>
      <c r="DY21" t="str">
        <f>AND(#REF!,"AAAAAH0T5YA=")</f>
        <v>#REF!</v>
      </c>
      <c r="DZ21" t="str">
        <f>AND(#REF!,"AAAAAH0T5YE=")</f>
        <v>#REF!</v>
      </c>
      <c r="EA21" t="str">
        <f>AND(#REF!,"AAAAAH0T5YI=")</f>
        <v>#REF!</v>
      </c>
      <c r="EB21" t="str">
        <f>AND(#REF!,"AAAAAH0T5YM=")</f>
        <v>#REF!</v>
      </c>
      <c r="EC21" t="str">
        <f>AND(#REF!,"AAAAAH0T5YQ=")</f>
        <v>#REF!</v>
      </c>
      <c r="ED21" t="str">
        <f>AND(#REF!,"AAAAAH0T5YU=")</f>
        <v>#REF!</v>
      </c>
      <c r="EE21" t="str">
        <f>AND(#REF!,"AAAAAH0T5YY=")</f>
        <v>#REF!</v>
      </c>
      <c r="EF21" t="str">
        <f>AND(#REF!,"AAAAAH0T5Yc=")</f>
        <v>#REF!</v>
      </c>
      <c r="EG21" t="str">
        <f>AND(#REF!,"AAAAAH0T5Yg=")</f>
        <v>#REF!</v>
      </c>
      <c r="EH21" t="str">
        <f>AND(#REF!,"AAAAAH0T5Yk=")</f>
        <v>#REF!</v>
      </c>
      <c r="EI21" t="str">
        <f>AND(#REF!,"AAAAAH0T5Yo=")</f>
        <v>#REF!</v>
      </c>
      <c r="EJ21" t="str">
        <f>AND(#REF!,"AAAAAH0T5Ys=")</f>
        <v>#REF!</v>
      </c>
      <c r="EK21" t="str">
        <f>AND(#REF!,"AAAAAH0T5Yw=")</f>
        <v>#REF!</v>
      </c>
      <c r="EL21" t="str">
        <f>AND(#REF!,"AAAAAH0T5Y0=")</f>
        <v>#REF!</v>
      </c>
      <c r="EM21" t="str">
        <f>AND(#REF!,"AAAAAH0T5Y4=")</f>
        <v>#REF!</v>
      </c>
      <c r="EN21" t="str">
        <f>AND(#REF!,"AAAAAH0T5Y8=")</f>
        <v>#REF!</v>
      </c>
      <c r="EO21" t="str">
        <f>AND(#REF!,"AAAAAH0T5ZA=")</f>
        <v>#REF!</v>
      </c>
      <c r="EP21" t="str">
        <f>AND(#REF!,"AAAAAH0T5ZE=")</f>
        <v>#REF!</v>
      </c>
      <c r="EQ21" t="str">
        <f>AND(#REF!,"AAAAAH0T5ZI=")</f>
        <v>#REF!</v>
      </c>
      <c r="ER21" t="str">
        <f>AND(#REF!,"AAAAAH0T5ZM=")</f>
        <v>#REF!</v>
      </c>
      <c r="ES21" t="str">
        <f>AND(#REF!,"AAAAAH0T5ZQ=")</f>
        <v>#REF!</v>
      </c>
      <c r="ET21" t="str">
        <f>AND(#REF!,"AAAAAH0T5ZU=")</f>
        <v>#REF!</v>
      </c>
      <c r="EU21" t="str">
        <f>AND(#REF!,"AAAAAH0T5ZY=")</f>
        <v>#REF!</v>
      </c>
      <c r="EV21" t="str">
        <f>AND(#REF!,"AAAAAH0T5Zc=")</f>
        <v>#REF!</v>
      </c>
      <c r="EW21" t="str">
        <f>AND(#REF!,"AAAAAH0T5Zg=")</f>
        <v>#REF!</v>
      </c>
      <c r="EX21" t="str">
        <f>AND(#REF!,"AAAAAH0T5Zk=")</f>
        <v>#REF!</v>
      </c>
      <c r="EY21" t="str">
        <f>AND(#REF!,"AAAAAH0T5Zo=")</f>
        <v>#REF!</v>
      </c>
      <c r="EZ21" t="str">
        <f>AND(#REF!,"AAAAAH0T5Zs=")</f>
        <v>#REF!</v>
      </c>
      <c r="FA21" t="str">
        <f>AND(#REF!,"AAAAAH0T5Zw=")</f>
        <v>#REF!</v>
      </c>
      <c r="FB21" t="str">
        <f>AND(#REF!,"AAAAAH0T5Z0=")</f>
        <v>#REF!</v>
      </c>
      <c r="FC21" t="str">
        <f>AND(#REF!,"AAAAAH0T5Z4=")</f>
        <v>#REF!</v>
      </c>
      <c r="FD21" t="str">
        <f>AND(#REF!,"AAAAAH0T5Z8=")</f>
        <v>#REF!</v>
      </c>
      <c r="FE21" t="str">
        <f>AND(#REF!,"AAAAAH0T5aA=")</f>
        <v>#REF!</v>
      </c>
      <c r="FF21" t="str">
        <f>AND(#REF!,"AAAAAH0T5aE=")</f>
        <v>#REF!</v>
      </c>
      <c r="FG21" t="str">
        <f>AND(#REF!,"AAAAAH0T5aI=")</f>
        <v>#REF!</v>
      </c>
      <c r="FH21" t="str">
        <f>AND(#REF!,"AAAAAH0T5aM=")</f>
        <v>#REF!</v>
      </c>
      <c r="FI21" t="str">
        <f>AND(#REF!,"AAAAAH0T5aQ=")</f>
        <v>#REF!</v>
      </c>
      <c r="FJ21" t="str">
        <f>AND(#REF!,"AAAAAH0T5aU=")</f>
        <v>#REF!</v>
      </c>
      <c r="FK21" t="str">
        <f>AND(#REF!,"AAAAAH0T5aY=")</f>
        <v>#REF!</v>
      </c>
      <c r="FL21" t="str">
        <f>AND(#REF!,"AAAAAH0T5ac=")</f>
        <v>#REF!</v>
      </c>
      <c r="FM21" t="str">
        <f>AND(#REF!,"AAAAAH0T5ag=")</f>
        <v>#REF!</v>
      </c>
      <c r="FN21" t="str">
        <f>AND(#REF!,"AAAAAH0T5ak=")</f>
        <v>#REF!</v>
      </c>
      <c r="FO21" t="str">
        <f>AND(#REF!,"AAAAAH0T5ao=")</f>
        <v>#REF!</v>
      </c>
      <c r="FP21" t="str">
        <f>AND(#REF!,"AAAAAH0T5as=")</f>
        <v>#REF!</v>
      </c>
      <c r="FQ21" t="str">
        <f>AND(#REF!,"AAAAAH0T5aw=")</f>
        <v>#REF!</v>
      </c>
      <c r="FR21" t="str">
        <f>AND(#REF!,"AAAAAH0T5a0=")</f>
        <v>#REF!</v>
      </c>
      <c r="FS21" t="str">
        <f>IF(#REF!,"AAAAAH0T5a4=",0)</f>
        <v>#REF!</v>
      </c>
      <c r="FT21" t="str">
        <f>AND(#REF!,"AAAAAH0T5a8=")</f>
        <v>#REF!</v>
      </c>
      <c r="FU21" t="str">
        <f>AND(#REF!,"AAAAAH0T5bA=")</f>
        <v>#REF!</v>
      </c>
      <c r="FV21" t="str">
        <f>AND(#REF!,"AAAAAH0T5bE=")</f>
        <v>#REF!</v>
      </c>
      <c r="FW21" t="str">
        <f>AND(#REF!,"AAAAAH0T5bI=")</f>
        <v>#REF!</v>
      </c>
      <c r="FX21" t="str">
        <f>AND(#REF!,"AAAAAH0T5bM=")</f>
        <v>#REF!</v>
      </c>
      <c r="FY21" t="str">
        <f>AND(#REF!,"AAAAAH0T5bQ=")</f>
        <v>#REF!</v>
      </c>
      <c r="FZ21" t="str">
        <f>AND(#REF!,"AAAAAH0T5bU=")</f>
        <v>#REF!</v>
      </c>
      <c r="GA21" t="str">
        <f>AND(#REF!,"AAAAAH0T5bY=")</f>
        <v>#REF!</v>
      </c>
      <c r="GB21" t="str">
        <f>AND(#REF!,"AAAAAH0T5bc=")</f>
        <v>#REF!</v>
      </c>
      <c r="GC21" t="str">
        <f>AND(#REF!,"AAAAAH0T5bg=")</f>
        <v>#REF!</v>
      </c>
      <c r="GD21" t="str">
        <f>AND(#REF!,"AAAAAH0T5bk=")</f>
        <v>#REF!</v>
      </c>
      <c r="GE21" t="str">
        <f>AND(#REF!,"AAAAAH0T5bo=")</f>
        <v>#REF!</v>
      </c>
      <c r="GF21" t="str">
        <f>AND(#REF!,"AAAAAH0T5bs=")</f>
        <v>#REF!</v>
      </c>
      <c r="GG21" t="str">
        <f>AND(#REF!,"AAAAAH0T5bw=")</f>
        <v>#REF!</v>
      </c>
      <c r="GH21" t="str">
        <f>AND(#REF!,"AAAAAH0T5b0=")</f>
        <v>#REF!</v>
      </c>
      <c r="GI21" t="str">
        <f>AND(#REF!,"AAAAAH0T5b4=")</f>
        <v>#REF!</v>
      </c>
      <c r="GJ21" t="str">
        <f>AND(#REF!,"AAAAAH0T5b8=")</f>
        <v>#REF!</v>
      </c>
      <c r="GK21" t="str">
        <f>AND(#REF!,"AAAAAH0T5cA=")</f>
        <v>#REF!</v>
      </c>
      <c r="GL21" t="str">
        <f>AND(#REF!,"AAAAAH0T5cE=")</f>
        <v>#REF!</v>
      </c>
      <c r="GM21" t="str">
        <f>AND(#REF!,"AAAAAH0T5cI=")</f>
        <v>#REF!</v>
      </c>
      <c r="GN21" t="str">
        <f>AND(#REF!,"AAAAAH0T5cM=")</f>
        <v>#REF!</v>
      </c>
      <c r="GO21" t="str">
        <f>AND(#REF!,"AAAAAH0T5cQ=")</f>
        <v>#REF!</v>
      </c>
      <c r="GP21" t="str">
        <f>AND(#REF!,"AAAAAH0T5cU=")</f>
        <v>#REF!</v>
      </c>
      <c r="GQ21" t="str">
        <f>AND(#REF!,"AAAAAH0T5cY=")</f>
        <v>#REF!</v>
      </c>
      <c r="GR21" t="str">
        <f>AND(#REF!,"AAAAAH0T5cc=")</f>
        <v>#REF!</v>
      </c>
      <c r="GS21" t="str">
        <f>AND(#REF!,"AAAAAH0T5cg=")</f>
        <v>#REF!</v>
      </c>
      <c r="GT21" t="str">
        <f>AND(#REF!,"AAAAAH0T5ck=")</f>
        <v>#REF!</v>
      </c>
      <c r="GU21" t="str">
        <f>AND(#REF!,"AAAAAH0T5co=")</f>
        <v>#REF!</v>
      </c>
      <c r="GV21" t="str">
        <f>AND(#REF!,"AAAAAH0T5cs=")</f>
        <v>#REF!</v>
      </c>
      <c r="GW21" t="str">
        <f>AND(#REF!,"AAAAAH0T5cw=")</f>
        <v>#REF!</v>
      </c>
      <c r="GX21" t="str">
        <f>AND(#REF!,"AAAAAH0T5c0=")</f>
        <v>#REF!</v>
      </c>
      <c r="GY21" t="str">
        <f>AND(#REF!,"AAAAAH0T5c4=")</f>
        <v>#REF!</v>
      </c>
      <c r="GZ21" t="str">
        <f>AND(#REF!,"AAAAAH0T5c8=")</f>
        <v>#REF!</v>
      </c>
      <c r="HA21" t="str">
        <f>AND(#REF!,"AAAAAH0T5dA=")</f>
        <v>#REF!</v>
      </c>
      <c r="HB21" t="str">
        <f>AND(#REF!,"AAAAAH0T5dE=")</f>
        <v>#REF!</v>
      </c>
      <c r="HC21" t="str">
        <f>AND(#REF!,"AAAAAH0T5dI=")</f>
        <v>#REF!</v>
      </c>
      <c r="HD21" t="str">
        <f>AND(#REF!,"AAAAAH0T5dM=")</f>
        <v>#REF!</v>
      </c>
      <c r="HE21" t="str">
        <f>AND(#REF!,"AAAAAH0T5dQ=")</f>
        <v>#REF!</v>
      </c>
      <c r="HF21" t="str">
        <f>AND(#REF!,"AAAAAH0T5dU=")</f>
        <v>#REF!</v>
      </c>
      <c r="HG21" t="str">
        <f>AND(#REF!,"AAAAAH0T5dY=")</f>
        <v>#REF!</v>
      </c>
      <c r="HH21" t="str">
        <f>AND(#REF!,"AAAAAH0T5dc=")</f>
        <v>#REF!</v>
      </c>
      <c r="HI21" t="str">
        <f>AND(#REF!,"AAAAAH0T5dg=")</f>
        <v>#REF!</v>
      </c>
      <c r="HJ21" t="str">
        <f>AND(#REF!,"AAAAAH0T5dk=")</f>
        <v>#REF!</v>
      </c>
      <c r="HK21" t="str">
        <f>AND(#REF!,"AAAAAH0T5do=")</f>
        <v>#REF!</v>
      </c>
      <c r="HL21" t="str">
        <f>AND(#REF!,"AAAAAH0T5ds=")</f>
        <v>#REF!</v>
      </c>
      <c r="HM21" t="str">
        <f>AND(#REF!,"AAAAAH0T5dw=")</f>
        <v>#REF!</v>
      </c>
      <c r="HN21" t="str">
        <f>AND(#REF!,"AAAAAH0T5d0=")</f>
        <v>#REF!</v>
      </c>
      <c r="HO21" t="str">
        <f>AND(#REF!,"AAAAAH0T5d4=")</f>
        <v>#REF!</v>
      </c>
      <c r="HP21" t="str">
        <f>AND(#REF!,"AAAAAH0T5d8=")</f>
        <v>#REF!</v>
      </c>
      <c r="HQ21" t="str">
        <f>AND(#REF!,"AAAAAH0T5eA=")</f>
        <v>#REF!</v>
      </c>
      <c r="HR21" t="str">
        <f>AND(#REF!,"AAAAAH0T5eE=")</f>
        <v>#REF!</v>
      </c>
      <c r="HS21" t="str">
        <f>AND(#REF!,"AAAAAH0T5eI=")</f>
        <v>#REF!</v>
      </c>
      <c r="HT21" t="str">
        <f>AND(#REF!,"AAAAAH0T5eM=")</f>
        <v>#REF!</v>
      </c>
      <c r="HU21" t="str">
        <f>AND(#REF!,"AAAAAH0T5eQ=")</f>
        <v>#REF!</v>
      </c>
      <c r="HV21" t="str">
        <f>AND(#REF!,"AAAAAH0T5eU=")</f>
        <v>#REF!</v>
      </c>
      <c r="HW21" t="str">
        <f>AND(#REF!,"AAAAAH0T5eY=")</f>
        <v>#REF!</v>
      </c>
      <c r="HX21" t="str">
        <f>AND(#REF!,"AAAAAH0T5ec=")</f>
        <v>#REF!</v>
      </c>
      <c r="HY21" t="str">
        <f>AND(#REF!,"AAAAAH0T5eg=")</f>
        <v>#REF!</v>
      </c>
      <c r="HZ21" t="str">
        <f>AND(#REF!,"AAAAAH0T5ek=")</f>
        <v>#REF!</v>
      </c>
      <c r="IA21" t="str">
        <f>AND(#REF!,"AAAAAH0T5eo=")</f>
        <v>#REF!</v>
      </c>
      <c r="IB21" t="str">
        <f>AND(#REF!,"AAAAAH0T5es=")</f>
        <v>#REF!</v>
      </c>
      <c r="IC21" t="str">
        <f>AND(#REF!,"AAAAAH0T5ew=")</f>
        <v>#REF!</v>
      </c>
      <c r="ID21" t="str">
        <f>AND(#REF!,"AAAAAH0T5e0=")</f>
        <v>#REF!</v>
      </c>
      <c r="IE21" t="str">
        <f>AND(#REF!,"AAAAAH0T5e4=")</f>
        <v>#REF!</v>
      </c>
      <c r="IF21" t="str">
        <f>AND(#REF!,"AAAAAH0T5e8=")</f>
        <v>#REF!</v>
      </c>
      <c r="IG21" t="str">
        <f>AND(#REF!,"AAAAAH0T5fA=")</f>
        <v>#REF!</v>
      </c>
      <c r="IH21" t="str">
        <f>AND(#REF!,"AAAAAH0T5fE=")</f>
        <v>#REF!</v>
      </c>
      <c r="II21" t="str">
        <f>AND(#REF!,"AAAAAH0T5fI=")</f>
        <v>#REF!</v>
      </c>
      <c r="IJ21" t="str">
        <f>AND(#REF!,"AAAAAH0T5fM=")</f>
        <v>#REF!</v>
      </c>
      <c r="IK21" t="str">
        <f>AND(#REF!,"AAAAAH0T5fQ=")</f>
        <v>#REF!</v>
      </c>
      <c r="IL21" t="str">
        <f>AND(#REF!,"AAAAAH0T5fU=")</f>
        <v>#REF!</v>
      </c>
      <c r="IM21" t="str">
        <f>AND(#REF!,"AAAAAH0T5fY=")</f>
        <v>#REF!</v>
      </c>
      <c r="IN21" t="str">
        <f>AND(#REF!,"AAAAAH0T5fc=")</f>
        <v>#REF!</v>
      </c>
      <c r="IO21" t="str">
        <f>AND(#REF!,"AAAAAH0T5fg=")</f>
        <v>#REF!</v>
      </c>
      <c r="IP21" t="str">
        <f>AND(#REF!,"AAAAAH0T5fk=")</f>
        <v>#REF!</v>
      </c>
      <c r="IQ21" t="str">
        <f>IF(#REF!,"AAAAAH0T5fo=",0)</f>
        <v>#REF!</v>
      </c>
      <c r="IR21" t="str">
        <f>AND(#REF!,"AAAAAH0T5fs=")</f>
        <v>#REF!</v>
      </c>
      <c r="IS21" t="str">
        <f>AND(#REF!,"AAAAAH0T5fw=")</f>
        <v>#REF!</v>
      </c>
      <c r="IT21" t="str">
        <f>AND(#REF!,"AAAAAH0T5f0=")</f>
        <v>#REF!</v>
      </c>
      <c r="IU21" t="str">
        <f>AND(#REF!,"AAAAAH0T5f4=")</f>
        <v>#REF!</v>
      </c>
      <c r="IV21" t="str">
        <f>AND(#REF!,"AAAAAH0T5f8=")</f>
        <v>#REF!</v>
      </c>
    </row>
    <row r="22" ht="15.75" customHeight="1">
      <c r="A22" t="str">
        <f>AND(#REF!,"AAAAADfN3QA=")</f>
        <v>#REF!</v>
      </c>
      <c r="B22" t="str">
        <f>AND(#REF!,"AAAAADfN3QE=")</f>
        <v>#REF!</v>
      </c>
      <c r="C22" t="str">
        <f>AND(#REF!,"AAAAADfN3QI=")</f>
        <v>#REF!</v>
      </c>
      <c r="D22" t="str">
        <f>AND(#REF!,"AAAAADfN3QM=")</f>
        <v>#REF!</v>
      </c>
      <c r="E22" t="str">
        <f>AND(#REF!,"AAAAADfN3QQ=")</f>
        <v>#REF!</v>
      </c>
      <c r="F22" t="str">
        <f>AND(#REF!,"AAAAADfN3QU=")</f>
        <v>#REF!</v>
      </c>
      <c r="G22" t="str">
        <f>AND(#REF!,"AAAAADfN3QY=")</f>
        <v>#REF!</v>
      </c>
      <c r="H22" t="str">
        <f>AND(#REF!,"AAAAADfN3Qc=")</f>
        <v>#REF!</v>
      </c>
      <c r="I22" t="str">
        <f>AND(#REF!,"AAAAADfN3Qg=")</f>
        <v>#REF!</v>
      </c>
      <c r="J22" t="str">
        <f>AND(#REF!,"AAAAADfN3Qk=")</f>
        <v>#REF!</v>
      </c>
      <c r="K22" t="str">
        <f>AND(#REF!,"AAAAADfN3Qo=")</f>
        <v>#REF!</v>
      </c>
      <c r="L22" t="str">
        <f>AND(#REF!,"AAAAADfN3Qs=")</f>
        <v>#REF!</v>
      </c>
      <c r="M22" t="str">
        <f>AND(#REF!,"AAAAADfN3Qw=")</f>
        <v>#REF!</v>
      </c>
      <c r="N22" t="str">
        <f>AND(#REF!,"AAAAADfN3Q0=")</f>
        <v>#REF!</v>
      </c>
      <c r="O22" t="str">
        <f>AND(#REF!,"AAAAADfN3Q4=")</f>
        <v>#REF!</v>
      </c>
      <c r="P22" t="str">
        <f>AND(#REF!,"AAAAADfN3Q8=")</f>
        <v>#REF!</v>
      </c>
      <c r="Q22" t="str">
        <f>AND(#REF!,"AAAAADfN3RA=")</f>
        <v>#REF!</v>
      </c>
      <c r="R22" t="str">
        <f>AND(#REF!,"AAAAADfN3RE=")</f>
        <v>#REF!</v>
      </c>
      <c r="S22" t="str">
        <f>AND(#REF!,"AAAAADfN3RI=")</f>
        <v>#REF!</v>
      </c>
      <c r="T22" t="str">
        <f>AND(#REF!,"AAAAADfN3RM=")</f>
        <v>#REF!</v>
      </c>
      <c r="U22" t="str">
        <f>AND(#REF!,"AAAAADfN3RQ=")</f>
        <v>#REF!</v>
      </c>
      <c r="V22" t="str">
        <f>AND(#REF!,"AAAAADfN3RU=")</f>
        <v>#REF!</v>
      </c>
      <c r="W22" t="str">
        <f>AND(#REF!,"AAAAADfN3RY=")</f>
        <v>#REF!</v>
      </c>
      <c r="X22" t="str">
        <f>AND(#REF!,"AAAAADfN3Rc=")</f>
        <v>#REF!</v>
      </c>
      <c r="Y22" t="str">
        <f>AND(#REF!,"AAAAADfN3Rg=")</f>
        <v>#REF!</v>
      </c>
      <c r="Z22" t="str">
        <f>AND(#REF!,"AAAAADfN3Rk=")</f>
        <v>#REF!</v>
      </c>
      <c r="AA22" t="str">
        <f>AND(#REF!,"AAAAADfN3Ro=")</f>
        <v>#REF!</v>
      </c>
      <c r="AB22" t="str">
        <f>AND(#REF!,"AAAAADfN3Rs=")</f>
        <v>#REF!</v>
      </c>
      <c r="AC22" t="str">
        <f>AND(#REF!,"AAAAADfN3Rw=")</f>
        <v>#REF!</v>
      </c>
      <c r="AD22" t="str">
        <f>AND(#REF!,"AAAAADfN3R0=")</f>
        <v>#REF!</v>
      </c>
      <c r="AE22" t="str">
        <f>AND(#REF!,"AAAAADfN3R4=")</f>
        <v>#REF!</v>
      </c>
      <c r="AF22" t="str">
        <f>AND(#REF!,"AAAAADfN3R8=")</f>
        <v>#REF!</v>
      </c>
      <c r="AG22" t="str">
        <f>AND(#REF!,"AAAAADfN3SA=")</f>
        <v>#REF!</v>
      </c>
      <c r="AH22" t="str">
        <f>AND(#REF!,"AAAAADfN3SE=")</f>
        <v>#REF!</v>
      </c>
      <c r="AI22" t="str">
        <f>AND(#REF!,"AAAAADfN3SI=")</f>
        <v>#REF!</v>
      </c>
      <c r="AJ22" t="str">
        <f>AND(#REF!,"AAAAADfN3SM=")</f>
        <v>#REF!</v>
      </c>
      <c r="AK22" t="str">
        <f>AND(#REF!,"AAAAADfN3SQ=")</f>
        <v>#REF!</v>
      </c>
      <c r="AL22" t="str">
        <f>AND(#REF!,"AAAAADfN3SU=")</f>
        <v>#REF!</v>
      </c>
      <c r="AM22" t="str">
        <f>AND(#REF!,"AAAAADfN3SY=")</f>
        <v>#REF!</v>
      </c>
      <c r="AN22" t="str">
        <f>AND(#REF!,"AAAAADfN3Sc=")</f>
        <v>#REF!</v>
      </c>
      <c r="AO22" t="str">
        <f>AND(#REF!,"AAAAADfN3Sg=")</f>
        <v>#REF!</v>
      </c>
      <c r="AP22" t="str">
        <f>AND(#REF!,"AAAAADfN3Sk=")</f>
        <v>#REF!</v>
      </c>
      <c r="AQ22" t="str">
        <f>AND(#REF!,"AAAAADfN3So=")</f>
        <v>#REF!</v>
      </c>
      <c r="AR22" t="str">
        <f>AND(#REF!,"AAAAADfN3Ss=")</f>
        <v>#REF!</v>
      </c>
      <c r="AS22" t="str">
        <f>AND(#REF!,"AAAAADfN3Sw=")</f>
        <v>#REF!</v>
      </c>
      <c r="AT22" t="str">
        <f>AND(#REF!,"AAAAADfN3S0=")</f>
        <v>#REF!</v>
      </c>
      <c r="AU22" t="str">
        <f>AND(#REF!,"AAAAADfN3S4=")</f>
        <v>#REF!</v>
      </c>
      <c r="AV22" t="str">
        <f>AND(#REF!,"AAAAADfN3S8=")</f>
        <v>#REF!</v>
      </c>
      <c r="AW22" t="str">
        <f>AND(#REF!,"AAAAADfN3TA=")</f>
        <v>#REF!</v>
      </c>
      <c r="AX22" t="str">
        <f>AND(#REF!,"AAAAADfN3TE=")</f>
        <v>#REF!</v>
      </c>
      <c r="AY22" t="str">
        <f>AND(#REF!,"AAAAADfN3TI=")</f>
        <v>#REF!</v>
      </c>
      <c r="AZ22" t="str">
        <f>AND(#REF!,"AAAAADfN3TM=")</f>
        <v>#REF!</v>
      </c>
      <c r="BA22" t="str">
        <f>AND(#REF!,"AAAAADfN3TQ=")</f>
        <v>#REF!</v>
      </c>
      <c r="BB22" t="str">
        <f>AND(#REF!,"AAAAADfN3TU=")</f>
        <v>#REF!</v>
      </c>
      <c r="BC22" t="str">
        <f>AND(#REF!,"AAAAADfN3TY=")</f>
        <v>#REF!</v>
      </c>
      <c r="BD22" t="str">
        <f>AND(#REF!,"AAAAADfN3Tc=")</f>
        <v>#REF!</v>
      </c>
      <c r="BE22" t="str">
        <f>AND(#REF!,"AAAAADfN3Tg=")</f>
        <v>#REF!</v>
      </c>
      <c r="BF22" t="str">
        <f>AND(#REF!,"AAAAADfN3Tk=")</f>
        <v>#REF!</v>
      </c>
      <c r="BG22" t="str">
        <f>AND(#REF!,"AAAAADfN3To=")</f>
        <v>#REF!</v>
      </c>
      <c r="BH22" t="str">
        <f>AND(#REF!,"AAAAADfN3Ts=")</f>
        <v>#REF!</v>
      </c>
      <c r="BI22" t="str">
        <f>AND(#REF!,"AAAAADfN3Tw=")</f>
        <v>#REF!</v>
      </c>
      <c r="BJ22" t="str">
        <f>AND(#REF!,"AAAAADfN3T0=")</f>
        <v>#REF!</v>
      </c>
      <c r="BK22" t="str">
        <f>AND(#REF!,"AAAAADfN3T4=")</f>
        <v>#REF!</v>
      </c>
      <c r="BL22" t="str">
        <f>AND(#REF!,"AAAAADfN3T8=")</f>
        <v>#REF!</v>
      </c>
      <c r="BM22" t="str">
        <f>AND(#REF!,"AAAAADfN3UA=")</f>
        <v>#REF!</v>
      </c>
      <c r="BN22" t="str">
        <f>AND(#REF!,"AAAAADfN3UE=")</f>
        <v>#REF!</v>
      </c>
      <c r="BO22" t="str">
        <f>AND(#REF!,"AAAAADfN3UI=")</f>
        <v>#REF!</v>
      </c>
      <c r="BP22" t="str">
        <f>AND(#REF!,"AAAAADfN3UM=")</f>
        <v>#REF!</v>
      </c>
      <c r="BQ22" t="str">
        <f>AND(#REF!,"AAAAADfN3UQ=")</f>
        <v>#REF!</v>
      </c>
      <c r="BR22" t="str">
        <f>AND(#REF!,"AAAAADfN3UU=")</f>
        <v>#REF!</v>
      </c>
      <c r="BS22" t="str">
        <f>IF(#REF!,"AAAAADfN3UY=",0)</f>
        <v>#REF!</v>
      </c>
      <c r="BT22" t="str">
        <f>AND(#REF!,"AAAAADfN3Uc=")</f>
        <v>#REF!</v>
      </c>
      <c r="BU22" t="str">
        <f>AND(#REF!,"AAAAADfN3Ug=")</f>
        <v>#REF!</v>
      </c>
      <c r="BV22" t="str">
        <f>AND(#REF!,"AAAAADfN3Uk=")</f>
        <v>#REF!</v>
      </c>
      <c r="BW22" t="str">
        <f>AND(#REF!,"AAAAADfN3Uo=")</f>
        <v>#REF!</v>
      </c>
      <c r="BX22" t="str">
        <f>AND(#REF!,"AAAAADfN3Us=")</f>
        <v>#REF!</v>
      </c>
      <c r="BY22" t="str">
        <f>AND(#REF!,"AAAAADfN3Uw=")</f>
        <v>#REF!</v>
      </c>
      <c r="BZ22" t="str">
        <f>AND(#REF!,"AAAAADfN3U0=")</f>
        <v>#REF!</v>
      </c>
      <c r="CA22" t="str">
        <f>AND(#REF!,"AAAAADfN3U4=")</f>
        <v>#REF!</v>
      </c>
      <c r="CB22" t="str">
        <f>AND(#REF!,"AAAAADfN3U8=")</f>
        <v>#REF!</v>
      </c>
      <c r="CC22" t="str">
        <f>AND(#REF!,"AAAAADfN3VA=")</f>
        <v>#REF!</v>
      </c>
      <c r="CD22" t="str">
        <f>AND(#REF!,"AAAAADfN3VE=")</f>
        <v>#REF!</v>
      </c>
      <c r="CE22" t="str">
        <f>AND(#REF!,"AAAAADfN3VI=")</f>
        <v>#REF!</v>
      </c>
      <c r="CF22" t="str">
        <f>AND(#REF!,"AAAAADfN3VM=")</f>
        <v>#REF!</v>
      </c>
      <c r="CG22" t="str">
        <f>AND(#REF!,"AAAAADfN3VQ=")</f>
        <v>#REF!</v>
      </c>
      <c r="CH22" t="str">
        <f>AND(#REF!,"AAAAADfN3VU=")</f>
        <v>#REF!</v>
      </c>
      <c r="CI22" t="str">
        <f>AND(#REF!,"AAAAADfN3VY=")</f>
        <v>#REF!</v>
      </c>
      <c r="CJ22" t="str">
        <f>AND(#REF!,"AAAAADfN3Vc=")</f>
        <v>#REF!</v>
      </c>
      <c r="CK22" t="str">
        <f>AND(#REF!,"AAAAADfN3Vg=")</f>
        <v>#REF!</v>
      </c>
      <c r="CL22" t="str">
        <f>AND(#REF!,"AAAAADfN3Vk=")</f>
        <v>#REF!</v>
      </c>
      <c r="CM22" t="str">
        <f>AND(#REF!,"AAAAADfN3Vo=")</f>
        <v>#REF!</v>
      </c>
      <c r="CN22" t="str">
        <f>AND(#REF!,"AAAAADfN3Vs=")</f>
        <v>#REF!</v>
      </c>
      <c r="CO22" t="str">
        <f>AND(#REF!,"AAAAADfN3Vw=")</f>
        <v>#REF!</v>
      </c>
      <c r="CP22" t="str">
        <f>AND(#REF!,"AAAAADfN3V0=")</f>
        <v>#REF!</v>
      </c>
      <c r="CQ22" t="str">
        <f>AND(#REF!,"AAAAADfN3V4=")</f>
        <v>#REF!</v>
      </c>
      <c r="CR22" t="str">
        <f>AND(#REF!,"AAAAADfN3V8=")</f>
        <v>#REF!</v>
      </c>
      <c r="CS22" t="str">
        <f>AND(#REF!,"AAAAADfN3WA=")</f>
        <v>#REF!</v>
      </c>
      <c r="CT22" t="str">
        <f>AND(#REF!,"AAAAADfN3WE=")</f>
        <v>#REF!</v>
      </c>
      <c r="CU22" t="str">
        <f>AND(#REF!,"AAAAADfN3WI=")</f>
        <v>#REF!</v>
      </c>
      <c r="CV22" t="str">
        <f>AND(#REF!,"AAAAADfN3WM=")</f>
        <v>#REF!</v>
      </c>
      <c r="CW22" t="str">
        <f>AND(#REF!,"AAAAADfN3WQ=")</f>
        <v>#REF!</v>
      </c>
      <c r="CX22" t="str">
        <f>AND(#REF!,"AAAAADfN3WU=")</f>
        <v>#REF!</v>
      </c>
      <c r="CY22" t="str">
        <f>AND(#REF!,"AAAAADfN3WY=")</f>
        <v>#REF!</v>
      </c>
      <c r="CZ22" t="str">
        <f>AND(#REF!,"AAAAADfN3Wc=")</f>
        <v>#REF!</v>
      </c>
      <c r="DA22" t="str">
        <f>AND(#REF!,"AAAAADfN3Wg=")</f>
        <v>#REF!</v>
      </c>
      <c r="DB22" t="str">
        <f>AND(#REF!,"AAAAADfN3Wk=")</f>
        <v>#REF!</v>
      </c>
      <c r="DC22" t="str">
        <f>AND(#REF!,"AAAAADfN3Wo=")</f>
        <v>#REF!</v>
      </c>
      <c r="DD22" t="str">
        <f>AND(#REF!,"AAAAADfN3Ws=")</f>
        <v>#REF!</v>
      </c>
      <c r="DE22" t="str">
        <f>AND(#REF!,"AAAAADfN3Ww=")</f>
        <v>#REF!</v>
      </c>
      <c r="DF22" t="str">
        <f>AND(#REF!,"AAAAADfN3W0=")</f>
        <v>#REF!</v>
      </c>
      <c r="DG22" t="str">
        <f>AND(#REF!,"AAAAADfN3W4=")</f>
        <v>#REF!</v>
      </c>
      <c r="DH22" t="str">
        <f>AND(#REF!,"AAAAADfN3W8=")</f>
        <v>#REF!</v>
      </c>
      <c r="DI22" t="str">
        <f>AND(#REF!,"AAAAADfN3XA=")</f>
        <v>#REF!</v>
      </c>
      <c r="DJ22" t="str">
        <f>AND(#REF!,"AAAAADfN3XE=")</f>
        <v>#REF!</v>
      </c>
      <c r="DK22" t="str">
        <f>AND(#REF!,"AAAAADfN3XI=")</f>
        <v>#REF!</v>
      </c>
      <c r="DL22" t="str">
        <f>AND(#REF!,"AAAAADfN3XM=")</f>
        <v>#REF!</v>
      </c>
      <c r="DM22" t="str">
        <f>AND(#REF!,"AAAAADfN3XQ=")</f>
        <v>#REF!</v>
      </c>
      <c r="DN22" t="str">
        <f>AND(#REF!,"AAAAADfN3XU=")</f>
        <v>#REF!</v>
      </c>
      <c r="DO22" t="str">
        <f>AND(#REF!,"AAAAADfN3XY=")</f>
        <v>#REF!</v>
      </c>
      <c r="DP22" t="str">
        <f>AND(#REF!,"AAAAADfN3Xc=")</f>
        <v>#REF!</v>
      </c>
      <c r="DQ22" t="str">
        <f>AND(#REF!,"AAAAADfN3Xg=")</f>
        <v>#REF!</v>
      </c>
      <c r="DR22" t="str">
        <f>AND(#REF!,"AAAAADfN3Xk=")</f>
        <v>#REF!</v>
      </c>
      <c r="DS22" t="str">
        <f>AND(#REF!,"AAAAADfN3Xo=")</f>
        <v>#REF!</v>
      </c>
      <c r="DT22" t="str">
        <f>AND(#REF!,"AAAAADfN3Xs=")</f>
        <v>#REF!</v>
      </c>
      <c r="DU22" t="str">
        <f>AND(#REF!,"AAAAADfN3Xw=")</f>
        <v>#REF!</v>
      </c>
      <c r="DV22" t="str">
        <f>AND(#REF!,"AAAAADfN3X0=")</f>
        <v>#REF!</v>
      </c>
      <c r="DW22" t="str">
        <f>AND(#REF!,"AAAAADfN3X4=")</f>
        <v>#REF!</v>
      </c>
      <c r="DX22" t="str">
        <f>AND(#REF!,"AAAAADfN3X8=")</f>
        <v>#REF!</v>
      </c>
      <c r="DY22" t="str">
        <f>AND(#REF!,"AAAAADfN3YA=")</f>
        <v>#REF!</v>
      </c>
      <c r="DZ22" t="str">
        <f>AND(#REF!,"AAAAADfN3YE=")</f>
        <v>#REF!</v>
      </c>
      <c r="EA22" t="str">
        <f>AND(#REF!,"AAAAADfN3YI=")</f>
        <v>#REF!</v>
      </c>
      <c r="EB22" t="str">
        <f>AND(#REF!,"AAAAADfN3YM=")</f>
        <v>#REF!</v>
      </c>
      <c r="EC22" t="str">
        <f>AND(#REF!,"AAAAADfN3YQ=")</f>
        <v>#REF!</v>
      </c>
      <c r="ED22" t="str">
        <f>AND(#REF!,"AAAAADfN3YU=")</f>
        <v>#REF!</v>
      </c>
      <c r="EE22" t="str">
        <f>AND(#REF!,"AAAAADfN3YY=")</f>
        <v>#REF!</v>
      </c>
      <c r="EF22" t="str">
        <f>AND(#REF!,"AAAAADfN3Yc=")</f>
        <v>#REF!</v>
      </c>
      <c r="EG22" t="str">
        <f>AND(#REF!,"AAAAADfN3Yg=")</f>
        <v>#REF!</v>
      </c>
      <c r="EH22" t="str">
        <f>AND(#REF!,"AAAAADfN3Yk=")</f>
        <v>#REF!</v>
      </c>
      <c r="EI22" t="str">
        <f>AND(#REF!,"AAAAADfN3Yo=")</f>
        <v>#REF!</v>
      </c>
      <c r="EJ22" t="str">
        <f>AND(#REF!,"AAAAADfN3Ys=")</f>
        <v>#REF!</v>
      </c>
      <c r="EK22" t="str">
        <f>AND(#REF!,"AAAAADfN3Yw=")</f>
        <v>#REF!</v>
      </c>
      <c r="EL22" t="str">
        <f>AND(#REF!,"AAAAADfN3Y0=")</f>
        <v>#REF!</v>
      </c>
      <c r="EM22" t="str">
        <f>AND(#REF!,"AAAAADfN3Y4=")</f>
        <v>#REF!</v>
      </c>
      <c r="EN22" t="str">
        <f>AND(#REF!,"AAAAADfN3Y8=")</f>
        <v>#REF!</v>
      </c>
      <c r="EO22" t="str">
        <f>AND(#REF!,"AAAAADfN3ZA=")</f>
        <v>#REF!</v>
      </c>
      <c r="EP22" t="str">
        <f>AND(#REF!,"AAAAADfN3ZE=")</f>
        <v>#REF!</v>
      </c>
      <c r="EQ22" t="str">
        <f>IF(#REF!,"AAAAADfN3ZI=",0)</f>
        <v>#REF!</v>
      </c>
      <c r="ER22" t="str">
        <f>AND(#REF!,"AAAAADfN3ZM=")</f>
        <v>#REF!</v>
      </c>
      <c r="ES22" t="str">
        <f>AND(#REF!,"AAAAADfN3ZQ=")</f>
        <v>#REF!</v>
      </c>
      <c r="ET22" t="str">
        <f>AND(#REF!,"AAAAADfN3ZU=")</f>
        <v>#REF!</v>
      </c>
      <c r="EU22" t="str">
        <f>AND(#REF!,"AAAAADfN3ZY=")</f>
        <v>#REF!</v>
      </c>
      <c r="EV22" t="str">
        <f>AND(#REF!,"AAAAADfN3Zc=")</f>
        <v>#REF!</v>
      </c>
      <c r="EW22" t="str">
        <f>AND(#REF!,"AAAAADfN3Zg=")</f>
        <v>#REF!</v>
      </c>
      <c r="EX22" t="str">
        <f>AND(#REF!,"AAAAADfN3Zk=")</f>
        <v>#REF!</v>
      </c>
      <c r="EY22" t="str">
        <f>AND(#REF!,"AAAAADfN3Zo=")</f>
        <v>#REF!</v>
      </c>
      <c r="EZ22" t="str">
        <f>AND(#REF!,"AAAAADfN3Zs=")</f>
        <v>#REF!</v>
      </c>
      <c r="FA22" t="str">
        <f>AND(#REF!,"AAAAADfN3Zw=")</f>
        <v>#REF!</v>
      </c>
      <c r="FB22" t="str">
        <f>AND(#REF!,"AAAAADfN3Z0=")</f>
        <v>#REF!</v>
      </c>
      <c r="FC22" t="str">
        <f>AND(#REF!,"AAAAADfN3Z4=")</f>
        <v>#REF!</v>
      </c>
      <c r="FD22" t="str">
        <f>AND(#REF!,"AAAAADfN3Z8=")</f>
        <v>#REF!</v>
      </c>
      <c r="FE22" t="str">
        <f>AND(#REF!,"AAAAADfN3aA=")</f>
        <v>#REF!</v>
      </c>
      <c r="FF22" t="str">
        <f>AND(#REF!,"AAAAADfN3aE=")</f>
        <v>#REF!</v>
      </c>
      <c r="FG22" t="str">
        <f>AND(#REF!,"AAAAADfN3aI=")</f>
        <v>#REF!</v>
      </c>
      <c r="FH22" t="str">
        <f>AND(#REF!,"AAAAADfN3aM=")</f>
        <v>#REF!</v>
      </c>
      <c r="FI22" t="str">
        <f>AND(#REF!,"AAAAADfN3aQ=")</f>
        <v>#REF!</v>
      </c>
      <c r="FJ22" t="str">
        <f>AND(#REF!,"AAAAADfN3aU=")</f>
        <v>#REF!</v>
      </c>
      <c r="FK22" t="str">
        <f>AND(#REF!,"AAAAADfN3aY=")</f>
        <v>#REF!</v>
      </c>
      <c r="FL22" t="str">
        <f>AND(#REF!,"AAAAADfN3ac=")</f>
        <v>#REF!</v>
      </c>
      <c r="FM22" t="str">
        <f>AND(#REF!,"AAAAADfN3ag=")</f>
        <v>#REF!</v>
      </c>
      <c r="FN22" t="str">
        <f>AND(#REF!,"AAAAADfN3ak=")</f>
        <v>#REF!</v>
      </c>
      <c r="FO22" t="str">
        <f>AND(#REF!,"AAAAADfN3ao=")</f>
        <v>#REF!</v>
      </c>
      <c r="FP22" t="str">
        <f>AND(#REF!,"AAAAADfN3as=")</f>
        <v>#REF!</v>
      </c>
      <c r="FQ22" t="str">
        <f>AND(#REF!,"AAAAADfN3aw=")</f>
        <v>#REF!</v>
      </c>
      <c r="FR22" t="str">
        <f>AND(#REF!,"AAAAADfN3a0=")</f>
        <v>#REF!</v>
      </c>
      <c r="FS22" t="str">
        <f>AND(#REF!,"AAAAADfN3a4=")</f>
        <v>#REF!</v>
      </c>
      <c r="FT22" t="str">
        <f>AND(#REF!,"AAAAADfN3a8=")</f>
        <v>#REF!</v>
      </c>
      <c r="FU22" t="str">
        <f>AND(#REF!,"AAAAADfN3bA=")</f>
        <v>#REF!</v>
      </c>
      <c r="FV22" t="str">
        <f>AND(#REF!,"AAAAADfN3bE=")</f>
        <v>#REF!</v>
      </c>
      <c r="FW22" t="str">
        <f>AND(#REF!,"AAAAADfN3bI=")</f>
        <v>#REF!</v>
      </c>
      <c r="FX22" t="str">
        <f>AND(#REF!,"AAAAADfN3bM=")</f>
        <v>#REF!</v>
      </c>
      <c r="FY22" t="str">
        <f>AND(#REF!,"AAAAADfN3bQ=")</f>
        <v>#REF!</v>
      </c>
      <c r="FZ22" t="str">
        <f>AND(#REF!,"AAAAADfN3bU=")</f>
        <v>#REF!</v>
      </c>
      <c r="GA22" t="str">
        <f>AND(#REF!,"AAAAADfN3bY=")</f>
        <v>#REF!</v>
      </c>
      <c r="GB22" t="str">
        <f>AND(#REF!,"AAAAADfN3bc=")</f>
        <v>#REF!</v>
      </c>
      <c r="GC22" t="str">
        <f>AND(#REF!,"AAAAADfN3bg=")</f>
        <v>#REF!</v>
      </c>
      <c r="GD22" t="str">
        <f>AND(#REF!,"AAAAADfN3bk=")</f>
        <v>#REF!</v>
      </c>
      <c r="GE22" t="str">
        <f>AND(#REF!,"AAAAADfN3bo=")</f>
        <v>#REF!</v>
      </c>
      <c r="GF22" t="str">
        <f>AND(#REF!,"AAAAADfN3bs=")</f>
        <v>#REF!</v>
      </c>
      <c r="GG22" t="str">
        <f>AND(#REF!,"AAAAADfN3bw=")</f>
        <v>#REF!</v>
      </c>
      <c r="GH22" t="str">
        <f>AND(#REF!,"AAAAADfN3b0=")</f>
        <v>#REF!</v>
      </c>
      <c r="GI22" t="str">
        <f>AND(#REF!,"AAAAADfN3b4=")</f>
        <v>#REF!</v>
      </c>
      <c r="GJ22" t="str">
        <f>AND(#REF!,"AAAAADfN3b8=")</f>
        <v>#REF!</v>
      </c>
      <c r="GK22" t="str">
        <f>AND(#REF!,"AAAAADfN3cA=")</f>
        <v>#REF!</v>
      </c>
      <c r="GL22" t="str">
        <f>AND(#REF!,"AAAAADfN3cE=")</f>
        <v>#REF!</v>
      </c>
      <c r="GM22" t="str">
        <f>AND(#REF!,"AAAAADfN3cI=")</f>
        <v>#REF!</v>
      </c>
      <c r="GN22" t="str">
        <f>AND(#REF!,"AAAAADfN3cM=")</f>
        <v>#REF!</v>
      </c>
      <c r="GO22" t="str">
        <f>AND(#REF!,"AAAAADfN3cQ=")</f>
        <v>#REF!</v>
      </c>
      <c r="GP22" t="str">
        <f>AND(#REF!,"AAAAADfN3cU=")</f>
        <v>#REF!</v>
      </c>
      <c r="GQ22" t="str">
        <f>AND(#REF!,"AAAAADfN3cY=")</f>
        <v>#REF!</v>
      </c>
      <c r="GR22" t="str">
        <f>AND(#REF!,"AAAAADfN3cc=")</f>
        <v>#REF!</v>
      </c>
      <c r="GS22" t="str">
        <f>AND(#REF!,"AAAAADfN3cg=")</f>
        <v>#REF!</v>
      </c>
      <c r="GT22" t="str">
        <f>AND(#REF!,"AAAAADfN3ck=")</f>
        <v>#REF!</v>
      </c>
      <c r="GU22" t="str">
        <f>AND(#REF!,"AAAAADfN3co=")</f>
        <v>#REF!</v>
      </c>
      <c r="GV22" t="str">
        <f>AND(#REF!,"AAAAADfN3cs=")</f>
        <v>#REF!</v>
      </c>
      <c r="GW22" t="str">
        <f>AND(#REF!,"AAAAADfN3cw=")</f>
        <v>#REF!</v>
      </c>
      <c r="GX22" t="str">
        <f>AND(#REF!,"AAAAADfN3c0=")</f>
        <v>#REF!</v>
      </c>
      <c r="GY22" t="str">
        <f>AND(#REF!,"AAAAADfN3c4=")</f>
        <v>#REF!</v>
      </c>
      <c r="GZ22" t="str">
        <f>AND(#REF!,"AAAAADfN3c8=")</f>
        <v>#REF!</v>
      </c>
      <c r="HA22" t="str">
        <f>AND(#REF!,"AAAAADfN3dA=")</f>
        <v>#REF!</v>
      </c>
      <c r="HB22" t="str">
        <f>AND(#REF!,"AAAAADfN3dE=")</f>
        <v>#REF!</v>
      </c>
      <c r="HC22" t="str">
        <f>AND(#REF!,"AAAAADfN3dI=")</f>
        <v>#REF!</v>
      </c>
      <c r="HD22" t="str">
        <f>AND(#REF!,"AAAAADfN3dM=")</f>
        <v>#REF!</v>
      </c>
      <c r="HE22" t="str">
        <f>AND(#REF!,"AAAAADfN3dQ=")</f>
        <v>#REF!</v>
      </c>
      <c r="HF22" t="str">
        <f>AND(#REF!,"AAAAADfN3dU=")</f>
        <v>#REF!</v>
      </c>
      <c r="HG22" t="str">
        <f>AND(#REF!,"AAAAADfN3dY=")</f>
        <v>#REF!</v>
      </c>
      <c r="HH22" t="str">
        <f>AND(#REF!,"AAAAADfN3dc=")</f>
        <v>#REF!</v>
      </c>
      <c r="HI22" t="str">
        <f>AND(#REF!,"AAAAADfN3dg=")</f>
        <v>#REF!</v>
      </c>
      <c r="HJ22" t="str">
        <f>AND(#REF!,"AAAAADfN3dk=")</f>
        <v>#REF!</v>
      </c>
      <c r="HK22" t="str">
        <f>AND(#REF!,"AAAAADfN3do=")</f>
        <v>#REF!</v>
      </c>
      <c r="HL22" t="str">
        <f>AND(#REF!,"AAAAADfN3ds=")</f>
        <v>#REF!</v>
      </c>
      <c r="HM22" t="str">
        <f>AND(#REF!,"AAAAADfN3dw=")</f>
        <v>#REF!</v>
      </c>
      <c r="HN22" t="str">
        <f>AND(#REF!,"AAAAADfN3d0=")</f>
        <v>#REF!</v>
      </c>
      <c r="HO22" t="str">
        <f>IF(#REF!,"AAAAADfN3d4=",0)</f>
        <v>#REF!</v>
      </c>
      <c r="HP22" t="str">
        <f>AND(#REF!,"AAAAADfN3d8=")</f>
        <v>#REF!</v>
      </c>
      <c r="HQ22" t="str">
        <f>AND(#REF!,"AAAAADfN3eA=")</f>
        <v>#REF!</v>
      </c>
      <c r="HR22" t="str">
        <f>AND(#REF!,"AAAAADfN3eE=")</f>
        <v>#REF!</v>
      </c>
      <c r="HS22" t="str">
        <f>AND(#REF!,"AAAAADfN3eI=")</f>
        <v>#REF!</v>
      </c>
      <c r="HT22" t="str">
        <f>AND(#REF!,"AAAAADfN3eM=")</f>
        <v>#REF!</v>
      </c>
      <c r="HU22" t="str">
        <f>AND(#REF!,"AAAAADfN3eQ=")</f>
        <v>#REF!</v>
      </c>
      <c r="HV22" t="str">
        <f>AND(#REF!,"AAAAADfN3eU=")</f>
        <v>#REF!</v>
      </c>
      <c r="HW22" t="str">
        <f>AND(#REF!,"AAAAADfN3eY=")</f>
        <v>#REF!</v>
      </c>
      <c r="HX22" t="str">
        <f>AND(#REF!,"AAAAADfN3ec=")</f>
        <v>#REF!</v>
      </c>
      <c r="HY22" t="str">
        <f>AND(#REF!,"AAAAADfN3eg=")</f>
        <v>#REF!</v>
      </c>
      <c r="HZ22" t="str">
        <f>AND(#REF!,"AAAAADfN3ek=")</f>
        <v>#REF!</v>
      </c>
      <c r="IA22" t="str">
        <f>AND(#REF!,"AAAAADfN3eo=")</f>
        <v>#REF!</v>
      </c>
      <c r="IB22" t="str">
        <f>AND(#REF!,"AAAAADfN3es=")</f>
        <v>#REF!</v>
      </c>
      <c r="IC22" t="str">
        <f>AND(#REF!,"AAAAADfN3ew=")</f>
        <v>#REF!</v>
      </c>
      <c r="ID22" t="str">
        <f>AND(#REF!,"AAAAADfN3e0=")</f>
        <v>#REF!</v>
      </c>
      <c r="IE22" t="str">
        <f>AND(#REF!,"AAAAADfN3e4=")</f>
        <v>#REF!</v>
      </c>
      <c r="IF22" t="str">
        <f>AND(#REF!,"AAAAADfN3e8=")</f>
        <v>#REF!</v>
      </c>
      <c r="IG22" t="str">
        <f>AND(#REF!,"AAAAADfN3fA=")</f>
        <v>#REF!</v>
      </c>
      <c r="IH22" t="str">
        <f>AND(#REF!,"AAAAADfN3fE=")</f>
        <v>#REF!</v>
      </c>
      <c r="II22" t="str">
        <f>AND(#REF!,"AAAAADfN3fI=")</f>
        <v>#REF!</v>
      </c>
      <c r="IJ22" t="str">
        <f>AND(#REF!,"AAAAADfN3fM=")</f>
        <v>#REF!</v>
      </c>
      <c r="IK22" t="str">
        <f>AND(#REF!,"AAAAADfN3fQ=")</f>
        <v>#REF!</v>
      </c>
      <c r="IL22" t="str">
        <f>AND(#REF!,"AAAAADfN3fU=")</f>
        <v>#REF!</v>
      </c>
      <c r="IM22" t="str">
        <f>AND(#REF!,"AAAAADfN3fY=")</f>
        <v>#REF!</v>
      </c>
      <c r="IN22" t="str">
        <f>AND(#REF!,"AAAAADfN3fc=")</f>
        <v>#REF!</v>
      </c>
      <c r="IO22" t="str">
        <f>AND(#REF!,"AAAAADfN3fg=")</f>
        <v>#REF!</v>
      </c>
      <c r="IP22" t="str">
        <f>AND(#REF!,"AAAAADfN3fk=")</f>
        <v>#REF!</v>
      </c>
      <c r="IQ22" t="str">
        <f>AND(#REF!,"AAAAADfN3fo=")</f>
        <v>#REF!</v>
      </c>
      <c r="IR22" t="str">
        <f>AND(#REF!,"AAAAADfN3fs=")</f>
        <v>#REF!</v>
      </c>
      <c r="IS22" t="str">
        <f>AND(#REF!,"AAAAADfN3fw=")</f>
        <v>#REF!</v>
      </c>
      <c r="IT22" t="str">
        <f>AND(#REF!,"AAAAADfN3f0=")</f>
        <v>#REF!</v>
      </c>
      <c r="IU22" t="str">
        <f>AND(#REF!,"AAAAADfN3f4=")</f>
        <v>#REF!</v>
      </c>
      <c r="IV22" t="str">
        <f>AND(#REF!,"AAAAADfN3f8=")</f>
        <v>#REF!</v>
      </c>
    </row>
    <row r="23" ht="15.75" customHeight="1">
      <c r="A23" t="str">
        <f>AND(#REF!,"AAAAAHf/vQA=")</f>
        <v>#REF!</v>
      </c>
      <c r="B23" t="str">
        <f>AND(#REF!,"AAAAAHf/vQE=")</f>
        <v>#REF!</v>
      </c>
      <c r="C23" t="str">
        <f>AND(#REF!,"AAAAAHf/vQI=")</f>
        <v>#REF!</v>
      </c>
      <c r="D23" t="str">
        <f>AND(#REF!,"AAAAAHf/vQM=")</f>
        <v>#REF!</v>
      </c>
      <c r="E23" t="str">
        <f>AND(#REF!,"AAAAAHf/vQQ=")</f>
        <v>#REF!</v>
      </c>
      <c r="F23" t="str">
        <f>AND(#REF!,"AAAAAHf/vQU=")</f>
        <v>#REF!</v>
      </c>
      <c r="G23" t="str">
        <f>AND(#REF!,"AAAAAHf/vQY=")</f>
        <v>#REF!</v>
      </c>
      <c r="H23" t="str">
        <f>AND(#REF!,"AAAAAHf/vQc=")</f>
        <v>#REF!</v>
      </c>
      <c r="I23" t="str">
        <f>AND(#REF!,"AAAAAHf/vQg=")</f>
        <v>#REF!</v>
      </c>
      <c r="J23" t="str">
        <f>AND(#REF!,"AAAAAHf/vQk=")</f>
        <v>#REF!</v>
      </c>
      <c r="K23" t="str">
        <f>AND(#REF!,"AAAAAHf/vQo=")</f>
        <v>#REF!</v>
      </c>
      <c r="L23" t="str">
        <f>AND(#REF!,"AAAAAHf/vQs=")</f>
        <v>#REF!</v>
      </c>
      <c r="M23" t="str">
        <f>AND(#REF!,"AAAAAHf/vQw=")</f>
        <v>#REF!</v>
      </c>
      <c r="N23" t="str">
        <f>AND(#REF!,"AAAAAHf/vQ0=")</f>
        <v>#REF!</v>
      </c>
      <c r="O23" t="str">
        <f>AND(#REF!,"AAAAAHf/vQ4=")</f>
        <v>#REF!</v>
      </c>
      <c r="P23" t="str">
        <f>AND(#REF!,"AAAAAHf/vQ8=")</f>
        <v>#REF!</v>
      </c>
      <c r="Q23" t="str">
        <f>AND(#REF!,"AAAAAHf/vRA=")</f>
        <v>#REF!</v>
      </c>
      <c r="R23" t="str">
        <f>AND(#REF!,"AAAAAHf/vRE=")</f>
        <v>#REF!</v>
      </c>
      <c r="S23" t="str">
        <f>AND(#REF!,"AAAAAHf/vRI=")</f>
        <v>#REF!</v>
      </c>
      <c r="T23" t="str">
        <f>AND(#REF!,"AAAAAHf/vRM=")</f>
        <v>#REF!</v>
      </c>
      <c r="U23" t="str">
        <f>AND(#REF!,"AAAAAHf/vRQ=")</f>
        <v>#REF!</v>
      </c>
      <c r="V23" t="str">
        <f>AND(#REF!,"AAAAAHf/vRU=")</f>
        <v>#REF!</v>
      </c>
      <c r="W23" t="str">
        <f>AND(#REF!,"AAAAAHf/vRY=")</f>
        <v>#REF!</v>
      </c>
      <c r="X23" t="str">
        <f>AND(#REF!,"AAAAAHf/vRc=")</f>
        <v>#REF!</v>
      </c>
      <c r="Y23" t="str">
        <f>AND(#REF!,"AAAAAHf/vRg=")</f>
        <v>#REF!</v>
      </c>
      <c r="Z23" t="str">
        <f>AND(#REF!,"AAAAAHf/vRk=")</f>
        <v>#REF!</v>
      </c>
      <c r="AA23" t="str">
        <f>AND(#REF!,"AAAAAHf/vRo=")</f>
        <v>#REF!</v>
      </c>
      <c r="AB23" t="str">
        <f>AND(#REF!,"AAAAAHf/vRs=")</f>
        <v>#REF!</v>
      </c>
      <c r="AC23" t="str">
        <f>AND(#REF!,"AAAAAHf/vRw=")</f>
        <v>#REF!</v>
      </c>
      <c r="AD23" t="str">
        <f>AND(#REF!,"AAAAAHf/vR0=")</f>
        <v>#REF!</v>
      </c>
      <c r="AE23" t="str">
        <f>AND(#REF!,"AAAAAHf/vR4=")</f>
        <v>#REF!</v>
      </c>
      <c r="AF23" t="str">
        <f>AND(#REF!,"AAAAAHf/vR8=")</f>
        <v>#REF!</v>
      </c>
      <c r="AG23" t="str">
        <f>AND(#REF!,"AAAAAHf/vSA=")</f>
        <v>#REF!</v>
      </c>
      <c r="AH23" t="str">
        <f>AND(#REF!,"AAAAAHf/vSE=")</f>
        <v>#REF!</v>
      </c>
      <c r="AI23" t="str">
        <f>AND(#REF!,"AAAAAHf/vSI=")</f>
        <v>#REF!</v>
      </c>
      <c r="AJ23" t="str">
        <f>AND(#REF!,"AAAAAHf/vSM=")</f>
        <v>#REF!</v>
      </c>
      <c r="AK23" t="str">
        <f>AND(#REF!,"AAAAAHf/vSQ=")</f>
        <v>#REF!</v>
      </c>
      <c r="AL23" t="str">
        <f>AND(#REF!,"AAAAAHf/vSU=")</f>
        <v>#REF!</v>
      </c>
      <c r="AM23" t="str">
        <f>AND(#REF!,"AAAAAHf/vSY=")</f>
        <v>#REF!</v>
      </c>
      <c r="AN23" t="str">
        <f>AND(#REF!,"AAAAAHf/vSc=")</f>
        <v>#REF!</v>
      </c>
      <c r="AO23" t="str">
        <f>AND(#REF!,"AAAAAHf/vSg=")</f>
        <v>#REF!</v>
      </c>
      <c r="AP23" t="str">
        <f>AND(#REF!,"AAAAAHf/vSk=")</f>
        <v>#REF!</v>
      </c>
      <c r="AQ23" t="str">
        <f>IF(#REF!,"AAAAAHf/vSo=",0)</f>
        <v>#REF!</v>
      </c>
      <c r="AR23" t="str">
        <f>AND(#REF!,"AAAAAHf/vSs=")</f>
        <v>#REF!</v>
      </c>
      <c r="AS23" t="str">
        <f>AND(#REF!,"AAAAAHf/vSw=")</f>
        <v>#REF!</v>
      </c>
      <c r="AT23" t="str">
        <f>AND(#REF!,"AAAAAHf/vS0=")</f>
        <v>#REF!</v>
      </c>
      <c r="AU23" t="str">
        <f>AND(#REF!,"AAAAAHf/vS4=")</f>
        <v>#REF!</v>
      </c>
      <c r="AV23" t="str">
        <f>AND(#REF!,"AAAAAHf/vS8=")</f>
        <v>#REF!</v>
      </c>
      <c r="AW23" t="str">
        <f>AND(#REF!,"AAAAAHf/vTA=")</f>
        <v>#REF!</v>
      </c>
      <c r="AX23" t="str">
        <f>AND(#REF!,"AAAAAHf/vTE=")</f>
        <v>#REF!</v>
      </c>
      <c r="AY23" t="str">
        <f>AND(#REF!,"AAAAAHf/vTI=")</f>
        <v>#REF!</v>
      </c>
      <c r="AZ23" t="str">
        <f>AND(#REF!,"AAAAAHf/vTM=")</f>
        <v>#REF!</v>
      </c>
      <c r="BA23" t="str">
        <f>AND(#REF!,"AAAAAHf/vTQ=")</f>
        <v>#REF!</v>
      </c>
      <c r="BB23" t="str">
        <f>AND(#REF!,"AAAAAHf/vTU=")</f>
        <v>#REF!</v>
      </c>
      <c r="BC23" t="str">
        <f>AND(#REF!,"AAAAAHf/vTY=")</f>
        <v>#REF!</v>
      </c>
      <c r="BD23" t="str">
        <f>AND(#REF!,"AAAAAHf/vTc=")</f>
        <v>#REF!</v>
      </c>
      <c r="BE23" t="str">
        <f>AND(#REF!,"AAAAAHf/vTg=")</f>
        <v>#REF!</v>
      </c>
      <c r="BF23" t="str">
        <f>AND(#REF!,"AAAAAHf/vTk=")</f>
        <v>#REF!</v>
      </c>
      <c r="BG23" t="str">
        <f>AND(#REF!,"AAAAAHf/vTo=")</f>
        <v>#REF!</v>
      </c>
      <c r="BH23" t="str">
        <f>AND(#REF!,"AAAAAHf/vTs=")</f>
        <v>#REF!</v>
      </c>
      <c r="BI23" t="str">
        <f>AND(#REF!,"AAAAAHf/vTw=")</f>
        <v>#REF!</v>
      </c>
      <c r="BJ23" t="str">
        <f>AND(#REF!,"AAAAAHf/vT0=")</f>
        <v>#REF!</v>
      </c>
      <c r="BK23" t="str">
        <f>AND(#REF!,"AAAAAHf/vT4=")</f>
        <v>#REF!</v>
      </c>
      <c r="BL23" t="str">
        <f>AND(#REF!,"AAAAAHf/vT8=")</f>
        <v>#REF!</v>
      </c>
      <c r="BM23" t="str">
        <f>AND(#REF!,"AAAAAHf/vUA=")</f>
        <v>#REF!</v>
      </c>
      <c r="BN23" t="str">
        <f>AND(#REF!,"AAAAAHf/vUE=")</f>
        <v>#REF!</v>
      </c>
      <c r="BO23" t="str">
        <f>AND(#REF!,"AAAAAHf/vUI=")</f>
        <v>#REF!</v>
      </c>
      <c r="BP23" t="str">
        <f>AND(#REF!,"AAAAAHf/vUM=")</f>
        <v>#REF!</v>
      </c>
      <c r="BQ23" t="str">
        <f>AND(#REF!,"AAAAAHf/vUQ=")</f>
        <v>#REF!</v>
      </c>
      <c r="BR23" t="str">
        <f>AND(#REF!,"AAAAAHf/vUU=")</f>
        <v>#REF!</v>
      </c>
      <c r="BS23" t="str">
        <f>AND(#REF!,"AAAAAHf/vUY=")</f>
        <v>#REF!</v>
      </c>
      <c r="BT23" t="str">
        <f>AND(#REF!,"AAAAAHf/vUc=")</f>
        <v>#REF!</v>
      </c>
      <c r="BU23" t="str">
        <f>AND(#REF!,"AAAAAHf/vUg=")</f>
        <v>#REF!</v>
      </c>
      <c r="BV23" t="str">
        <f>AND(#REF!,"AAAAAHf/vUk=")</f>
        <v>#REF!</v>
      </c>
      <c r="BW23" t="str">
        <f>AND(#REF!,"AAAAAHf/vUo=")</f>
        <v>#REF!</v>
      </c>
      <c r="BX23" t="str">
        <f>AND(#REF!,"AAAAAHf/vUs=")</f>
        <v>#REF!</v>
      </c>
      <c r="BY23" t="str">
        <f>AND(#REF!,"AAAAAHf/vUw=")</f>
        <v>#REF!</v>
      </c>
      <c r="BZ23" t="str">
        <f>AND(#REF!,"AAAAAHf/vU0=")</f>
        <v>#REF!</v>
      </c>
      <c r="CA23" t="str">
        <f>AND(#REF!,"AAAAAHf/vU4=")</f>
        <v>#REF!</v>
      </c>
      <c r="CB23" t="str">
        <f>AND(#REF!,"AAAAAHf/vU8=")</f>
        <v>#REF!</v>
      </c>
      <c r="CC23" t="str">
        <f>AND(#REF!,"AAAAAHf/vVA=")</f>
        <v>#REF!</v>
      </c>
      <c r="CD23" t="str">
        <f>AND(#REF!,"AAAAAHf/vVE=")</f>
        <v>#REF!</v>
      </c>
      <c r="CE23" t="str">
        <f>AND(#REF!,"AAAAAHf/vVI=")</f>
        <v>#REF!</v>
      </c>
      <c r="CF23" t="str">
        <f>AND(#REF!,"AAAAAHf/vVM=")</f>
        <v>#REF!</v>
      </c>
      <c r="CG23" t="str">
        <f>AND(#REF!,"AAAAAHf/vVQ=")</f>
        <v>#REF!</v>
      </c>
      <c r="CH23" t="str">
        <f>AND(#REF!,"AAAAAHf/vVU=")</f>
        <v>#REF!</v>
      </c>
      <c r="CI23" t="str">
        <f>AND(#REF!,"AAAAAHf/vVY=")</f>
        <v>#REF!</v>
      </c>
      <c r="CJ23" t="str">
        <f>AND(#REF!,"AAAAAHf/vVc=")</f>
        <v>#REF!</v>
      </c>
      <c r="CK23" t="str">
        <f>AND(#REF!,"AAAAAHf/vVg=")</f>
        <v>#REF!</v>
      </c>
      <c r="CL23" t="str">
        <f>AND(#REF!,"AAAAAHf/vVk=")</f>
        <v>#REF!</v>
      </c>
      <c r="CM23" t="str">
        <f>AND(#REF!,"AAAAAHf/vVo=")</f>
        <v>#REF!</v>
      </c>
      <c r="CN23" t="str">
        <f>AND(#REF!,"AAAAAHf/vVs=")</f>
        <v>#REF!</v>
      </c>
      <c r="CO23" t="str">
        <f>AND(#REF!,"AAAAAHf/vVw=")</f>
        <v>#REF!</v>
      </c>
      <c r="CP23" t="str">
        <f>AND(#REF!,"AAAAAHf/vV0=")</f>
        <v>#REF!</v>
      </c>
      <c r="CQ23" t="str">
        <f>AND(#REF!,"AAAAAHf/vV4=")</f>
        <v>#REF!</v>
      </c>
      <c r="CR23" t="str">
        <f>AND(#REF!,"AAAAAHf/vV8=")</f>
        <v>#REF!</v>
      </c>
      <c r="CS23" t="str">
        <f>AND(#REF!,"AAAAAHf/vWA=")</f>
        <v>#REF!</v>
      </c>
      <c r="CT23" t="str">
        <f>AND(#REF!,"AAAAAHf/vWE=")</f>
        <v>#REF!</v>
      </c>
      <c r="CU23" t="str">
        <f>AND(#REF!,"AAAAAHf/vWI=")</f>
        <v>#REF!</v>
      </c>
      <c r="CV23" t="str">
        <f>AND(#REF!,"AAAAAHf/vWM=")</f>
        <v>#REF!</v>
      </c>
      <c r="CW23" t="str">
        <f>AND(#REF!,"AAAAAHf/vWQ=")</f>
        <v>#REF!</v>
      </c>
      <c r="CX23" t="str">
        <f>AND(#REF!,"AAAAAHf/vWU=")</f>
        <v>#REF!</v>
      </c>
      <c r="CY23" t="str">
        <f>AND(#REF!,"AAAAAHf/vWY=")</f>
        <v>#REF!</v>
      </c>
      <c r="CZ23" t="str">
        <f>AND(#REF!,"AAAAAHf/vWc=")</f>
        <v>#REF!</v>
      </c>
      <c r="DA23" t="str">
        <f>AND(#REF!,"AAAAAHf/vWg=")</f>
        <v>#REF!</v>
      </c>
      <c r="DB23" t="str">
        <f>AND(#REF!,"AAAAAHf/vWk=")</f>
        <v>#REF!</v>
      </c>
      <c r="DC23" t="str">
        <f>AND(#REF!,"AAAAAHf/vWo=")</f>
        <v>#REF!</v>
      </c>
      <c r="DD23" t="str">
        <f>AND(#REF!,"AAAAAHf/vWs=")</f>
        <v>#REF!</v>
      </c>
      <c r="DE23" t="str">
        <f>AND(#REF!,"AAAAAHf/vWw=")</f>
        <v>#REF!</v>
      </c>
      <c r="DF23" t="str">
        <f>AND(#REF!,"AAAAAHf/vW0=")</f>
        <v>#REF!</v>
      </c>
      <c r="DG23" t="str">
        <f>AND(#REF!,"AAAAAHf/vW4=")</f>
        <v>#REF!</v>
      </c>
      <c r="DH23" t="str">
        <f>AND(#REF!,"AAAAAHf/vW8=")</f>
        <v>#REF!</v>
      </c>
      <c r="DI23" t="str">
        <f>AND(#REF!,"AAAAAHf/vXA=")</f>
        <v>#REF!</v>
      </c>
      <c r="DJ23" t="str">
        <f>AND(#REF!,"AAAAAHf/vXE=")</f>
        <v>#REF!</v>
      </c>
      <c r="DK23" t="str">
        <f>AND(#REF!,"AAAAAHf/vXI=")</f>
        <v>#REF!</v>
      </c>
      <c r="DL23" t="str">
        <f>AND(#REF!,"AAAAAHf/vXM=")</f>
        <v>#REF!</v>
      </c>
      <c r="DM23" t="str">
        <f>AND(#REF!,"AAAAAHf/vXQ=")</f>
        <v>#REF!</v>
      </c>
      <c r="DN23" t="str">
        <f>AND(#REF!,"AAAAAHf/vXU=")</f>
        <v>#REF!</v>
      </c>
      <c r="DO23" t="str">
        <f>IF(#REF!,"AAAAAHf/vXY=",0)</f>
        <v>#REF!</v>
      </c>
      <c r="DP23" t="str">
        <f>AND(#REF!,"AAAAAHf/vXc=")</f>
        <v>#REF!</v>
      </c>
      <c r="DQ23" t="str">
        <f>AND(#REF!,"AAAAAHf/vXg=")</f>
        <v>#REF!</v>
      </c>
      <c r="DR23" t="str">
        <f>AND(#REF!,"AAAAAHf/vXk=")</f>
        <v>#REF!</v>
      </c>
      <c r="DS23" t="str">
        <f>AND(#REF!,"AAAAAHf/vXo=")</f>
        <v>#REF!</v>
      </c>
      <c r="DT23" t="str">
        <f>AND(#REF!,"AAAAAHf/vXs=")</f>
        <v>#REF!</v>
      </c>
      <c r="DU23" t="str">
        <f>AND(#REF!,"AAAAAHf/vXw=")</f>
        <v>#REF!</v>
      </c>
      <c r="DV23" t="str">
        <f>AND(#REF!,"AAAAAHf/vX0=")</f>
        <v>#REF!</v>
      </c>
      <c r="DW23" t="str">
        <f>AND(#REF!,"AAAAAHf/vX4=")</f>
        <v>#REF!</v>
      </c>
      <c r="DX23" t="str">
        <f>AND(#REF!,"AAAAAHf/vX8=")</f>
        <v>#REF!</v>
      </c>
      <c r="DY23" t="str">
        <f>AND(#REF!,"AAAAAHf/vYA=")</f>
        <v>#REF!</v>
      </c>
      <c r="DZ23" t="str">
        <f>AND(#REF!,"AAAAAHf/vYE=")</f>
        <v>#REF!</v>
      </c>
      <c r="EA23" t="str">
        <f>AND(#REF!,"AAAAAHf/vYI=")</f>
        <v>#REF!</v>
      </c>
      <c r="EB23" t="str">
        <f>AND(#REF!,"AAAAAHf/vYM=")</f>
        <v>#REF!</v>
      </c>
      <c r="EC23" t="str">
        <f>AND(#REF!,"AAAAAHf/vYQ=")</f>
        <v>#REF!</v>
      </c>
      <c r="ED23" t="str">
        <f>AND(#REF!,"AAAAAHf/vYU=")</f>
        <v>#REF!</v>
      </c>
      <c r="EE23" t="str">
        <f>AND(#REF!,"AAAAAHf/vYY=")</f>
        <v>#REF!</v>
      </c>
      <c r="EF23" t="str">
        <f>AND(#REF!,"AAAAAHf/vYc=")</f>
        <v>#REF!</v>
      </c>
      <c r="EG23" t="str">
        <f>AND(#REF!,"AAAAAHf/vYg=")</f>
        <v>#REF!</v>
      </c>
      <c r="EH23" t="str">
        <f>AND(#REF!,"AAAAAHf/vYk=")</f>
        <v>#REF!</v>
      </c>
      <c r="EI23" t="str">
        <f>AND(#REF!,"AAAAAHf/vYo=")</f>
        <v>#REF!</v>
      </c>
      <c r="EJ23" t="str">
        <f>AND(#REF!,"AAAAAHf/vYs=")</f>
        <v>#REF!</v>
      </c>
      <c r="EK23" t="str">
        <f>AND(#REF!,"AAAAAHf/vYw=")</f>
        <v>#REF!</v>
      </c>
      <c r="EL23" t="str">
        <f>AND(#REF!,"AAAAAHf/vY0=")</f>
        <v>#REF!</v>
      </c>
      <c r="EM23" t="str">
        <f>AND(#REF!,"AAAAAHf/vY4=")</f>
        <v>#REF!</v>
      </c>
      <c r="EN23" t="str">
        <f>AND(#REF!,"AAAAAHf/vY8=")</f>
        <v>#REF!</v>
      </c>
      <c r="EO23" t="str">
        <f>AND(#REF!,"AAAAAHf/vZA=")</f>
        <v>#REF!</v>
      </c>
      <c r="EP23" t="str">
        <f>AND(#REF!,"AAAAAHf/vZE=")</f>
        <v>#REF!</v>
      </c>
      <c r="EQ23" t="str">
        <f>AND(#REF!,"AAAAAHf/vZI=")</f>
        <v>#REF!</v>
      </c>
      <c r="ER23" t="str">
        <f>AND(#REF!,"AAAAAHf/vZM=")</f>
        <v>#REF!</v>
      </c>
      <c r="ES23" t="str">
        <f>AND(#REF!,"AAAAAHf/vZQ=")</f>
        <v>#REF!</v>
      </c>
      <c r="ET23" t="str">
        <f>AND(#REF!,"AAAAAHf/vZU=")</f>
        <v>#REF!</v>
      </c>
      <c r="EU23" t="str">
        <f>AND(#REF!,"AAAAAHf/vZY=")</f>
        <v>#REF!</v>
      </c>
      <c r="EV23" t="str">
        <f>AND(#REF!,"AAAAAHf/vZc=")</f>
        <v>#REF!</v>
      </c>
      <c r="EW23" t="str">
        <f>AND(#REF!,"AAAAAHf/vZg=")</f>
        <v>#REF!</v>
      </c>
      <c r="EX23" t="str">
        <f>AND(#REF!,"AAAAAHf/vZk=")</f>
        <v>#REF!</v>
      </c>
      <c r="EY23" t="str">
        <f>AND(#REF!,"AAAAAHf/vZo=")</f>
        <v>#REF!</v>
      </c>
      <c r="EZ23" t="str">
        <f>AND(#REF!,"AAAAAHf/vZs=")</f>
        <v>#REF!</v>
      </c>
      <c r="FA23" t="str">
        <f>AND(#REF!,"AAAAAHf/vZw=")</f>
        <v>#REF!</v>
      </c>
      <c r="FB23" t="str">
        <f>AND(#REF!,"AAAAAHf/vZ0=")</f>
        <v>#REF!</v>
      </c>
      <c r="FC23" t="str">
        <f>AND(#REF!,"AAAAAHf/vZ4=")</f>
        <v>#REF!</v>
      </c>
      <c r="FD23" t="str">
        <f>AND(#REF!,"AAAAAHf/vZ8=")</f>
        <v>#REF!</v>
      </c>
      <c r="FE23" t="str">
        <f>AND(#REF!,"AAAAAHf/vaA=")</f>
        <v>#REF!</v>
      </c>
      <c r="FF23" t="str">
        <f>AND(#REF!,"AAAAAHf/vaE=")</f>
        <v>#REF!</v>
      </c>
      <c r="FG23" t="str">
        <f>AND(#REF!,"AAAAAHf/vaI=")</f>
        <v>#REF!</v>
      </c>
      <c r="FH23" t="str">
        <f>AND(#REF!,"AAAAAHf/vaM=")</f>
        <v>#REF!</v>
      </c>
      <c r="FI23" t="str">
        <f>AND(#REF!,"AAAAAHf/vaQ=")</f>
        <v>#REF!</v>
      </c>
      <c r="FJ23" t="str">
        <f>AND(#REF!,"AAAAAHf/vaU=")</f>
        <v>#REF!</v>
      </c>
      <c r="FK23" t="str">
        <f>AND(#REF!,"AAAAAHf/vaY=")</f>
        <v>#REF!</v>
      </c>
      <c r="FL23" t="str">
        <f>AND(#REF!,"AAAAAHf/vac=")</f>
        <v>#REF!</v>
      </c>
      <c r="FM23" t="str">
        <f>AND(#REF!,"AAAAAHf/vag=")</f>
        <v>#REF!</v>
      </c>
      <c r="FN23" t="str">
        <f>AND(#REF!,"AAAAAHf/vak=")</f>
        <v>#REF!</v>
      </c>
      <c r="FO23" t="str">
        <f>AND(#REF!,"AAAAAHf/vao=")</f>
        <v>#REF!</v>
      </c>
      <c r="FP23" t="str">
        <f>AND(#REF!,"AAAAAHf/vas=")</f>
        <v>#REF!</v>
      </c>
      <c r="FQ23" t="str">
        <f>AND(#REF!,"AAAAAHf/vaw=")</f>
        <v>#REF!</v>
      </c>
      <c r="FR23" t="str">
        <f>AND(#REF!,"AAAAAHf/va0=")</f>
        <v>#REF!</v>
      </c>
      <c r="FS23" t="str">
        <f>AND(#REF!,"AAAAAHf/va4=")</f>
        <v>#REF!</v>
      </c>
      <c r="FT23" t="str">
        <f>AND(#REF!,"AAAAAHf/va8=")</f>
        <v>#REF!</v>
      </c>
      <c r="FU23" t="str">
        <f>AND(#REF!,"AAAAAHf/vbA=")</f>
        <v>#REF!</v>
      </c>
      <c r="FV23" t="str">
        <f>AND(#REF!,"AAAAAHf/vbE=")</f>
        <v>#REF!</v>
      </c>
      <c r="FW23" t="str">
        <f>AND(#REF!,"AAAAAHf/vbI=")</f>
        <v>#REF!</v>
      </c>
      <c r="FX23" t="str">
        <f>AND(#REF!,"AAAAAHf/vbM=")</f>
        <v>#REF!</v>
      </c>
      <c r="FY23" t="str">
        <f>AND(#REF!,"AAAAAHf/vbQ=")</f>
        <v>#REF!</v>
      </c>
      <c r="FZ23" t="str">
        <f>AND(#REF!,"AAAAAHf/vbU=")</f>
        <v>#REF!</v>
      </c>
      <c r="GA23" t="str">
        <f>AND(#REF!,"AAAAAHf/vbY=")</f>
        <v>#REF!</v>
      </c>
      <c r="GB23" t="str">
        <f>AND(#REF!,"AAAAAHf/vbc=")</f>
        <v>#REF!</v>
      </c>
      <c r="GC23" t="str">
        <f>AND(#REF!,"AAAAAHf/vbg=")</f>
        <v>#REF!</v>
      </c>
      <c r="GD23" t="str">
        <f>AND(#REF!,"AAAAAHf/vbk=")</f>
        <v>#REF!</v>
      </c>
      <c r="GE23" t="str">
        <f>AND(#REF!,"AAAAAHf/vbo=")</f>
        <v>#REF!</v>
      </c>
      <c r="GF23" t="str">
        <f>AND(#REF!,"AAAAAHf/vbs=")</f>
        <v>#REF!</v>
      </c>
      <c r="GG23" t="str">
        <f>AND(#REF!,"AAAAAHf/vbw=")</f>
        <v>#REF!</v>
      </c>
      <c r="GH23" t="str">
        <f>AND(#REF!,"AAAAAHf/vb0=")</f>
        <v>#REF!</v>
      </c>
      <c r="GI23" t="str">
        <f>AND(#REF!,"AAAAAHf/vb4=")</f>
        <v>#REF!</v>
      </c>
      <c r="GJ23" t="str">
        <f>AND(#REF!,"AAAAAHf/vb8=")</f>
        <v>#REF!</v>
      </c>
      <c r="GK23" t="str">
        <f>AND(#REF!,"AAAAAHf/vcA=")</f>
        <v>#REF!</v>
      </c>
      <c r="GL23" t="str">
        <f>AND(#REF!,"AAAAAHf/vcE=")</f>
        <v>#REF!</v>
      </c>
      <c r="GM23" t="str">
        <f>IF(#REF!,"AAAAAHf/vcI=",0)</f>
        <v>#REF!</v>
      </c>
      <c r="GN23" t="str">
        <f>AND(#REF!,"AAAAAHf/vcM=")</f>
        <v>#REF!</v>
      </c>
      <c r="GO23" t="str">
        <f>AND(#REF!,"AAAAAHf/vcQ=")</f>
        <v>#REF!</v>
      </c>
      <c r="GP23" t="str">
        <f>AND(#REF!,"AAAAAHf/vcU=")</f>
        <v>#REF!</v>
      </c>
      <c r="GQ23" t="str">
        <f>AND(#REF!,"AAAAAHf/vcY=")</f>
        <v>#REF!</v>
      </c>
      <c r="GR23" t="str">
        <f>AND(#REF!,"AAAAAHf/vcc=")</f>
        <v>#REF!</v>
      </c>
      <c r="GS23" t="str">
        <f>AND(#REF!,"AAAAAHf/vcg=")</f>
        <v>#REF!</v>
      </c>
      <c r="GT23" t="str">
        <f>AND(#REF!,"AAAAAHf/vck=")</f>
        <v>#REF!</v>
      </c>
      <c r="GU23" t="str">
        <f>AND(#REF!,"AAAAAHf/vco=")</f>
        <v>#REF!</v>
      </c>
      <c r="GV23" t="str">
        <f>AND(#REF!,"AAAAAHf/vcs=")</f>
        <v>#REF!</v>
      </c>
      <c r="GW23" t="str">
        <f>AND(#REF!,"AAAAAHf/vcw=")</f>
        <v>#REF!</v>
      </c>
      <c r="GX23" t="str">
        <f>AND(#REF!,"AAAAAHf/vc0=")</f>
        <v>#REF!</v>
      </c>
      <c r="GY23" t="str">
        <f>AND(#REF!,"AAAAAHf/vc4=")</f>
        <v>#REF!</v>
      </c>
      <c r="GZ23" t="str">
        <f>AND(#REF!,"AAAAAHf/vc8=")</f>
        <v>#REF!</v>
      </c>
      <c r="HA23" t="str">
        <f>AND(#REF!,"AAAAAHf/vdA=")</f>
        <v>#REF!</v>
      </c>
      <c r="HB23" t="str">
        <f>AND(#REF!,"AAAAAHf/vdE=")</f>
        <v>#REF!</v>
      </c>
      <c r="HC23" t="str">
        <f>AND(#REF!,"AAAAAHf/vdI=")</f>
        <v>#REF!</v>
      </c>
      <c r="HD23" t="str">
        <f>AND(#REF!,"AAAAAHf/vdM=")</f>
        <v>#REF!</v>
      </c>
      <c r="HE23" t="str">
        <f>AND(#REF!,"AAAAAHf/vdQ=")</f>
        <v>#REF!</v>
      </c>
      <c r="HF23" t="str">
        <f>AND(#REF!,"AAAAAHf/vdU=")</f>
        <v>#REF!</v>
      </c>
      <c r="HG23" t="str">
        <f>AND(#REF!,"AAAAAHf/vdY=")</f>
        <v>#REF!</v>
      </c>
      <c r="HH23" t="str">
        <f>AND(#REF!,"AAAAAHf/vdc=")</f>
        <v>#REF!</v>
      </c>
      <c r="HI23" t="str">
        <f>AND(#REF!,"AAAAAHf/vdg=")</f>
        <v>#REF!</v>
      </c>
      <c r="HJ23" t="str">
        <f>AND(#REF!,"AAAAAHf/vdk=")</f>
        <v>#REF!</v>
      </c>
      <c r="HK23" t="str">
        <f>AND(#REF!,"AAAAAHf/vdo=")</f>
        <v>#REF!</v>
      </c>
      <c r="HL23" t="str">
        <f>AND(#REF!,"AAAAAHf/vds=")</f>
        <v>#REF!</v>
      </c>
      <c r="HM23" t="str">
        <f>AND(#REF!,"AAAAAHf/vdw=")</f>
        <v>#REF!</v>
      </c>
      <c r="HN23" t="str">
        <f>AND(#REF!,"AAAAAHf/vd0=")</f>
        <v>#REF!</v>
      </c>
      <c r="HO23" t="str">
        <f>AND(#REF!,"AAAAAHf/vd4=")</f>
        <v>#REF!</v>
      </c>
      <c r="HP23" t="str">
        <f>AND(#REF!,"AAAAAHf/vd8=")</f>
        <v>#REF!</v>
      </c>
      <c r="HQ23" t="str">
        <f>AND(#REF!,"AAAAAHf/veA=")</f>
        <v>#REF!</v>
      </c>
      <c r="HR23" t="str">
        <f>AND(#REF!,"AAAAAHf/veE=")</f>
        <v>#REF!</v>
      </c>
      <c r="HS23" t="str">
        <f>AND(#REF!,"AAAAAHf/veI=")</f>
        <v>#REF!</v>
      </c>
      <c r="HT23" t="str">
        <f>AND(#REF!,"AAAAAHf/veM=")</f>
        <v>#REF!</v>
      </c>
      <c r="HU23" t="str">
        <f>AND(#REF!,"AAAAAHf/veQ=")</f>
        <v>#REF!</v>
      </c>
      <c r="HV23" t="str">
        <f>AND(#REF!,"AAAAAHf/veU=")</f>
        <v>#REF!</v>
      </c>
      <c r="HW23" t="str">
        <f>AND(#REF!,"AAAAAHf/veY=")</f>
        <v>#REF!</v>
      </c>
      <c r="HX23" t="str">
        <f>AND(#REF!,"AAAAAHf/vec=")</f>
        <v>#REF!</v>
      </c>
      <c r="HY23" t="str">
        <f>AND(#REF!,"AAAAAHf/veg=")</f>
        <v>#REF!</v>
      </c>
      <c r="HZ23" t="str">
        <f>AND(#REF!,"AAAAAHf/vek=")</f>
        <v>#REF!</v>
      </c>
      <c r="IA23" t="str">
        <f>AND(#REF!,"AAAAAHf/veo=")</f>
        <v>#REF!</v>
      </c>
      <c r="IB23" t="str">
        <f>AND(#REF!,"AAAAAHf/ves=")</f>
        <v>#REF!</v>
      </c>
      <c r="IC23" t="str">
        <f>AND(#REF!,"AAAAAHf/vew=")</f>
        <v>#REF!</v>
      </c>
      <c r="ID23" t="str">
        <f>AND(#REF!,"AAAAAHf/ve0=")</f>
        <v>#REF!</v>
      </c>
      <c r="IE23" t="str">
        <f>AND(#REF!,"AAAAAHf/ve4=")</f>
        <v>#REF!</v>
      </c>
      <c r="IF23" t="str">
        <f>AND(#REF!,"AAAAAHf/ve8=")</f>
        <v>#REF!</v>
      </c>
      <c r="IG23" t="str">
        <f>AND(#REF!,"AAAAAHf/vfA=")</f>
        <v>#REF!</v>
      </c>
      <c r="IH23" t="str">
        <f>AND(#REF!,"AAAAAHf/vfE=")</f>
        <v>#REF!</v>
      </c>
      <c r="II23" t="str">
        <f>AND(#REF!,"AAAAAHf/vfI=")</f>
        <v>#REF!</v>
      </c>
      <c r="IJ23" t="str">
        <f>AND(#REF!,"AAAAAHf/vfM=")</f>
        <v>#REF!</v>
      </c>
      <c r="IK23" t="str">
        <f>AND(#REF!,"AAAAAHf/vfQ=")</f>
        <v>#REF!</v>
      </c>
      <c r="IL23" t="str">
        <f>AND(#REF!,"AAAAAHf/vfU=")</f>
        <v>#REF!</v>
      </c>
      <c r="IM23" t="str">
        <f>AND(#REF!,"AAAAAHf/vfY=")</f>
        <v>#REF!</v>
      </c>
      <c r="IN23" t="str">
        <f>AND(#REF!,"AAAAAHf/vfc=")</f>
        <v>#REF!</v>
      </c>
      <c r="IO23" t="str">
        <f>AND(#REF!,"AAAAAHf/vfg=")</f>
        <v>#REF!</v>
      </c>
      <c r="IP23" t="str">
        <f>AND(#REF!,"AAAAAHf/vfk=")</f>
        <v>#REF!</v>
      </c>
      <c r="IQ23" t="str">
        <f>AND(#REF!,"AAAAAHf/vfo=")</f>
        <v>#REF!</v>
      </c>
      <c r="IR23" t="str">
        <f>AND(#REF!,"AAAAAHf/vfs=")</f>
        <v>#REF!</v>
      </c>
      <c r="IS23" t="str">
        <f>AND(#REF!,"AAAAAHf/vfw=")</f>
        <v>#REF!</v>
      </c>
      <c r="IT23" t="str">
        <f>AND(#REF!,"AAAAAHf/vf0=")</f>
        <v>#REF!</v>
      </c>
      <c r="IU23" t="str">
        <f>AND(#REF!,"AAAAAHf/vf4=")</f>
        <v>#REF!</v>
      </c>
      <c r="IV23" t="str">
        <f>AND(#REF!,"AAAAAHf/vf8=")</f>
        <v>#REF!</v>
      </c>
    </row>
    <row r="24" ht="15.75" customHeight="1">
      <c r="A24" t="str">
        <f>AND(#REF!,"AAAAAC/eXwA=")</f>
        <v>#REF!</v>
      </c>
      <c r="B24" t="str">
        <f>AND(#REF!,"AAAAAC/eXwE=")</f>
        <v>#REF!</v>
      </c>
      <c r="C24" t="str">
        <f>AND(#REF!,"AAAAAC/eXwI=")</f>
        <v>#REF!</v>
      </c>
      <c r="D24" t="str">
        <f>AND(#REF!,"AAAAAC/eXwM=")</f>
        <v>#REF!</v>
      </c>
      <c r="E24" t="str">
        <f>AND(#REF!,"AAAAAC/eXwQ=")</f>
        <v>#REF!</v>
      </c>
      <c r="F24" t="str">
        <f>AND(#REF!,"AAAAAC/eXwU=")</f>
        <v>#REF!</v>
      </c>
      <c r="G24" t="str">
        <f>AND(#REF!,"AAAAAC/eXwY=")</f>
        <v>#REF!</v>
      </c>
      <c r="H24" t="str">
        <f>AND(#REF!,"AAAAAC/eXwc=")</f>
        <v>#REF!</v>
      </c>
      <c r="I24" t="str">
        <f>AND(#REF!,"AAAAAC/eXwg=")</f>
        <v>#REF!</v>
      </c>
      <c r="J24" t="str">
        <f>AND(#REF!,"AAAAAC/eXwk=")</f>
        <v>#REF!</v>
      </c>
      <c r="K24" t="str">
        <f>AND(#REF!,"AAAAAC/eXwo=")</f>
        <v>#REF!</v>
      </c>
      <c r="L24" t="str">
        <f>AND(#REF!,"AAAAAC/eXws=")</f>
        <v>#REF!</v>
      </c>
      <c r="M24" t="str">
        <f>AND(#REF!,"AAAAAC/eXww=")</f>
        <v>#REF!</v>
      </c>
      <c r="N24" t="str">
        <f>AND(#REF!,"AAAAAC/eXw0=")</f>
        <v>#REF!</v>
      </c>
      <c r="O24" t="str">
        <f>IF(#REF!,"AAAAAC/eXw4=",0)</f>
        <v>#REF!</v>
      </c>
      <c r="P24" t="str">
        <f>AND(#REF!,"AAAAAC/eXw8=")</f>
        <v>#REF!</v>
      </c>
      <c r="Q24" t="str">
        <f>AND(#REF!,"AAAAAC/eXxA=")</f>
        <v>#REF!</v>
      </c>
      <c r="R24" t="str">
        <f>AND(#REF!,"AAAAAC/eXxE=")</f>
        <v>#REF!</v>
      </c>
      <c r="S24" t="str">
        <f>AND(#REF!,"AAAAAC/eXxI=")</f>
        <v>#REF!</v>
      </c>
      <c r="T24" t="str">
        <f>AND(#REF!,"AAAAAC/eXxM=")</f>
        <v>#REF!</v>
      </c>
      <c r="U24" t="str">
        <f>AND(#REF!,"AAAAAC/eXxQ=")</f>
        <v>#REF!</v>
      </c>
      <c r="V24" t="str">
        <f>AND(#REF!,"AAAAAC/eXxU=")</f>
        <v>#REF!</v>
      </c>
      <c r="W24" t="str">
        <f>AND(#REF!,"AAAAAC/eXxY=")</f>
        <v>#REF!</v>
      </c>
      <c r="X24" t="str">
        <f>AND(#REF!,"AAAAAC/eXxc=")</f>
        <v>#REF!</v>
      </c>
      <c r="Y24" t="str">
        <f>AND(#REF!,"AAAAAC/eXxg=")</f>
        <v>#REF!</v>
      </c>
      <c r="Z24" t="str">
        <f>AND(#REF!,"AAAAAC/eXxk=")</f>
        <v>#REF!</v>
      </c>
      <c r="AA24" t="str">
        <f>AND(#REF!,"AAAAAC/eXxo=")</f>
        <v>#REF!</v>
      </c>
      <c r="AB24" t="str">
        <f>AND(#REF!,"AAAAAC/eXxs=")</f>
        <v>#REF!</v>
      </c>
      <c r="AC24" t="str">
        <f>AND(#REF!,"AAAAAC/eXxw=")</f>
        <v>#REF!</v>
      </c>
      <c r="AD24" t="str">
        <f>AND(#REF!,"AAAAAC/eXx0=")</f>
        <v>#REF!</v>
      </c>
      <c r="AE24" t="str">
        <f>AND(#REF!,"AAAAAC/eXx4=")</f>
        <v>#REF!</v>
      </c>
      <c r="AF24" t="str">
        <f>AND(#REF!,"AAAAAC/eXx8=")</f>
        <v>#REF!</v>
      </c>
      <c r="AG24" t="str">
        <f>AND(#REF!,"AAAAAC/eXyA=")</f>
        <v>#REF!</v>
      </c>
      <c r="AH24" t="str">
        <f>AND(#REF!,"AAAAAC/eXyE=")</f>
        <v>#REF!</v>
      </c>
      <c r="AI24" t="str">
        <f>AND(#REF!,"AAAAAC/eXyI=")</f>
        <v>#REF!</v>
      </c>
      <c r="AJ24" t="str">
        <f>AND(#REF!,"AAAAAC/eXyM=")</f>
        <v>#REF!</v>
      </c>
      <c r="AK24" t="str">
        <f>AND(#REF!,"AAAAAC/eXyQ=")</f>
        <v>#REF!</v>
      </c>
      <c r="AL24" t="str">
        <f>AND(#REF!,"AAAAAC/eXyU=")</f>
        <v>#REF!</v>
      </c>
      <c r="AM24" t="str">
        <f>AND(#REF!,"AAAAAC/eXyY=")</f>
        <v>#REF!</v>
      </c>
      <c r="AN24" t="str">
        <f>AND(#REF!,"AAAAAC/eXyc=")</f>
        <v>#REF!</v>
      </c>
      <c r="AO24" t="str">
        <f>AND(#REF!,"AAAAAC/eXyg=")</f>
        <v>#REF!</v>
      </c>
      <c r="AP24" t="str">
        <f>AND(#REF!,"AAAAAC/eXyk=")</f>
        <v>#REF!</v>
      </c>
      <c r="AQ24" t="str">
        <f>AND(#REF!,"AAAAAC/eXyo=")</f>
        <v>#REF!</v>
      </c>
      <c r="AR24" t="str">
        <f>AND(#REF!,"AAAAAC/eXys=")</f>
        <v>#REF!</v>
      </c>
      <c r="AS24" t="str">
        <f>AND(#REF!,"AAAAAC/eXyw=")</f>
        <v>#REF!</v>
      </c>
      <c r="AT24" t="str">
        <f>AND(#REF!,"AAAAAC/eXy0=")</f>
        <v>#REF!</v>
      </c>
      <c r="AU24" t="str">
        <f>AND(#REF!,"AAAAAC/eXy4=")</f>
        <v>#REF!</v>
      </c>
      <c r="AV24" t="str">
        <f>AND(#REF!,"AAAAAC/eXy8=")</f>
        <v>#REF!</v>
      </c>
      <c r="AW24" t="str">
        <f>AND(#REF!,"AAAAAC/eXzA=")</f>
        <v>#REF!</v>
      </c>
      <c r="AX24" t="str">
        <f>AND(#REF!,"AAAAAC/eXzE=")</f>
        <v>#REF!</v>
      </c>
      <c r="AY24" t="str">
        <f>AND(#REF!,"AAAAAC/eXzI=")</f>
        <v>#REF!</v>
      </c>
      <c r="AZ24" t="str">
        <f>AND(#REF!,"AAAAAC/eXzM=")</f>
        <v>#REF!</v>
      </c>
      <c r="BA24" t="str">
        <f>AND(#REF!,"AAAAAC/eXzQ=")</f>
        <v>#REF!</v>
      </c>
      <c r="BB24" t="str">
        <f>AND(#REF!,"AAAAAC/eXzU=")</f>
        <v>#REF!</v>
      </c>
      <c r="BC24" t="str">
        <f>AND(#REF!,"AAAAAC/eXzY=")</f>
        <v>#REF!</v>
      </c>
      <c r="BD24" t="str">
        <f>AND(#REF!,"AAAAAC/eXzc=")</f>
        <v>#REF!</v>
      </c>
      <c r="BE24" t="str">
        <f>AND(#REF!,"AAAAAC/eXzg=")</f>
        <v>#REF!</v>
      </c>
      <c r="BF24" t="str">
        <f>AND(#REF!,"AAAAAC/eXzk=")</f>
        <v>#REF!</v>
      </c>
      <c r="BG24" t="str">
        <f>AND(#REF!,"AAAAAC/eXzo=")</f>
        <v>#REF!</v>
      </c>
      <c r="BH24" t="str">
        <f>AND(#REF!,"AAAAAC/eXzs=")</f>
        <v>#REF!</v>
      </c>
      <c r="BI24" t="str">
        <f>AND(#REF!,"AAAAAC/eXzw=")</f>
        <v>#REF!</v>
      </c>
      <c r="BJ24" t="str">
        <f>AND(#REF!,"AAAAAC/eXz0=")</f>
        <v>#REF!</v>
      </c>
      <c r="BK24" t="str">
        <f>AND(#REF!,"AAAAAC/eXz4=")</f>
        <v>#REF!</v>
      </c>
      <c r="BL24" t="str">
        <f>AND(#REF!,"AAAAAC/eXz8=")</f>
        <v>#REF!</v>
      </c>
      <c r="BM24" t="str">
        <f>AND(#REF!,"AAAAAC/eX0A=")</f>
        <v>#REF!</v>
      </c>
      <c r="BN24" t="str">
        <f>AND(#REF!,"AAAAAC/eX0E=")</f>
        <v>#REF!</v>
      </c>
      <c r="BO24" t="str">
        <f>AND(#REF!,"AAAAAC/eX0I=")</f>
        <v>#REF!</v>
      </c>
      <c r="BP24" t="str">
        <f>AND(#REF!,"AAAAAC/eX0M=")</f>
        <v>#REF!</v>
      </c>
      <c r="BQ24" t="str">
        <f>AND(#REF!,"AAAAAC/eX0Q=")</f>
        <v>#REF!</v>
      </c>
      <c r="BR24" t="str">
        <f>AND(#REF!,"AAAAAC/eX0U=")</f>
        <v>#REF!</v>
      </c>
      <c r="BS24" t="str">
        <f>AND(#REF!,"AAAAAC/eX0Y=")</f>
        <v>#REF!</v>
      </c>
      <c r="BT24" t="str">
        <f>AND(#REF!,"AAAAAC/eX0c=")</f>
        <v>#REF!</v>
      </c>
      <c r="BU24" t="str">
        <f>AND(#REF!,"AAAAAC/eX0g=")</f>
        <v>#REF!</v>
      </c>
      <c r="BV24" t="str">
        <f>AND(#REF!,"AAAAAC/eX0k=")</f>
        <v>#REF!</v>
      </c>
      <c r="BW24" t="str">
        <f>AND(#REF!,"AAAAAC/eX0o=")</f>
        <v>#REF!</v>
      </c>
      <c r="BX24" t="str">
        <f>AND(#REF!,"AAAAAC/eX0s=")</f>
        <v>#REF!</v>
      </c>
      <c r="BY24" t="str">
        <f>AND(#REF!,"AAAAAC/eX0w=")</f>
        <v>#REF!</v>
      </c>
      <c r="BZ24" t="str">
        <f>AND(#REF!,"AAAAAC/eX00=")</f>
        <v>#REF!</v>
      </c>
      <c r="CA24" t="str">
        <f>AND(#REF!,"AAAAAC/eX04=")</f>
        <v>#REF!</v>
      </c>
      <c r="CB24" t="str">
        <f>AND(#REF!,"AAAAAC/eX08=")</f>
        <v>#REF!</v>
      </c>
      <c r="CC24" t="str">
        <f>AND(#REF!,"AAAAAC/eX1A=")</f>
        <v>#REF!</v>
      </c>
      <c r="CD24" t="str">
        <f>AND(#REF!,"AAAAAC/eX1E=")</f>
        <v>#REF!</v>
      </c>
      <c r="CE24" t="str">
        <f>AND(#REF!,"AAAAAC/eX1I=")</f>
        <v>#REF!</v>
      </c>
      <c r="CF24" t="str">
        <f>AND(#REF!,"AAAAAC/eX1M=")</f>
        <v>#REF!</v>
      </c>
      <c r="CG24" t="str">
        <f>AND(#REF!,"AAAAAC/eX1Q=")</f>
        <v>#REF!</v>
      </c>
      <c r="CH24" t="str">
        <f>AND(#REF!,"AAAAAC/eX1U=")</f>
        <v>#REF!</v>
      </c>
      <c r="CI24" t="str">
        <f>AND(#REF!,"AAAAAC/eX1Y=")</f>
        <v>#REF!</v>
      </c>
      <c r="CJ24" t="str">
        <f>AND(#REF!,"AAAAAC/eX1c=")</f>
        <v>#REF!</v>
      </c>
      <c r="CK24" t="str">
        <f>AND(#REF!,"AAAAAC/eX1g=")</f>
        <v>#REF!</v>
      </c>
      <c r="CL24" t="str">
        <f>AND(#REF!,"AAAAAC/eX1k=")</f>
        <v>#REF!</v>
      </c>
      <c r="CM24" t="str">
        <f>IF(#REF!,"AAAAAC/eX1o=",0)</f>
        <v>#REF!</v>
      </c>
      <c r="CN24" t="str">
        <f>AND(#REF!,"AAAAAC/eX1s=")</f>
        <v>#REF!</v>
      </c>
      <c r="CO24" t="str">
        <f>AND(#REF!,"AAAAAC/eX1w=")</f>
        <v>#REF!</v>
      </c>
      <c r="CP24" t="str">
        <f>AND(#REF!,"AAAAAC/eX10=")</f>
        <v>#REF!</v>
      </c>
      <c r="CQ24" t="str">
        <f>AND(#REF!,"AAAAAC/eX14=")</f>
        <v>#REF!</v>
      </c>
      <c r="CR24" t="str">
        <f>AND(#REF!,"AAAAAC/eX18=")</f>
        <v>#REF!</v>
      </c>
      <c r="CS24" t="str">
        <f>AND(#REF!,"AAAAAC/eX2A=")</f>
        <v>#REF!</v>
      </c>
      <c r="CT24" t="str">
        <f>AND(#REF!,"AAAAAC/eX2E=")</f>
        <v>#REF!</v>
      </c>
      <c r="CU24" t="str">
        <f>AND(#REF!,"AAAAAC/eX2I=")</f>
        <v>#REF!</v>
      </c>
      <c r="CV24" t="str">
        <f>AND(#REF!,"AAAAAC/eX2M=")</f>
        <v>#REF!</v>
      </c>
      <c r="CW24" t="str">
        <f>AND(#REF!,"AAAAAC/eX2Q=")</f>
        <v>#REF!</v>
      </c>
      <c r="CX24" t="str">
        <f>AND(#REF!,"AAAAAC/eX2U=")</f>
        <v>#REF!</v>
      </c>
      <c r="CY24" t="str">
        <f>AND(#REF!,"AAAAAC/eX2Y=")</f>
        <v>#REF!</v>
      </c>
      <c r="CZ24" t="str">
        <f>AND(#REF!,"AAAAAC/eX2c=")</f>
        <v>#REF!</v>
      </c>
      <c r="DA24" t="str">
        <f>AND(#REF!,"AAAAAC/eX2g=")</f>
        <v>#REF!</v>
      </c>
      <c r="DB24" t="str">
        <f>AND(#REF!,"AAAAAC/eX2k=")</f>
        <v>#REF!</v>
      </c>
      <c r="DC24" t="str">
        <f>AND(#REF!,"AAAAAC/eX2o=")</f>
        <v>#REF!</v>
      </c>
      <c r="DD24" t="str">
        <f>AND(#REF!,"AAAAAC/eX2s=")</f>
        <v>#REF!</v>
      </c>
      <c r="DE24" t="str">
        <f>AND(#REF!,"AAAAAC/eX2w=")</f>
        <v>#REF!</v>
      </c>
      <c r="DF24" t="str">
        <f>AND(#REF!,"AAAAAC/eX20=")</f>
        <v>#REF!</v>
      </c>
      <c r="DG24" t="str">
        <f>AND(#REF!,"AAAAAC/eX24=")</f>
        <v>#REF!</v>
      </c>
      <c r="DH24" t="str">
        <f>AND(#REF!,"AAAAAC/eX28=")</f>
        <v>#REF!</v>
      </c>
      <c r="DI24" t="str">
        <f>AND(#REF!,"AAAAAC/eX3A=")</f>
        <v>#REF!</v>
      </c>
      <c r="DJ24" t="str">
        <f>AND(#REF!,"AAAAAC/eX3E=")</f>
        <v>#REF!</v>
      </c>
      <c r="DK24" t="str">
        <f>AND(#REF!,"AAAAAC/eX3I=")</f>
        <v>#REF!</v>
      </c>
      <c r="DL24" t="str">
        <f>AND(#REF!,"AAAAAC/eX3M=")</f>
        <v>#REF!</v>
      </c>
      <c r="DM24" t="str">
        <f>AND(#REF!,"AAAAAC/eX3Q=")</f>
        <v>#REF!</v>
      </c>
      <c r="DN24" t="str">
        <f>AND(#REF!,"AAAAAC/eX3U=")</f>
        <v>#REF!</v>
      </c>
      <c r="DO24" t="str">
        <f>AND(#REF!,"AAAAAC/eX3Y=")</f>
        <v>#REF!</v>
      </c>
      <c r="DP24" t="str">
        <f>AND(#REF!,"AAAAAC/eX3c=")</f>
        <v>#REF!</v>
      </c>
      <c r="DQ24" t="str">
        <f>AND(#REF!,"AAAAAC/eX3g=")</f>
        <v>#REF!</v>
      </c>
      <c r="DR24" t="str">
        <f>AND(#REF!,"AAAAAC/eX3k=")</f>
        <v>#REF!</v>
      </c>
      <c r="DS24" t="str">
        <f>AND(#REF!,"AAAAAC/eX3o=")</f>
        <v>#REF!</v>
      </c>
      <c r="DT24" t="str">
        <f>AND(#REF!,"AAAAAC/eX3s=")</f>
        <v>#REF!</v>
      </c>
      <c r="DU24" t="str">
        <f>AND(#REF!,"AAAAAC/eX3w=")</f>
        <v>#REF!</v>
      </c>
      <c r="DV24" t="str">
        <f>AND(#REF!,"AAAAAC/eX30=")</f>
        <v>#REF!</v>
      </c>
      <c r="DW24" t="str">
        <f>AND(#REF!,"AAAAAC/eX34=")</f>
        <v>#REF!</v>
      </c>
      <c r="DX24" t="str">
        <f>AND(#REF!,"AAAAAC/eX38=")</f>
        <v>#REF!</v>
      </c>
      <c r="DY24" t="str">
        <f>AND(#REF!,"AAAAAC/eX4A=")</f>
        <v>#REF!</v>
      </c>
      <c r="DZ24" t="str">
        <f>AND(#REF!,"AAAAAC/eX4E=")</f>
        <v>#REF!</v>
      </c>
      <c r="EA24" t="str">
        <f>AND(#REF!,"AAAAAC/eX4I=")</f>
        <v>#REF!</v>
      </c>
      <c r="EB24" t="str">
        <f>AND(#REF!,"AAAAAC/eX4M=")</f>
        <v>#REF!</v>
      </c>
      <c r="EC24" t="str">
        <f>AND(#REF!,"AAAAAC/eX4Q=")</f>
        <v>#REF!</v>
      </c>
      <c r="ED24" t="str">
        <f>AND(#REF!,"AAAAAC/eX4U=")</f>
        <v>#REF!</v>
      </c>
      <c r="EE24" t="str">
        <f>AND(#REF!,"AAAAAC/eX4Y=")</f>
        <v>#REF!</v>
      </c>
      <c r="EF24" t="str">
        <f>AND(#REF!,"AAAAAC/eX4c=")</f>
        <v>#REF!</v>
      </c>
      <c r="EG24" t="str">
        <f>AND(#REF!,"AAAAAC/eX4g=")</f>
        <v>#REF!</v>
      </c>
      <c r="EH24" t="str">
        <f>AND(#REF!,"AAAAAC/eX4k=")</f>
        <v>#REF!</v>
      </c>
      <c r="EI24" t="str">
        <f>AND(#REF!,"AAAAAC/eX4o=")</f>
        <v>#REF!</v>
      </c>
      <c r="EJ24" t="str">
        <f>AND(#REF!,"AAAAAC/eX4s=")</f>
        <v>#REF!</v>
      </c>
      <c r="EK24" t="str">
        <f>AND(#REF!,"AAAAAC/eX4w=")</f>
        <v>#REF!</v>
      </c>
      <c r="EL24" t="str">
        <f>AND(#REF!,"AAAAAC/eX40=")</f>
        <v>#REF!</v>
      </c>
      <c r="EM24" t="str">
        <f>AND(#REF!,"AAAAAC/eX44=")</f>
        <v>#REF!</v>
      </c>
      <c r="EN24" t="str">
        <f>AND(#REF!,"AAAAAC/eX48=")</f>
        <v>#REF!</v>
      </c>
      <c r="EO24" t="str">
        <f>AND(#REF!,"AAAAAC/eX5A=")</f>
        <v>#REF!</v>
      </c>
      <c r="EP24" t="str">
        <f>AND(#REF!,"AAAAAC/eX5E=")</f>
        <v>#REF!</v>
      </c>
      <c r="EQ24" t="str">
        <f>AND(#REF!,"AAAAAC/eX5I=")</f>
        <v>#REF!</v>
      </c>
      <c r="ER24" t="str">
        <f>AND(#REF!,"AAAAAC/eX5M=")</f>
        <v>#REF!</v>
      </c>
      <c r="ES24" t="str">
        <f>AND(#REF!,"AAAAAC/eX5Q=")</f>
        <v>#REF!</v>
      </c>
      <c r="ET24" t="str">
        <f>AND(#REF!,"AAAAAC/eX5U=")</f>
        <v>#REF!</v>
      </c>
      <c r="EU24" t="str">
        <f>AND(#REF!,"AAAAAC/eX5Y=")</f>
        <v>#REF!</v>
      </c>
      <c r="EV24" t="str">
        <f>AND(#REF!,"AAAAAC/eX5c=")</f>
        <v>#REF!</v>
      </c>
      <c r="EW24" t="str">
        <f>AND(#REF!,"AAAAAC/eX5g=")</f>
        <v>#REF!</v>
      </c>
      <c r="EX24" t="str">
        <f>AND(#REF!,"AAAAAC/eX5k=")</f>
        <v>#REF!</v>
      </c>
      <c r="EY24" t="str">
        <f>AND(#REF!,"AAAAAC/eX5o=")</f>
        <v>#REF!</v>
      </c>
      <c r="EZ24" t="str">
        <f>AND(#REF!,"AAAAAC/eX5s=")</f>
        <v>#REF!</v>
      </c>
      <c r="FA24" t="str">
        <f>AND(#REF!,"AAAAAC/eX5w=")</f>
        <v>#REF!</v>
      </c>
      <c r="FB24" t="str">
        <f>AND(#REF!,"AAAAAC/eX50=")</f>
        <v>#REF!</v>
      </c>
      <c r="FC24" t="str">
        <f>AND(#REF!,"AAAAAC/eX54=")</f>
        <v>#REF!</v>
      </c>
      <c r="FD24" t="str">
        <f>AND(#REF!,"AAAAAC/eX58=")</f>
        <v>#REF!</v>
      </c>
      <c r="FE24" t="str">
        <f>AND(#REF!,"AAAAAC/eX6A=")</f>
        <v>#REF!</v>
      </c>
      <c r="FF24" t="str">
        <f>AND(#REF!,"AAAAAC/eX6E=")</f>
        <v>#REF!</v>
      </c>
      <c r="FG24" t="str">
        <f>AND(#REF!,"AAAAAC/eX6I=")</f>
        <v>#REF!</v>
      </c>
      <c r="FH24" t="str">
        <f>AND(#REF!,"AAAAAC/eX6M=")</f>
        <v>#REF!</v>
      </c>
      <c r="FI24" t="str">
        <f>AND(#REF!,"AAAAAC/eX6Q=")</f>
        <v>#REF!</v>
      </c>
      <c r="FJ24" t="str">
        <f>AND(#REF!,"AAAAAC/eX6U=")</f>
        <v>#REF!</v>
      </c>
      <c r="FK24" t="str">
        <f>IF(#REF!,"AAAAAC/eX6Y=",0)</f>
        <v>#REF!</v>
      </c>
      <c r="FL24" t="str">
        <f>AND(#REF!,"AAAAAC/eX6c=")</f>
        <v>#REF!</v>
      </c>
      <c r="FM24" t="str">
        <f>AND(#REF!,"AAAAAC/eX6g=")</f>
        <v>#REF!</v>
      </c>
      <c r="FN24" t="str">
        <f>AND(#REF!,"AAAAAC/eX6k=")</f>
        <v>#REF!</v>
      </c>
      <c r="FO24" t="str">
        <f>AND(#REF!,"AAAAAC/eX6o=")</f>
        <v>#REF!</v>
      </c>
      <c r="FP24" t="str">
        <f>AND(#REF!,"AAAAAC/eX6s=")</f>
        <v>#REF!</v>
      </c>
      <c r="FQ24" t="str">
        <f>AND(#REF!,"AAAAAC/eX6w=")</f>
        <v>#REF!</v>
      </c>
      <c r="FR24" t="str">
        <f>AND(#REF!,"AAAAAC/eX60=")</f>
        <v>#REF!</v>
      </c>
      <c r="FS24" t="str">
        <f>AND(#REF!,"AAAAAC/eX64=")</f>
        <v>#REF!</v>
      </c>
      <c r="FT24" t="str">
        <f>AND(#REF!,"AAAAAC/eX68=")</f>
        <v>#REF!</v>
      </c>
      <c r="FU24" t="str">
        <f>AND(#REF!,"AAAAAC/eX7A=")</f>
        <v>#REF!</v>
      </c>
      <c r="FV24" t="str">
        <f>AND(#REF!,"AAAAAC/eX7E=")</f>
        <v>#REF!</v>
      </c>
      <c r="FW24" t="str">
        <f>AND(#REF!,"AAAAAC/eX7I=")</f>
        <v>#REF!</v>
      </c>
      <c r="FX24" t="str">
        <f>AND(#REF!,"AAAAAC/eX7M=")</f>
        <v>#REF!</v>
      </c>
      <c r="FY24" t="str">
        <f>AND(#REF!,"AAAAAC/eX7Q=")</f>
        <v>#REF!</v>
      </c>
      <c r="FZ24" t="str">
        <f>AND(#REF!,"AAAAAC/eX7U=")</f>
        <v>#REF!</v>
      </c>
      <c r="GA24" t="str">
        <f>AND(#REF!,"AAAAAC/eX7Y=")</f>
        <v>#REF!</v>
      </c>
      <c r="GB24" t="str">
        <f>AND(#REF!,"AAAAAC/eX7c=")</f>
        <v>#REF!</v>
      </c>
      <c r="GC24" t="str">
        <f>AND(#REF!,"AAAAAC/eX7g=")</f>
        <v>#REF!</v>
      </c>
      <c r="GD24" t="str">
        <f>AND(#REF!,"AAAAAC/eX7k=")</f>
        <v>#REF!</v>
      </c>
      <c r="GE24" t="str">
        <f>AND(#REF!,"AAAAAC/eX7o=")</f>
        <v>#REF!</v>
      </c>
      <c r="GF24" t="str">
        <f>AND(#REF!,"AAAAAC/eX7s=")</f>
        <v>#REF!</v>
      </c>
      <c r="GG24" t="str">
        <f>AND(#REF!,"AAAAAC/eX7w=")</f>
        <v>#REF!</v>
      </c>
      <c r="GH24" t="str">
        <f>AND(#REF!,"AAAAAC/eX70=")</f>
        <v>#REF!</v>
      </c>
      <c r="GI24" t="str">
        <f>AND(#REF!,"AAAAAC/eX74=")</f>
        <v>#REF!</v>
      </c>
      <c r="GJ24" t="str">
        <f>AND(#REF!,"AAAAAC/eX78=")</f>
        <v>#REF!</v>
      </c>
      <c r="GK24" t="str">
        <f>AND(#REF!,"AAAAAC/eX8A=")</f>
        <v>#REF!</v>
      </c>
      <c r="GL24" t="str">
        <f>AND(#REF!,"AAAAAC/eX8E=")</f>
        <v>#REF!</v>
      </c>
      <c r="GM24" t="str">
        <f>AND(#REF!,"AAAAAC/eX8I=")</f>
        <v>#REF!</v>
      </c>
      <c r="GN24" t="str">
        <f>AND(#REF!,"AAAAAC/eX8M=")</f>
        <v>#REF!</v>
      </c>
      <c r="GO24" t="str">
        <f>AND(#REF!,"AAAAAC/eX8Q=")</f>
        <v>#REF!</v>
      </c>
      <c r="GP24" t="str">
        <f>AND(#REF!,"AAAAAC/eX8U=")</f>
        <v>#REF!</v>
      </c>
      <c r="GQ24" t="str">
        <f>AND(#REF!,"AAAAAC/eX8Y=")</f>
        <v>#REF!</v>
      </c>
      <c r="GR24" t="str">
        <f>AND(#REF!,"AAAAAC/eX8c=")</f>
        <v>#REF!</v>
      </c>
      <c r="GS24" t="str">
        <f>AND(#REF!,"AAAAAC/eX8g=")</f>
        <v>#REF!</v>
      </c>
      <c r="GT24" t="str">
        <f>AND(#REF!,"AAAAAC/eX8k=")</f>
        <v>#REF!</v>
      </c>
      <c r="GU24" t="str">
        <f>AND(#REF!,"AAAAAC/eX8o=")</f>
        <v>#REF!</v>
      </c>
      <c r="GV24" t="str">
        <f>AND(#REF!,"AAAAAC/eX8s=")</f>
        <v>#REF!</v>
      </c>
      <c r="GW24" t="str">
        <f>AND(#REF!,"AAAAAC/eX8w=")</f>
        <v>#REF!</v>
      </c>
      <c r="GX24" t="str">
        <f>AND(#REF!,"AAAAAC/eX80=")</f>
        <v>#REF!</v>
      </c>
      <c r="GY24" t="str">
        <f>AND(#REF!,"AAAAAC/eX84=")</f>
        <v>#REF!</v>
      </c>
      <c r="GZ24" t="str">
        <f>AND(#REF!,"AAAAAC/eX88=")</f>
        <v>#REF!</v>
      </c>
      <c r="HA24" t="str">
        <f>AND(#REF!,"AAAAAC/eX9A=")</f>
        <v>#REF!</v>
      </c>
      <c r="HB24" t="str">
        <f>AND(#REF!,"AAAAAC/eX9E=")</f>
        <v>#REF!</v>
      </c>
      <c r="HC24" t="str">
        <f>AND(#REF!,"AAAAAC/eX9I=")</f>
        <v>#REF!</v>
      </c>
      <c r="HD24" t="str">
        <f>AND(#REF!,"AAAAAC/eX9M=")</f>
        <v>#REF!</v>
      </c>
      <c r="HE24" t="str">
        <f>AND(#REF!,"AAAAAC/eX9Q=")</f>
        <v>#REF!</v>
      </c>
      <c r="HF24" t="str">
        <f>AND(#REF!,"AAAAAC/eX9U=")</f>
        <v>#REF!</v>
      </c>
      <c r="HG24" t="str">
        <f>AND(#REF!,"AAAAAC/eX9Y=")</f>
        <v>#REF!</v>
      </c>
      <c r="HH24" t="str">
        <f>AND(#REF!,"AAAAAC/eX9c=")</f>
        <v>#REF!</v>
      </c>
      <c r="HI24" t="str">
        <f>AND(#REF!,"AAAAAC/eX9g=")</f>
        <v>#REF!</v>
      </c>
      <c r="HJ24" t="str">
        <f>AND(#REF!,"AAAAAC/eX9k=")</f>
        <v>#REF!</v>
      </c>
      <c r="HK24" t="str">
        <f>AND(#REF!,"AAAAAC/eX9o=")</f>
        <v>#REF!</v>
      </c>
      <c r="HL24" t="str">
        <f>AND(#REF!,"AAAAAC/eX9s=")</f>
        <v>#REF!</v>
      </c>
      <c r="HM24" t="str">
        <f>AND(#REF!,"AAAAAC/eX9w=")</f>
        <v>#REF!</v>
      </c>
      <c r="HN24" t="str">
        <f>AND(#REF!,"AAAAAC/eX90=")</f>
        <v>#REF!</v>
      </c>
      <c r="HO24" t="str">
        <f>AND(#REF!,"AAAAAC/eX94=")</f>
        <v>#REF!</v>
      </c>
      <c r="HP24" t="str">
        <f>AND(#REF!,"AAAAAC/eX98=")</f>
        <v>#REF!</v>
      </c>
      <c r="HQ24" t="str">
        <f>AND(#REF!,"AAAAAC/eX+A=")</f>
        <v>#REF!</v>
      </c>
      <c r="HR24" t="str">
        <f>AND(#REF!,"AAAAAC/eX+E=")</f>
        <v>#REF!</v>
      </c>
      <c r="HS24" t="str">
        <f>AND(#REF!,"AAAAAC/eX+I=")</f>
        <v>#REF!</v>
      </c>
      <c r="HT24" t="str">
        <f>AND(#REF!,"AAAAAC/eX+M=")</f>
        <v>#REF!</v>
      </c>
      <c r="HU24" t="str">
        <f>AND(#REF!,"AAAAAC/eX+Q=")</f>
        <v>#REF!</v>
      </c>
      <c r="HV24" t="str">
        <f>AND(#REF!,"AAAAAC/eX+U=")</f>
        <v>#REF!</v>
      </c>
      <c r="HW24" t="str">
        <f>AND(#REF!,"AAAAAC/eX+Y=")</f>
        <v>#REF!</v>
      </c>
      <c r="HX24" t="str">
        <f>AND(#REF!,"AAAAAC/eX+c=")</f>
        <v>#REF!</v>
      </c>
      <c r="HY24" t="str">
        <f>AND(#REF!,"AAAAAC/eX+g=")</f>
        <v>#REF!</v>
      </c>
      <c r="HZ24" t="str">
        <f>AND(#REF!,"AAAAAC/eX+k=")</f>
        <v>#REF!</v>
      </c>
      <c r="IA24" t="str">
        <f>AND(#REF!,"AAAAAC/eX+o=")</f>
        <v>#REF!</v>
      </c>
      <c r="IB24" t="str">
        <f>AND(#REF!,"AAAAAC/eX+s=")</f>
        <v>#REF!</v>
      </c>
      <c r="IC24" t="str">
        <f>AND(#REF!,"AAAAAC/eX+w=")</f>
        <v>#REF!</v>
      </c>
      <c r="ID24" t="str">
        <f>AND(#REF!,"AAAAAC/eX+0=")</f>
        <v>#REF!</v>
      </c>
      <c r="IE24" t="str">
        <f>AND(#REF!,"AAAAAC/eX+4=")</f>
        <v>#REF!</v>
      </c>
      <c r="IF24" t="str">
        <f>AND(#REF!,"AAAAAC/eX+8=")</f>
        <v>#REF!</v>
      </c>
      <c r="IG24" t="str">
        <f>AND(#REF!,"AAAAAC/eX/A=")</f>
        <v>#REF!</v>
      </c>
      <c r="IH24" t="str">
        <f>AND(#REF!,"AAAAAC/eX/E=")</f>
        <v>#REF!</v>
      </c>
      <c r="II24" t="str">
        <f>IF(#REF!,"AAAAAC/eX/I=",0)</f>
        <v>#REF!</v>
      </c>
      <c r="IJ24" t="str">
        <f>AND(#REF!,"AAAAAC/eX/M=")</f>
        <v>#REF!</v>
      </c>
      <c r="IK24" t="str">
        <f>AND(#REF!,"AAAAAC/eX/Q=")</f>
        <v>#REF!</v>
      </c>
      <c r="IL24" t="str">
        <f>AND(#REF!,"AAAAAC/eX/U=")</f>
        <v>#REF!</v>
      </c>
      <c r="IM24" t="str">
        <f>AND(#REF!,"AAAAAC/eX/Y=")</f>
        <v>#REF!</v>
      </c>
      <c r="IN24" t="str">
        <f>AND(#REF!,"AAAAAC/eX/c=")</f>
        <v>#REF!</v>
      </c>
      <c r="IO24" t="str">
        <f>AND(#REF!,"AAAAAC/eX/g=")</f>
        <v>#REF!</v>
      </c>
      <c r="IP24" t="str">
        <f>AND(#REF!,"AAAAAC/eX/k=")</f>
        <v>#REF!</v>
      </c>
      <c r="IQ24" t="str">
        <f>AND(#REF!,"AAAAAC/eX/o=")</f>
        <v>#REF!</v>
      </c>
      <c r="IR24" t="str">
        <f>AND(#REF!,"AAAAAC/eX/s=")</f>
        <v>#REF!</v>
      </c>
      <c r="IS24" t="str">
        <f>AND(#REF!,"AAAAAC/eX/w=")</f>
        <v>#REF!</v>
      </c>
      <c r="IT24" t="str">
        <f>AND(#REF!,"AAAAAC/eX/0=")</f>
        <v>#REF!</v>
      </c>
      <c r="IU24" t="str">
        <f>AND(#REF!,"AAAAAC/eX/4=")</f>
        <v>#REF!</v>
      </c>
      <c r="IV24" t="str">
        <f>AND(#REF!,"AAAAAC/eX/8=")</f>
        <v>#REF!</v>
      </c>
    </row>
    <row r="25" ht="15.75" customHeight="1">
      <c r="A25" t="str">
        <f>AND(#REF!,"AAAAAFt//wA=")</f>
        <v>#REF!</v>
      </c>
      <c r="B25" t="str">
        <f>AND(#REF!,"AAAAAFt//wE=")</f>
        <v>#REF!</v>
      </c>
      <c r="C25" t="str">
        <f>AND(#REF!,"AAAAAFt//wI=")</f>
        <v>#REF!</v>
      </c>
      <c r="D25" t="str">
        <f>AND(#REF!,"AAAAAFt//wM=")</f>
        <v>#REF!</v>
      </c>
      <c r="E25" t="str">
        <f>AND(#REF!,"AAAAAFt//wQ=")</f>
        <v>#REF!</v>
      </c>
      <c r="F25" t="str">
        <f>AND(#REF!,"AAAAAFt//wU=")</f>
        <v>#REF!</v>
      </c>
      <c r="G25" t="str">
        <f>AND(#REF!,"AAAAAFt//wY=")</f>
        <v>#REF!</v>
      </c>
      <c r="H25" t="str">
        <f>AND(#REF!,"AAAAAFt//wc=")</f>
        <v>#REF!</v>
      </c>
      <c r="I25" t="str">
        <f>AND(#REF!,"AAAAAFt//wg=")</f>
        <v>#REF!</v>
      </c>
      <c r="J25" t="str">
        <f>AND(#REF!,"AAAAAFt//wk=")</f>
        <v>#REF!</v>
      </c>
      <c r="K25" t="str">
        <f>AND(#REF!,"AAAAAFt//wo=")</f>
        <v>#REF!</v>
      </c>
      <c r="L25" t="str">
        <f>AND(#REF!,"AAAAAFt//ws=")</f>
        <v>#REF!</v>
      </c>
      <c r="M25" t="str">
        <f>AND(#REF!,"AAAAAFt//ww=")</f>
        <v>#REF!</v>
      </c>
      <c r="N25" t="str">
        <f>AND(#REF!,"AAAAAFt//w0=")</f>
        <v>#REF!</v>
      </c>
      <c r="O25" t="str">
        <f>AND(#REF!,"AAAAAFt//w4=")</f>
        <v>#REF!</v>
      </c>
      <c r="P25" t="str">
        <f>AND(#REF!,"AAAAAFt//w8=")</f>
        <v>#REF!</v>
      </c>
      <c r="Q25" t="str">
        <f>AND(#REF!,"AAAAAFt//xA=")</f>
        <v>#REF!</v>
      </c>
      <c r="R25" t="str">
        <f>AND(#REF!,"AAAAAFt//xE=")</f>
        <v>#REF!</v>
      </c>
      <c r="S25" t="str">
        <f>AND(#REF!,"AAAAAFt//xI=")</f>
        <v>#REF!</v>
      </c>
      <c r="T25" t="str">
        <f>AND(#REF!,"AAAAAFt//xM=")</f>
        <v>#REF!</v>
      </c>
      <c r="U25" t="str">
        <f>AND(#REF!,"AAAAAFt//xQ=")</f>
        <v>#REF!</v>
      </c>
      <c r="V25" t="str">
        <f>AND(#REF!,"AAAAAFt//xU=")</f>
        <v>#REF!</v>
      </c>
      <c r="W25" t="str">
        <f>AND(#REF!,"AAAAAFt//xY=")</f>
        <v>#REF!</v>
      </c>
      <c r="X25" t="str">
        <f>AND(#REF!,"AAAAAFt//xc=")</f>
        <v>#REF!</v>
      </c>
      <c r="Y25" t="str">
        <f>AND(#REF!,"AAAAAFt//xg=")</f>
        <v>#REF!</v>
      </c>
      <c r="Z25" t="str">
        <f>AND(#REF!,"AAAAAFt//xk=")</f>
        <v>#REF!</v>
      </c>
      <c r="AA25" t="str">
        <f>AND(#REF!,"AAAAAFt//xo=")</f>
        <v>#REF!</v>
      </c>
      <c r="AB25" t="str">
        <f>AND(#REF!,"AAAAAFt//xs=")</f>
        <v>#REF!</v>
      </c>
      <c r="AC25" t="str">
        <f>AND(#REF!,"AAAAAFt//xw=")</f>
        <v>#REF!</v>
      </c>
      <c r="AD25" t="str">
        <f>AND(#REF!,"AAAAAFt//x0=")</f>
        <v>#REF!</v>
      </c>
      <c r="AE25" t="str">
        <f>AND(#REF!,"AAAAAFt//x4=")</f>
        <v>#REF!</v>
      </c>
      <c r="AF25" t="str">
        <f>AND(#REF!,"AAAAAFt//x8=")</f>
        <v>#REF!</v>
      </c>
      <c r="AG25" t="str">
        <f>AND(#REF!,"AAAAAFt//yA=")</f>
        <v>#REF!</v>
      </c>
      <c r="AH25" t="str">
        <f>AND(#REF!,"AAAAAFt//yE=")</f>
        <v>#REF!</v>
      </c>
      <c r="AI25" t="str">
        <f>AND(#REF!,"AAAAAFt//yI=")</f>
        <v>#REF!</v>
      </c>
      <c r="AJ25" t="str">
        <f>AND(#REF!,"AAAAAFt//yM=")</f>
        <v>#REF!</v>
      </c>
      <c r="AK25" t="str">
        <f>AND(#REF!,"AAAAAFt//yQ=")</f>
        <v>#REF!</v>
      </c>
      <c r="AL25" t="str">
        <f>AND(#REF!,"AAAAAFt//yU=")</f>
        <v>#REF!</v>
      </c>
      <c r="AM25" t="str">
        <f>AND(#REF!,"AAAAAFt//yY=")</f>
        <v>#REF!</v>
      </c>
      <c r="AN25" t="str">
        <f>AND(#REF!,"AAAAAFt//yc=")</f>
        <v>#REF!</v>
      </c>
      <c r="AO25" t="str">
        <f>AND(#REF!,"AAAAAFt//yg=")</f>
        <v>#REF!</v>
      </c>
      <c r="AP25" t="str">
        <f>AND(#REF!,"AAAAAFt//yk=")</f>
        <v>#REF!</v>
      </c>
      <c r="AQ25" t="str">
        <f>AND(#REF!,"AAAAAFt//yo=")</f>
        <v>#REF!</v>
      </c>
      <c r="AR25" t="str">
        <f>AND(#REF!,"AAAAAFt//ys=")</f>
        <v>#REF!</v>
      </c>
      <c r="AS25" t="str">
        <f>AND(#REF!,"AAAAAFt//yw=")</f>
        <v>#REF!</v>
      </c>
      <c r="AT25" t="str">
        <f>AND(#REF!,"AAAAAFt//y0=")</f>
        <v>#REF!</v>
      </c>
      <c r="AU25" t="str">
        <f>AND(#REF!,"AAAAAFt//y4=")</f>
        <v>#REF!</v>
      </c>
      <c r="AV25" t="str">
        <f>AND(#REF!,"AAAAAFt//y8=")</f>
        <v>#REF!</v>
      </c>
      <c r="AW25" t="str">
        <f>AND(#REF!,"AAAAAFt//zA=")</f>
        <v>#REF!</v>
      </c>
      <c r="AX25" t="str">
        <f>AND(#REF!,"AAAAAFt//zE=")</f>
        <v>#REF!</v>
      </c>
      <c r="AY25" t="str">
        <f>AND(#REF!,"AAAAAFt//zI=")</f>
        <v>#REF!</v>
      </c>
      <c r="AZ25" t="str">
        <f>AND(#REF!,"AAAAAFt//zM=")</f>
        <v>#REF!</v>
      </c>
      <c r="BA25" t="str">
        <f>AND(#REF!,"AAAAAFt//zQ=")</f>
        <v>#REF!</v>
      </c>
      <c r="BB25" t="str">
        <f>AND(#REF!,"AAAAAFt//zU=")</f>
        <v>#REF!</v>
      </c>
      <c r="BC25" t="str">
        <f>AND(#REF!,"AAAAAFt//zY=")</f>
        <v>#REF!</v>
      </c>
      <c r="BD25" t="str">
        <f>AND(#REF!,"AAAAAFt//zc=")</f>
        <v>#REF!</v>
      </c>
      <c r="BE25" t="str">
        <f>AND(#REF!,"AAAAAFt//zg=")</f>
        <v>#REF!</v>
      </c>
      <c r="BF25" t="str">
        <f>AND(#REF!,"AAAAAFt//zk=")</f>
        <v>#REF!</v>
      </c>
      <c r="BG25" t="str">
        <f>AND(#REF!,"AAAAAFt//zo=")</f>
        <v>#REF!</v>
      </c>
      <c r="BH25" t="str">
        <f>AND(#REF!,"AAAAAFt//zs=")</f>
        <v>#REF!</v>
      </c>
      <c r="BI25" t="str">
        <f>AND(#REF!,"AAAAAFt//zw=")</f>
        <v>#REF!</v>
      </c>
      <c r="BJ25" t="str">
        <f>AND(#REF!,"AAAAAFt//z0=")</f>
        <v>#REF!</v>
      </c>
      <c r="BK25" t="str">
        <f>IF(#REF!,"AAAAAFt//z4=",0)</f>
        <v>#REF!</v>
      </c>
      <c r="BL25" t="str">
        <f>AND(#REF!,"AAAAAFt//z8=")</f>
        <v>#REF!</v>
      </c>
      <c r="BM25" t="str">
        <f>AND(#REF!,"AAAAAFt//0A=")</f>
        <v>#REF!</v>
      </c>
      <c r="BN25" t="str">
        <f>AND(#REF!,"AAAAAFt//0E=")</f>
        <v>#REF!</v>
      </c>
      <c r="BO25" t="str">
        <f>AND(#REF!,"AAAAAFt//0I=")</f>
        <v>#REF!</v>
      </c>
      <c r="BP25" t="str">
        <f>AND(#REF!,"AAAAAFt//0M=")</f>
        <v>#REF!</v>
      </c>
      <c r="BQ25" t="str">
        <f>AND(#REF!,"AAAAAFt//0Q=")</f>
        <v>#REF!</v>
      </c>
      <c r="BR25" t="str">
        <f>AND(#REF!,"AAAAAFt//0U=")</f>
        <v>#REF!</v>
      </c>
      <c r="BS25" t="str">
        <f>AND(#REF!,"AAAAAFt//0Y=")</f>
        <v>#REF!</v>
      </c>
      <c r="BT25" t="str">
        <f>AND(#REF!,"AAAAAFt//0c=")</f>
        <v>#REF!</v>
      </c>
      <c r="BU25" t="str">
        <f>AND(#REF!,"AAAAAFt//0g=")</f>
        <v>#REF!</v>
      </c>
      <c r="BV25" t="str">
        <f>AND(#REF!,"AAAAAFt//0k=")</f>
        <v>#REF!</v>
      </c>
      <c r="BW25" t="str">
        <f>AND(#REF!,"AAAAAFt//0o=")</f>
        <v>#REF!</v>
      </c>
      <c r="BX25" t="str">
        <f>AND(#REF!,"AAAAAFt//0s=")</f>
        <v>#REF!</v>
      </c>
      <c r="BY25" t="str">
        <f>AND(#REF!,"AAAAAFt//0w=")</f>
        <v>#REF!</v>
      </c>
      <c r="BZ25" t="str">
        <f>AND(#REF!,"AAAAAFt//00=")</f>
        <v>#REF!</v>
      </c>
      <c r="CA25" t="str">
        <f>AND(#REF!,"AAAAAFt//04=")</f>
        <v>#REF!</v>
      </c>
      <c r="CB25" t="str">
        <f>AND(#REF!,"AAAAAFt//08=")</f>
        <v>#REF!</v>
      </c>
      <c r="CC25" t="str">
        <f>AND(#REF!,"AAAAAFt//1A=")</f>
        <v>#REF!</v>
      </c>
      <c r="CD25" t="str">
        <f>AND(#REF!,"AAAAAFt//1E=")</f>
        <v>#REF!</v>
      </c>
      <c r="CE25" t="str">
        <f>AND(#REF!,"AAAAAFt//1I=")</f>
        <v>#REF!</v>
      </c>
      <c r="CF25" t="str">
        <f>AND(#REF!,"AAAAAFt//1M=")</f>
        <v>#REF!</v>
      </c>
      <c r="CG25" t="str">
        <f>AND(#REF!,"AAAAAFt//1Q=")</f>
        <v>#REF!</v>
      </c>
      <c r="CH25" t="str">
        <f>AND(#REF!,"AAAAAFt//1U=")</f>
        <v>#REF!</v>
      </c>
      <c r="CI25" t="str">
        <f>AND(#REF!,"AAAAAFt//1Y=")</f>
        <v>#REF!</v>
      </c>
      <c r="CJ25" t="str">
        <f>AND(#REF!,"AAAAAFt//1c=")</f>
        <v>#REF!</v>
      </c>
      <c r="CK25" t="str">
        <f>AND(#REF!,"AAAAAFt//1g=")</f>
        <v>#REF!</v>
      </c>
      <c r="CL25" t="str">
        <f>AND(#REF!,"AAAAAFt//1k=")</f>
        <v>#REF!</v>
      </c>
      <c r="CM25" t="str">
        <f>AND(#REF!,"AAAAAFt//1o=")</f>
        <v>#REF!</v>
      </c>
      <c r="CN25" t="str">
        <f>AND(#REF!,"AAAAAFt//1s=")</f>
        <v>#REF!</v>
      </c>
      <c r="CO25" t="str">
        <f>AND(#REF!,"AAAAAFt//1w=")</f>
        <v>#REF!</v>
      </c>
      <c r="CP25" t="str">
        <f>AND(#REF!,"AAAAAFt//10=")</f>
        <v>#REF!</v>
      </c>
      <c r="CQ25" t="str">
        <f>AND(#REF!,"AAAAAFt//14=")</f>
        <v>#REF!</v>
      </c>
      <c r="CR25" t="str">
        <f>AND(#REF!,"AAAAAFt//18=")</f>
        <v>#REF!</v>
      </c>
      <c r="CS25" t="str">
        <f>AND(#REF!,"AAAAAFt//2A=")</f>
        <v>#REF!</v>
      </c>
      <c r="CT25" t="str">
        <f>AND(#REF!,"AAAAAFt//2E=")</f>
        <v>#REF!</v>
      </c>
      <c r="CU25" t="str">
        <f>AND(#REF!,"AAAAAFt//2I=")</f>
        <v>#REF!</v>
      </c>
      <c r="CV25" t="str">
        <f>AND(#REF!,"AAAAAFt//2M=")</f>
        <v>#REF!</v>
      </c>
      <c r="CW25" t="str">
        <f>AND(#REF!,"AAAAAFt//2Q=")</f>
        <v>#REF!</v>
      </c>
      <c r="CX25" t="str">
        <f>AND(#REF!,"AAAAAFt//2U=")</f>
        <v>#REF!</v>
      </c>
      <c r="CY25" t="str">
        <f>AND(#REF!,"AAAAAFt//2Y=")</f>
        <v>#REF!</v>
      </c>
      <c r="CZ25" t="str">
        <f>AND(#REF!,"AAAAAFt//2c=")</f>
        <v>#REF!</v>
      </c>
      <c r="DA25" t="str">
        <f>AND(#REF!,"AAAAAFt//2g=")</f>
        <v>#REF!</v>
      </c>
      <c r="DB25" t="str">
        <f>AND(#REF!,"AAAAAFt//2k=")</f>
        <v>#REF!</v>
      </c>
      <c r="DC25" t="str">
        <f>AND(#REF!,"AAAAAFt//2o=")</f>
        <v>#REF!</v>
      </c>
      <c r="DD25" t="str">
        <f>AND(#REF!,"AAAAAFt//2s=")</f>
        <v>#REF!</v>
      </c>
      <c r="DE25" t="str">
        <f>AND(#REF!,"AAAAAFt//2w=")</f>
        <v>#REF!</v>
      </c>
      <c r="DF25" t="str">
        <f>AND(#REF!,"AAAAAFt//20=")</f>
        <v>#REF!</v>
      </c>
      <c r="DG25" t="str">
        <f>AND(#REF!,"AAAAAFt//24=")</f>
        <v>#REF!</v>
      </c>
      <c r="DH25" t="str">
        <f>AND(#REF!,"AAAAAFt//28=")</f>
        <v>#REF!</v>
      </c>
      <c r="DI25" t="str">
        <f>AND(#REF!,"AAAAAFt//3A=")</f>
        <v>#REF!</v>
      </c>
      <c r="DJ25" t="str">
        <f>AND(#REF!,"AAAAAFt//3E=")</f>
        <v>#REF!</v>
      </c>
      <c r="DK25" t="str">
        <f>AND(#REF!,"AAAAAFt//3I=")</f>
        <v>#REF!</v>
      </c>
      <c r="DL25" t="str">
        <f>AND(#REF!,"AAAAAFt//3M=")</f>
        <v>#REF!</v>
      </c>
      <c r="DM25" t="str">
        <f>AND(#REF!,"AAAAAFt//3Q=")</f>
        <v>#REF!</v>
      </c>
      <c r="DN25" t="str">
        <f>AND(#REF!,"AAAAAFt//3U=")</f>
        <v>#REF!</v>
      </c>
      <c r="DO25" t="str">
        <f>AND(#REF!,"AAAAAFt//3Y=")</f>
        <v>#REF!</v>
      </c>
      <c r="DP25" t="str">
        <f>AND(#REF!,"AAAAAFt//3c=")</f>
        <v>#REF!</v>
      </c>
      <c r="DQ25" t="str">
        <f>AND(#REF!,"AAAAAFt//3g=")</f>
        <v>#REF!</v>
      </c>
      <c r="DR25" t="str">
        <f>AND(#REF!,"AAAAAFt//3k=")</f>
        <v>#REF!</v>
      </c>
      <c r="DS25" t="str">
        <f>AND(#REF!,"AAAAAFt//3o=")</f>
        <v>#REF!</v>
      </c>
      <c r="DT25" t="str">
        <f>AND(#REF!,"AAAAAFt//3s=")</f>
        <v>#REF!</v>
      </c>
      <c r="DU25" t="str">
        <f>AND(#REF!,"AAAAAFt//3w=")</f>
        <v>#REF!</v>
      </c>
      <c r="DV25" t="str">
        <f>AND(#REF!,"AAAAAFt//30=")</f>
        <v>#REF!</v>
      </c>
      <c r="DW25" t="str">
        <f>AND(#REF!,"AAAAAFt//34=")</f>
        <v>#REF!</v>
      </c>
      <c r="DX25" t="str">
        <f>AND(#REF!,"AAAAAFt//38=")</f>
        <v>#REF!</v>
      </c>
      <c r="DY25" t="str">
        <f>AND(#REF!,"AAAAAFt//4A=")</f>
        <v>#REF!</v>
      </c>
      <c r="DZ25" t="str">
        <f>AND(#REF!,"AAAAAFt//4E=")</f>
        <v>#REF!</v>
      </c>
      <c r="EA25" t="str">
        <f>AND(#REF!,"AAAAAFt//4I=")</f>
        <v>#REF!</v>
      </c>
      <c r="EB25" t="str">
        <f>AND(#REF!,"AAAAAFt//4M=")</f>
        <v>#REF!</v>
      </c>
      <c r="EC25" t="str">
        <f>AND(#REF!,"AAAAAFt//4Q=")</f>
        <v>#REF!</v>
      </c>
      <c r="ED25" t="str">
        <f>AND(#REF!,"AAAAAFt//4U=")</f>
        <v>#REF!</v>
      </c>
      <c r="EE25" t="str">
        <f>AND(#REF!,"AAAAAFt//4Y=")</f>
        <v>#REF!</v>
      </c>
      <c r="EF25" t="str">
        <f>AND(#REF!,"AAAAAFt//4c=")</f>
        <v>#REF!</v>
      </c>
      <c r="EG25" t="str">
        <f>AND(#REF!,"AAAAAFt//4g=")</f>
        <v>#REF!</v>
      </c>
      <c r="EH25" t="str">
        <f>AND(#REF!,"AAAAAFt//4k=")</f>
        <v>#REF!</v>
      </c>
      <c r="EI25" t="str">
        <f>IF(#REF!,"AAAAAFt//4o=",0)</f>
        <v>#REF!</v>
      </c>
      <c r="EJ25" t="str">
        <f>AND(#REF!,"AAAAAFt//4s=")</f>
        <v>#REF!</v>
      </c>
      <c r="EK25" t="str">
        <f>AND(#REF!,"AAAAAFt//4w=")</f>
        <v>#REF!</v>
      </c>
      <c r="EL25" t="str">
        <f>AND(#REF!,"AAAAAFt//40=")</f>
        <v>#REF!</v>
      </c>
      <c r="EM25" t="str">
        <f>AND(#REF!,"AAAAAFt//44=")</f>
        <v>#REF!</v>
      </c>
      <c r="EN25" t="str">
        <f>AND(#REF!,"AAAAAFt//48=")</f>
        <v>#REF!</v>
      </c>
      <c r="EO25" t="str">
        <f>AND(#REF!,"AAAAAFt//5A=")</f>
        <v>#REF!</v>
      </c>
      <c r="EP25" t="str">
        <f>AND(#REF!,"AAAAAFt//5E=")</f>
        <v>#REF!</v>
      </c>
      <c r="EQ25" t="str">
        <f>AND(#REF!,"AAAAAFt//5I=")</f>
        <v>#REF!</v>
      </c>
      <c r="ER25" t="str">
        <f>AND(#REF!,"AAAAAFt//5M=")</f>
        <v>#REF!</v>
      </c>
      <c r="ES25" t="str">
        <f>AND(#REF!,"AAAAAFt//5Q=")</f>
        <v>#REF!</v>
      </c>
      <c r="ET25" t="str">
        <f>AND(#REF!,"AAAAAFt//5U=")</f>
        <v>#REF!</v>
      </c>
      <c r="EU25" t="str">
        <f>AND(#REF!,"AAAAAFt//5Y=")</f>
        <v>#REF!</v>
      </c>
      <c r="EV25" t="str">
        <f>AND(#REF!,"AAAAAFt//5c=")</f>
        <v>#REF!</v>
      </c>
      <c r="EW25" t="str">
        <f>AND(#REF!,"AAAAAFt//5g=")</f>
        <v>#REF!</v>
      </c>
      <c r="EX25" t="str">
        <f>AND(#REF!,"AAAAAFt//5k=")</f>
        <v>#REF!</v>
      </c>
      <c r="EY25" t="str">
        <f>AND(#REF!,"AAAAAFt//5o=")</f>
        <v>#REF!</v>
      </c>
      <c r="EZ25" t="str">
        <f>AND(#REF!,"AAAAAFt//5s=")</f>
        <v>#REF!</v>
      </c>
      <c r="FA25" t="str">
        <f>AND(#REF!,"AAAAAFt//5w=")</f>
        <v>#REF!</v>
      </c>
      <c r="FB25" t="str">
        <f>AND(#REF!,"AAAAAFt//50=")</f>
        <v>#REF!</v>
      </c>
      <c r="FC25" t="str">
        <f>AND(#REF!,"AAAAAFt//54=")</f>
        <v>#REF!</v>
      </c>
      <c r="FD25" t="str">
        <f>AND(#REF!,"AAAAAFt//58=")</f>
        <v>#REF!</v>
      </c>
      <c r="FE25" t="str">
        <f>AND(#REF!,"AAAAAFt//6A=")</f>
        <v>#REF!</v>
      </c>
      <c r="FF25" t="str">
        <f>AND(#REF!,"AAAAAFt//6E=")</f>
        <v>#REF!</v>
      </c>
      <c r="FG25" t="str">
        <f>AND(#REF!,"AAAAAFt//6I=")</f>
        <v>#REF!</v>
      </c>
      <c r="FH25" t="str">
        <f>AND(#REF!,"AAAAAFt//6M=")</f>
        <v>#REF!</v>
      </c>
      <c r="FI25" t="str">
        <f>AND(#REF!,"AAAAAFt//6Q=")</f>
        <v>#REF!</v>
      </c>
      <c r="FJ25" t="str">
        <f>AND(#REF!,"AAAAAFt//6U=")</f>
        <v>#REF!</v>
      </c>
      <c r="FK25" t="str">
        <f>AND(#REF!,"AAAAAFt//6Y=")</f>
        <v>#REF!</v>
      </c>
      <c r="FL25" t="str">
        <f>AND(#REF!,"AAAAAFt//6c=")</f>
        <v>#REF!</v>
      </c>
      <c r="FM25" t="str">
        <f>AND(#REF!,"AAAAAFt//6g=")</f>
        <v>#REF!</v>
      </c>
      <c r="FN25" t="str">
        <f>AND(#REF!,"AAAAAFt//6k=")</f>
        <v>#REF!</v>
      </c>
      <c r="FO25" t="str">
        <f>AND(#REF!,"AAAAAFt//6o=")</f>
        <v>#REF!</v>
      </c>
      <c r="FP25" t="str">
        <f>AND(#REF!,"AAAAAFt//6s=")</f>
        <v>#REF!</v>
      </c>
      <c r="FQ25" t="str">
        <f>AND(#REF!,"AAAAAFt//6w=")</f>
        <v>#REF!</v>
      </c>
      <c r="FR25" t="str">
        <f>AND(#REF!,"AAAAAFt//60=")</f>
        <v>#REF!</v>
      </c>
      <c r="FS25" t="str">
        <f>AND(#REF!,"AAAAAFt//64=")</f>
        <v>#REF!</v>
      </c>
      <c r="FT25" t="str">
        <f>AND(#REF!,"AAAAAFt//68=")</f>
        <v>#REF!</v>
      </c>
      <c r="FU25" t="str">
        <f>AND(#REF!,"AAAAAFt//7A=")</f>
        <v>#REF!</v>
      </c>
      <c r="FV25" t="str">
        <f>AND(#REF!,"AAAAAFt//7E=")</f>
        <v>#REF!</v>
      </c>
      <c r="FW25" t="str">
        <f>AND(#REF!,"AAAAAFt//7I=")</f>
        <v>#REF!</v>
      </c>
      <c r="FX25" t="str">
        <f>AND(#REF!,"AAAAAFt//7M=")</f>
        <v>#REF!</v>
      </c>
      <c r="FY25" t="str">
        <f>AND(#REF!,"AAAAAFt//7Q=")</f>
        <v>#REF!</v>
      </c>
      <c r="FZ25" t="str">
        <f>AND(#REF!,"AAAAAFt//7U=")</f>
        <v>#REF!</v>
      </c>
      <c r="GA25" t="str">
        <f>AND(#REF!,"AAAAAFt//7Y=")</f>
        <v>#REF!</v>
      </c>
      <c r="GB25" t="str">
        <f>AND(#REF!,"AAAAAFt//7c=")</f>
        <v>#REF!</v>
      </c>
      <c r="GC25" t="str">
        <f>AND(#REF!,"AAAAAFt//7g=")</f>
        <v>#REF!</v>
      </c>
      <c r="GD25" t="str">
        <f>AND(#REF!,"AAAAAFt//7k=")</f>
        <v>#REF!</v>
      </c>
      <c r="GE25" t="str">
        <f>AND(#REF!,"AAAAAFt//7o=")</f>
        <v>#REF!</v>
      </c>
      <c r="GF25" t="str">
        <f>AND(#REF!,"AAAAAFt//7s=")</f>
        <v>#REF!</v>
      </c>
      <c r="GG25" t="str">
        <f>AND(#REF!,"AAAAAFt//7w=")</f>
        <v>#REF!</v>
      </c>
      <c r="GH25" t="str">
        <f>AND(#REF!,"AAAAAFt//70=")</f>
        <v>#REF!</v>
      </c>
      <c r="GI25" t="str">
        <f>AND(#REF!,"AAAAAFt//74=")</f>
        <v>#REF!</v>
      </c>
      <c r="GJ25" t="str">
        <f>AND(#REF!,"AAAAAFt//78=")</f>
        <v>#REF!</v>
      </c>
      <c r="GK25" t="str">
        <f>AND(#REF!,"AAAAAFt//8A=")</f>
        <v>#REF!</v>
      </c>
      <c r="GL25" t="str">
        <f>AND(#REF!,"AAAAAFt//8E=")</f>
        <v>#REF!</v>
      </c>
      <c r="GM25" t="str">
        <f>AND(#REF!,"AAAAAFt//8I=")</f>
        <v>#REF!</v>
      </c>
      <c r="GN25" t="str">
        <f>AND(#REF!,"AAAAAFt//8M=")</f>
        <v>#REF!</v>
      </c>
      <c r="GO25" t="str">
        <f>AND(#REF!,"AAAAAFt//8Q=")</f>
        <v>#REF!</v>
      </c>
      <c r="GP25" t="str">
        <f>AND(#REF!,"AAAAAFt//8U=")</f>
        <v>#REF!</v>
      </c>
      <c r="GQ25" t="str">
        <f>AND(#REF!,"AAAAAFt//8Y=")</f>
        <v>#REF!</v>
      </c>
      <c r="GR25" t="str">
        <f>AND(#REF!,"AAAAAFt//8c=")</f>
        <v>#REF!</v>
      </c>
      <c r="GS25" t="str">
        <f>AND(#REF!,"AAAAAFt//8g=")</f>
        <v>#REF!</v>
      </c>
      <c r="GT25" t="str">
        <f>AND(#REF!,"AAAAAFt//8k=")</f>
        <v>#REF!</v>
      </c>
      <c r="GU25" t="str">
        <f>AND(#REF!,"AAAAAFt//8o=")</f>
        <v>#REF!</v>
      </c>
      <c r="GV25" t="str">
        <f>AND(#REF!,"AAAAAFt//8s=")</f>
        <v>#REF!</v>
      </c>
      <c r="GW25" t="str">
        <f>AND(#REF!,"AAAAAFt//8w=")</f>
        <v>#REF!</v>
      </c>
      <c r="GX25" t="str">
        <f>AND(#REF!,"AAAAAFt//80=")</f>
        <v>#REF!</v>
      </c>
      <c r="GY25" t="str">
        <f>AND(#REF!,"AAAAAFt//84=")</f>
        <v>#REF!</v>
      </c>
      <c r="GZ25" t="str">
        <f>AND(#REF!,"AAAAAFt//88=")</f>
        <v>#REF!</v>
      </c>
      <c r="HA25" t="str">
        <f>AND(#REF!,"AAAAAFt//9A=")</f>
        <v>#REF!</v>
      </c>
      <c r="HB25" t="str">
        <f>AND(#REF!,"AAAAAFt//9E=")</f>
        <v>#REF!</v>
      </c>
      <c r="HC25" t="str">
        <f>AND(#REF!,"AAAAAFt//9I=")</f>
        <v>#REF!</v>
      </c>
      <c r="HD25" t="str">
        <f>AND(#REF!,"AAAAAFt//9M=")</f>
        <v>#REF!</v>
      </c>
      <c r="HE25" t="str">
        <f>AND(#REF!,"AAAAAFt//9Q=")</f>
        <v>#REF!</v>
      </c>
      <c r="HF25" t="str">
        <f>AND(#REF!,"AAAAAFt//9U=")</f>
        <v>#REF!</v>
      </c>
      <c r="HG25" t="str">
        <f>IF(#REF!,"AAAAAFt//9Y=",0)</f>
        <v>#REF!</v>
      </c>
      <c r="HH25" t="str">
        <f>AND(#REF!,"AAAAAFt//9c=")</f>
        <v>#REF!</v>
      </c>
      <c r="HI25" t="str">
        <f>AND(#REF!,"AAAAAFt//9g=")</f>
        <v>#REF!</v>
      </c>
      <c r="HJ25" t="str">
        <f>AND(#REF!,"AAAAAFt//9k=")</f>
        <v>#REF!</v>
      </c>
      <c r="HK25" t="str">
        <f>AND(#REF!,"AAAAAFt//9o=")</f>
        <v>#REF!</v>
      </c>
      <c r="HL25" t="str">
        <f>AND(#REF!,"AAAAAFt//9s=")</f>
        <v>#REF!</v>
      </c>
      <c r="HM25" t="str">
        <f>AND(#REF!,"AAAAAFt//9w=")</f>
        <v>#REF!</v>
      </c>
      <c r="HN25" t="str">
        <f>AND(#REF!,"AAAAAFt//90=")</f>
        <v>#REF!</v>
      </c>
      <c r="HO25" t="str">
        <f>AND(#REF!,"AAAAAFt//94=")</f>
        <v>#REF!</v>
      </c>
      <c r="HP25" t="str">
        <f>AND(#REF!,"AAAAAFt//98=")</f>
        <v>#REF!</v>
      </c>
      <c r="HQ25" t="str">
        <f>AND(#REF!,"AAAAAFt//+A=")</f>
        <v>#REF!</v>
      </c>
      <c r="HR25" t="str">
        <f>AND(#REF!,"AAAAAFt//+E=")</f>
        <v>#REF!</v>
      </c>
      <c r="HS25" t="str">
        <f>AND(#REF!,"AAAAAFt//+I=")</f>
        <v>#REF!</v>
      </c>
      <c r="HT25" t="str">
        <f>AND(#REF!,"AAAAAFt//+M=")</f>
        <v>#REF!</v>
      </c>
      <c r="HU25" t="str">
        <f>AND(#REF!,"AAAAAFt//+Q=")</f>
        <v>#REF!</v>
      </c>
      <c r="HV25" t="str">
        <f>AND(#REF!,"AAAAAFt//+U=")</f>
        <v>#REF!</v>
      </c>
      <c r="HW25" t="str">
        <f>AND(#REF!,"AAAAAFt//+Y=")</f>
        <v>#REF!</v>
      </c>
      <c r="HX25" t="str">
        <f>AND(#REF!,"AAAAAFt//+c=")</f>
        <v>#REF!</v>
      </c>
      <c r="HY25" t="str">
        <f>AND(#REF!,"AAAAAFt//+g=")</f>
        <v>#REF!</v>
      </c>
      <c r="HZ25" t="str">
        <f>AND(#REF!,"AAAAAFt//+k=")</f>
        <v>#REF!</v>
      </c>
      <c r="IA25" t="str">
        <f>AND(#REF!,"AAAAAFt//+o=")</f>
        <v>#REF!</v>
      </c>
      <c r="IB25" t="str">
        <f>AND(#REF!,"AAAAAFt//+s=")</f>
        <v>#REF!</v>
      </c>
      <c r="IC25" t="str">
        <f>AND(#REF!,"AAAAAFt//+w=")</f>
        <v>#REF!</v>
      </c>
      <c r="ID25" t="str">
        <f>AND(#REF!,"AAAAAFt//+0=")</f>
        <v>#REF!</v>
      </c>
      <c r="IE25" t="str">
        <f>AND(#REF!,"AAAAAFt//+4=")</f>
        <v>#REF!</v>
      </c>
      <c r="IF25" t="str">
        <f>AND(#REF!,"AAAAAFt//+8=")</f>
        <v>#REF!</v>
      </c>
      <c r="IG25" t="str">
        <f>AND(#REF!,"AAAAAFt///A=")</f>
        <v>#REF!</v>
      </c>
      <c r="IH25" t="str">
        <f>AND(#REF!,"AAAAAFt///E=")</f>
        <v>#REF!</v>
      </c>
      <c r="II25" t="str">
        <f>AND(#REF!,"AAAAAFt///I=")</f>
        <v>#REF!</v>
      </c>
      <c r="IJ25" t="str">
        <f>AND(#REF!,"AAAAAFt///M=")</f>
        <v>#REF!</v>
      </c>
      <c r="IK25" t="str">
        <f>AND(#REF!,"AAAAAFt///Q=")</f>
        <v>#REF!</v>
      </c>
      <c r="IL25" t="str">
        <f>AND(#REF!,"AAAAAFt///U=")</f>
        <v>#REF!</v>
      </c>
      <c r="IM25" t="str">
        <f>AND(#REF!,"AAAAAFt///Y=")</f>
        <v>#REF!</v>
      </c>
      <c r="IN25" t="str">
        <f>AND(#REF!,"AAAAAFt///c=")</f>
        <v>#REF!</v>
      </c>
      <c r="IO25" t="str">
        <f>AND(#REF!,"AAAAAFt///g=")</f>
        <v>#REF!</v>
      </c>
      <c r="IP25" t="str">
        <f>AND(#REF!,"AAAAAFt///k=")</f>
        <v>#REF!</v>
      </c>
      <c r="IQ25" t="str">
        <f>AND(#REF!,"AAAAAFt///o=")</f>
        <v>#REF!</v>
      </c>
      <c r="IR25" t="str">
        <f>AND(#REF!,"AAAAAFt///s=")</f>
        <v>#REF!</v>
      </c>
      <c r="IS25" t="str">
        <f>AND(#REF!,"AAAAAFt///w=")</f>
        <v>#REF!</v>
      </c>
      <c r="IT25" t="str">
        <f>AND(#REF!,"AAAAAFt///0=")</f>
        <v>#REF!</v>
      </c>
      <c r="IU25" t="str">
        <f>AND(#REF!,"AAAAAFt///4=")</f>
        <v>#REF!</v>
      </c>
      <c r="IV25" t="str">
        <f>AND(#REF!,"AAAAAFt///8=")</f>
        <v>#REF!</v>
      </c>
    </row>
    <row r="26" ht="15.75" customHeight="1">
      <c r="A26" t="str">
        <f>AND(#REF!,"AAAAAD0m/wA=")</f>
        <v>#REF!</v>
      </c>
      <c r="B26" t="str">
        <f>AND(#REF!,"AAAAAD0m/wE=")</f>
        <v>#REF!</v>
      </c>
      <c r="C26" t="str">
        <f>AND(#REF!,"AAAAAD0m/wI=")</f>
        <v>#REF!</v>
      </c>
      <c r="D26" t="str">
        <f>AND(#REF!,"AAAAAD0m/wM=")</f>
        <v>#REF!</v>
      </c>
      <c r="E26" t="str">
        <f>AND(#REF!,"AAAAAD0m/wQ=")</f>
        <v>#REF!</v>
      </c>
      <c r="F26" t="str">
        <f>AND(#REF!,"AAAAAD0m/wU=")</f>
        <v>#REF!</v>
      </c>
      <c r="G26" t="str">
        <f>AND(#REF!,"AAAAAD0m/wY=")</f>
        <v>#REF!</v>
      </c>
      <c r="H26" t="str">
        <f>AND(#REF!,"AAAAAD0m/wc=")</f>
        <v>#REF!</v>
      </c>
      <c r="I26" t="str">
        <f>AND(#REF!,"AAAAAD0m/wg=")</f>
        <v>#REF!</v>
      </c>
      <c r="J26" t="str">
        <f>AND(#REF!,"AAAAAD0m/wk=")</f>
        <v>#REF!</v>
      </c>
      <c r="K26" t="str">
        <f>AND(#REF!,"AAAAAD0m/wo=")</f>
        <v>#REF!</v>
      </c>
      <c r="L26" t="str">
        <f>AND(#REF!,"AAAAAD0m/ws=")</f>
        <v>#REF!</v>
      </c>
      <c r="M26" t="str">
        <f>AND(#REF!,"AAAAAD0m/ww=")</f>
        <v>#REF!</v>
      </c>
      <c r="N26" t="str">
        <f>AND(#REF!,"AAAAAD0m/w0=")</f>
        <v>#REF!</v>
      </c>
      <c r="O26" t="str">
        <f>AND(#REF!,"AAAAAD0m/w4=")</f>
        <v>#REF!</v>
      </c>
      <c r="P26" t="str">
        <f>AND(#REF!,"AAAAAD0m/w8=")</f>
        <v>#REF!</v>
      </c>
      <c r="Q26" t="str">
        <f>AND(#REF!,"AAAAAD0m/xA=")</f>
        <v>#REF!</v>
      </c>
      <c r="R26" t="str">
        <f>AND(#REF!,"AAAAAD0m/xE=")</f>
        <v>#REF!</v>
      </c>
      <c r="S26" t="str">
        <f>AND(#REF!,"AAAAAD0m/xI=")</f>
        <v>#REF!</v>
      </c>
      <c r="T26" t="str">
        <f>AND(#REF!,"AAAAAD0m/xM=")</f>
        <v>#REF!</v>
      </c>
      <c r="U26" t="str">
        <f>AND(#REF!,"AAAAAD0m/xQ=")</f>
        <v>#REF!</v>
      </c>
      <c r="V26" t="str">
        <f>AND(#REF!,"AAAAAD0m/xU=")</f>
        <v>#REF!</v>
      </c>
      <c r="W26" t="str">
        <f>AND(#REF!,"AAAAAD0m/xY=")</f>
        <v>#REF!</v>
      </c>
      <c r="X26" t="str">
        <f>AND(#REF!,"AAAAAD0m/xc=")</f>
        <v>#REF!</v>
      </c>
      <c r="Y26" t="str">
        <f>AND(#REF!,"AAAAAD0m/xg=")</f>
        <v>#REF!</v>
      </c>
      <c r="Z26" t="str">
        <f>AND(#REF!,"AAAAAD0m/xk=")</f>
        <v>#REF!</v>
      </c>
      <c r="AA26" t="str">
        <f>AND(#REF!,"AAAAAD0m/xo=")</f>
        <v>#REF!</v>
      </c>
      <c r="AB26" t="str">
        <f>AND(#REF!,"AAAAAD0m/xs=")</f>
        <v>#REF!</v>
      </c>
      <c r="AC26" t="str">
        <f>AND(#REF!,"AAAAAD0m/xw=")</f>
        <v>#REF!</v>
      </c>
      <c r="AD26" t="str">
        <f>AND(#REF!,"AAAAAD0m/x0=")</f>
        <v>#REF!</v>
      </c>
      <c r="AE26" t="str">
        <f>AND(#REF!,"AAAAAD0m/x4=")</f>
        <v>#REF!</v>
      </c>
      <c r="AF26" t="str">
        <f>AND(#REF!,"AAAAAD0m/x8=")</f>
        <v>#REF!</v>
      </c>
      <c r="AG26" t="str">
        <f>AND(#REF!,"AAAAAD0m/yA=")</f>
        <v>#REF!</v>
      </c>
      <c r="AH26" t="str">
        <f>AND(#REF!,"AAAAAD0m/yE=")</f>
        <v>#REF!</v>
      </c>
      <c r="AI26" t="str">
        <f>IF(#REF!,"AAAAAD0m/yI=",0)</f>
        <v>#REF!</v>
      </c>
      <c r="AJ26" t="str">
        <f>AND(#REF!,"AAAAAD0m/yM=")</f>
        <v>#REF!</v>
      </c>
      <c r="AK26" t="str">
        <f>AND(#REF!,"AAAAAD0m/yQ=")</f>
        <v>#REF!</v>
      </c>
      <c r="AL26" t="str">
        <f>AND(#REF!,"AAAAAD0m/yU=")</f>
        <v>#REF!</v>
      </c>
      <c r="AM26" t="str">
        <f>AND(#REF!,"AAAAAD0m/yY=")</f>
        <v>#REF!</v>
      </c>
      <c r="AN26" t="str">
        <f>AND(#REF!,"AAAAAD0m/yc=")</f>
        <v>#REF!</v>
      </c>
      <c r="AO26" t="str">
        <f>AND(#REF!,"AAAAAD0m/yg=")</f>
        <v>#REF!</v>
      </c>
      <c r="AP26" t="str">
        <f>AND(#REF!,"AAAAAD0m/yk=")</f>
        <v>#REF!</v>
      </c>
      <c r="AQ26" t="str">
        <f>AND(#REF!,"AAAAAD0m/yo=")</f>
        <v>#REF!</v>
      </c>
      <c r="AR26" t="str">
        <f>AND(#REF!,"AAAAAD0m/ys=")</f>
        <v>#REF!</v>
      </c>
      <c r="AS26" t="str">
        <f>AND(#REF!,"AAAAAD0m/yw=")</f>
        <v>#REF!</v>
      </c>
      <c r="AT26" t="str">
        <f>AND(#REF!,"AAAAAD0m/y0=")</f>
        <v>#REF!</v>
      </c>
      <c r="AU26" t="str">
        <f>AND(#REF!,"AAAAAD0m/y4=")</f>
        <v>#REF!</v>
      </c>
      <c r="AV26" t="str">
        <f>AND(#REF!,"AAAAAD0m/y8=")</f>
        <v>#REF!</v>
      </c>
      <c r="AW26" t="str">
        <f>AND(#REF!,"AAAAAD0m/zA=")</f>
        <v>#REF!</v>
      </c>
      <c r="AX26" t="str">
        <f>AND(#REF!,"AAAAAD0m/zE=")</f>
        <v>#REF!</v>
      </c>
      <c r="AY26" t="str">
        <f>AND(#REF!,"AAAAAD0m/zI=")</f>
        <v>#REF!</v>
      </c>
      <c r="AZ26" t="str">
        <f>AND(#REF!,"AAAAAD0m/zM=")</f>
        <v>#REF!</v>
      </c>
      <c r="BA26" t="str">
        <f>AND(#REF!,"AAAAAD0m/zQ=")</f>
        <v>#REF!</v>
      </c>
      <c r="BB26" t="str">
        <f>AND(#REF!,"AAAAAD0m/zU=")</f>
        <v>#REF!</v>
      </c>
      <c r="BC26" t="str">
        <f>AND(#REF!,"AAAAAD0m/zY=")</f>
        <v>#REF!</v>
      </c>
      <c r="BD26" t="str">
        <f>AND(#REF!,"AAAAAD0m/zc=")</f>
        <v>#REF!</v>
      </c>
      <c r="BE26" t="str">
        <f>AND(#REF!,"AAAAAD0m/zg=")</f>
        <v>#REF!</v>
      </c>
      <c r="BF26" t="str">
        <f>AND(#REF!,"AAAAAD0m/zk=")</f>
        <v>#REF!</v>
      </c>
      <c r="BG26" t="str">
        <f>AND(#REF!,"AAAAAD0m/zo=")</f>
        <v>#REF!</v>
      </c>
      <c r="BH26" t="str">
        <f>AND(#REF!,"AAAAAD0m/zs=")</f>
        <v>#REF!</v>
      </c>
      <c r="BI26" t="str">
        <f>AND(#REF!,"AAAAAD0m/zw=")</f>
        <v>#REF!</v>
      </c>
      <c r="BJ26" t="str">
        <f>AND(#REF!,"AAAAAD0m/z0=")</f>
        <v>#REF!</v>
      </c>
      <c r="BK26" t="str">
        <f>AND(#REF!,"AAAAAD0m/z4=")</f>
        <v>#REF!</v>
      </c>
      <c r="BL26" t="str">
        <f>AND(#REF!,"AAAAAD0m/z8=")</f>
        <v>#REF!</v>
      </c>
      <c r="BM26" t="str">
        <f>AND(#REF!,"AAAAAD0m/0A=")</f>
        <v>#REF!</v>
      </c>
      <c r="BN26" t="str">
        <f>AND(#REF!,"AAAAAD0m/0E=")</f>
        <v>#REF!</v>
      </c>
      <c r="BO26" t="str">
        <f>AND(#REF!,"AAAAAD0m/0I=")</f>
        <v>#REF!</v>
      </c>
      <c r="BP26" t="str">
        <f>AND(#REF!,"AAAAAD0m/0M=")</f>
        <v>#REF!</v>
      </c>
      <c r="BQ26" t="str">
        <f>AND(#REF!,"AAAAAD0m/0Q=")</f>
        <v>#REF!</v>
      </c>
      <c r="BR26" t="str">
        <f>AND(#REF!,"AAAAAD0m/0U=")</f>
        <v>#REF!</v>
      </c>
      <c r="BS26" t="str">
        <f>AND(#REF!,"AAAAAD0m/0Y=")</f>
        <v>#REF!</v>
      </c>
      <c r="BT26" t="str">
        <f>AND(#REF!,"AAAAAD0m/0c=")</f>
        <v>#REF!</v>
      </c>
      <c r="BU26" t="str">
        <f>AND(#REF!,"AAAAAD0m/0g=")</f>
        <v>#REF!</v>
      </c>
      <c r="BV26" t="str">
        <f>AND(#REF!,"AAAAAD0m/0k=")</f>
        <v>#REF!</v>
      </c>
      <c r="BW26" t="str">
        <f>AND(#REF!,"AAAAAD0m/0o=")</f>
        <v>#REF!</v>
      </c>
      <c r="BX26" t="str">
        <f>AND(#REF!,"AAAAAD0m/0s=")</f>
        <v>#REF!</v>
      </c>
      <c r="BY26" t="str">
        <f>AND(#REF!,"AAAAAD0m/0w=")</f>
        <v>#REF!</v>
      </c>
      <c r="BZ26" t="str">
        <f>AND(#REF!,"AAAAAD0m/00=")</f>
        <v>#REF!</v>
      </c>
      <c r="CA26" t="str">
        <f>AND(#REF!,"AAAAAD0m/04=")</f>
        <v>#REF!</v>
      </c>
      <c r="CB26" t="str">
        <f>AND(#REF!,"AAAAAD0m/08=")</f>
        <v>#REF!</v>
      </c>
      <c r="CC26" t="str">
        <f>AND(#REF!,"AAAAAD0m/1A=")</f>
        <v>#REF!</v>
      </c>
      <c r="CD26" t="str">
        <f>AND(#REF!,"AAAAAD0m/1E=")</f>
        <v>#REF!</v>
      </c>
      <c r="CE26" t="str">
        <f>AND(#REF!,"AAAAAD0m/1I=")</f>
        <v>#REF!</v>
      </c>
      <c r="CF26" t="str">
        <f>AND(#REF!,"AAAAAD0m/1M=")</f>
        <v>#REF!</v>
      </c>
      <c r="CG26" t="str">
        <f>AND(#REF!,"AAAAAD0m/1Q=")</f>
        <v>#REF!</v>
      </c>
      <c r="CH26" t="str">
        <f>AND(#REF!,"AAAAAD0m/1U=")</f>
        <v>#REF!</v>
      </c>
      <c r="CI26" t="str">
        <f>AND(#REF!,"AAAAAD0m/1Y=")</f>
        <v>#REF!</v>
      </c>
      <c r="CJ26" t="str">
        <f>AND(#REF!,"AAAAAD0m/1c=")</f>
        <v>#REF!</v>
      </c>
      <c r="CK26" t="str">
        <f>AND(#REF!,"AAAAAD0m/1g=")</f>
        <v>#REF!</v>
      </c>
      <c r="CL26" t="str">
        <f>AND(#REF!,"AAAAAD0m/1k=")</f>
        <v>#REF!</v>
      </c>
      <c r="CM26" t="str">
        <f>AND(#REF!,"AAAAAD0m/1o=")</f>
        <v>#REF!</v>
      </c>
      <c r="CN26" t="str">
        <f>AND(#REF!,"AAAAAD0m/1s=")</f>
        <v>#REF!</v>
      </c>
      <c r="CO26" t="str">
        <f>AND(#REF!,"AAAAAD0m/1w=")</f>
        <v>#REF!</v>
      </c>
      <c r="CP26" t="str">
        <f>AND(#REF!,"AAAAAD0m/10=")</f>
        <v>#REF!</v>
      </c>
      <c r="CQ26" t="str">
        <f>AND(#REF!,"AAAAAD0m/14=")</f>
        <v>#REF!</v>
      </c>
      <c r="CR26" t="str">
        <f>AND(#REF!,"AAAAAD0m/18=")</f>
        <v>#REF!</v>
      </c>
      <c r="CS26" t="str">
        <f>AND(#REF!,"AAAAAD0m/2A=")</f>
        <v>#REF!</v>
      </c>
      <c r="CT26" t="str">
        <f>AND(#REF!,"AAAAAD0m/2E=")</f>
        <v>#REF!</v>
      </c>
      <c r="CU26" t="str">
        <f>AND(#REF!,"AAAAAD0m/2I=")</f>
        <v>#REF!</v>
      </c>
      <c r="CV26" t="str">
        <f>AND(#REF!,"AAAAAD0m/2M=")</f>
        <v>#REF!</v>
      </c>
      <c r="CW26" t="str">
        <f>AND(#REF!,"AAAAAD0m/2Q=")</f>
        <v>#REF!</v>
      </c>
      <c r="CX26" t="str">
        <f>AND(#REF!,"AAAAAD0m/2U=")</f>
        <v>#REF!</v>
      </c>
      <c r="CY26" t="str">
        <f>AND(#REF!,"AAAAAD0m/2Y=")</f>
        <v>#REF!</v>
      </c>
      <c r="CZ26" t="str">
        <f>AND(#REF!,"AAAAAD0m/2c=")</f>
        <v>#REF!</v>
      </c>
      <c r="DA26" t="str">
        <f>AND(#REF!,"AAAAAD0m/2g=")</f>
        <v>#REF!</v>
      </c>
      <c r="DB26" t="str">
        <f>AND(#REF!,"AAAAAD0m/2k=")</f>
        <v>#REF!</v>
      </c>
      <c r="DC26" t="str">
        <f>AND(#REF!,"AAAAAD0m/2o=")</f>
        <v>#REF!</v>
      </c>
      <c r="DD26" t="str">
        <f>AND(#REF!,"AAAAAD0m/2s=")</f>
        <v>#REF!</v>
      </c>
      <c r="DE26" t="str">
        <f>AND(#REF!,"AAAAAD0m/2w=")</f>
        <v>#REF!</v>
      </c>
      <c r="DF26" t="str">
        <f>AND(#REF!,"AAAAAD0m/20=")</f>
        <v>#REF!</v>
      </c>
      <c r="DG26" t="str">
        <f>IF(#REF!,"AAAAAD0m/24=",0)</f>
        <v>#REF!</v>
      </c>
      <c r="DH26" t="str">
        <f>AND(#REF!,"AAAAAD0m/28=")</f>
        <v>#REF!</v>
      </c>
      <c r="DI26" t="str">
        <f>AND(#REF!,"AAAAAD0m/3A=")</f>
        <v>#REF!</v>
      </c>
      <c r="DJ26" t="str">
        <f>AND(#REF!,"AAAAAD0m/3E=")</f>
        <v>#REF!</v>
      </c>
      <c r="DK26" t="str">
        <f>AND(#REF!,"AAAAAD0m/3I=")</f>
        <v>#REF!</v>
      </c>
      <c r="DL26" t="str">
        <f>AND(#REF!,"AAAAAD0m/3M=")</f>
        <v>#REF!</v>
      </c>
      <c r="DM26" t="str">
        <f>AND(#REF!,"AAAAAD0m/3Q=")</f>
        <v>#REF!</v>
      </c>
      <c r="DN26" t="str">
        <f>AND(#REF!,"AAAAAD0m/3U=")</f>
        <v>#REF!</v>
      </c>
      <c r="DO26" t="str">
        <f>AND(#REF!,"AAAAAD0m/3Y=")</f>
        <v>#REF!</v>
      </c>
      <c r="DP26" t="str">
        <f>AND(#REF!,"AAAAAD0m/3c=")</f>
        <v>#REF!</v>
      </c>
      <c r="DQ26" t="str">
        <f>AND(#REF!,"AAAAAD0m/3g=")</f>
        <v>#REF!</v>
      </c>
      <c r="DR26" t="str">
        <f>AND(#REF!,"AAAAAD0m/3k=")</f>
        <v>#REF!</v>
      </c>
      <c r="DS26" t="str">
        <f>AND(#REF!,"AAAAAD0m/3o=")</f>
        <v>#REF!</v>
      </c>
      <c r="DT26" t="str">
        <f>AND(#REF!,"AAAAAD0m/3s=")</f>
        <v>#REF!</v>
      </c>
      <c r="DU26" t="str">
        <f>AND(#REF!,"AAAAAD0m/3w=")</f>
        <v>#REF!</v>
      </c>
      <c r="DV26" t="str">
        <f>AND(#REF!,"AAAAAD0m/30=")</f>
        <v>#REF!</v>
      </c>
      <c r="DW26" t="str">
        <f>AND(#REF!,"AAAAAD0m/34=")</f>
        <v>#REF!</v>
      </c>
      <c r="DX26" t="str">
        <f>AND(#REF!,"AAAAAD0m/38=")</f>
        <v>#REF!</v>
      </c>
      <c r="DY26" t="str">
        <f>AND(#REF!,"AAAAAD0m/4A=")</f>
        <v>#REF!</v>
      </c>
      <c r="DZ26" t="str">
        <f>AND(#REF!,"AAAAAD0m/4E=")</f>
        <v>#REF!</v>
      </c>
      <c r="EA26" t="str">
        <f>AND(#REF!,"AAAAAD0m/4I=")</f>
        <v>#REF!</v>
      </c>
      <c r="EB26" t="str">
        <f>AND(#REF!,"AAAAAD0m/4M=")</f>
        <v>#REF!</v>
      </c>
      <c r="EC26" t="str">
        <f>AND(#REF!,"AAAAAD0m/4Q=")</f>
        <v>#REF!</v>
      </c>
      <c r="ED26" t="str">
        <f>AND(#REF!,"AAAAAD0m/4U=")</f>
        <v>#REF!</v>
      </c>
      <c r="EE26" t="str">
        <f>AND(#REF!,"AAAAAD0m/4Y=")</f>
        <v>#REF!</v>
      </c>
      <c r="EF26" t="str">
        <f>AND(#REF!,"AAAAAD0m/4c=")</f>
        <v>#REF!</v>
      </c>
      <c r="EG26" t="str">
        <f>AND(#REF!,"AAAAAD0m/4g=")</f>
        <v>#REF!</v>
      </c>
      <c r="EH26" t="str">
        <f>AND(#REF!,"AAAAAD0m/4k=")</f>
        <v>#REF!</v>
      </c>
      <c r="EI26" t="str">
        <f>AND(#REF!,"AAAAAD0m/4o=")</f>
        <v>#REF!</v>
      </c>
      <c r="EJ26" t="str">
        <f>AND(#REF!,"AAAAAD0m/4s=")</f>
        <v>#REF!</v>
      </c>
      <c r="EK26" t="str">
        <f>AND(#REF!,"AAAAAD0m/4w=")</f>
        <v>#REF!</v>
      </c>
      <c r="EL26" t="str">
        <f>AND(#REF!,"AAAAAD0m/40=")</f>
        <v>#REF!</v>
      </c>
      <c r="EM26" t="str">
        <f>AND(#REF!,"AAAAAD0m/44=")</f>
        <v>#REF!</v>
      </c>
      <c r="EN26" t="str">
        <f>AND(#REF!,"AAAAAD0m/48=")</f>
        <v>#REF!</v>
      </c>
      <c r="EO26" t="str">
        <f>AND(#REF!,"AAAAAD0m/5A=")</f>
        <v>#REF!</v>
      </c>
      <c r="EP26" t="str">
        <f>AND(#REF!,"AAAAAD0m/5E=")</f>
        <v>#REF!</v>
      </c>
      <c r="EQ26" t="str">
        <f>AND(#REF!,"AAAAAD0m/5I=")</f>
        <v>#REF!</v>
      </c>
      <c r="ER26" t="str">
        <f>AND(#REF!,"AAAAAD0m/5M=")</f>
        <v>#REF!</v>
      </c>
      <c r="ES26" t="str">
        <f>AND(#REF!,"AAAAAD0m/5Q=")</f>
        <v>#REF!</v>
      </c>
      <c r="ET26" t="str">
        <f>AND(#REF!,"AAAAAD0m/5U=")</f>
        <v>#REF!</v>
      </c>
      <c r="EU26" t="str">
        <f>AND(#REF!,"AAAAAD0m/5Y=")</f>
        <v>#REF!</v>
      </c>
      <c r="EV26" t="str">
        <f>AND(#REF!,"AAAAAD0m/5c=")</f>
        <v>#REF!</v>
      </c>
      <c r="EW26" t="str">
        <f>AND(#REF!,"AAAAAD0m/5g=")</f>
        <v>#REF!</v>
      </c>
      <c r="EX26" t="str">
        <f>AND(#REF!,"AAAAAD0m/5k=")</f>
        <v>#REF!</v>
      </c>
      <c r="EY26" t="str">
        <f>AND(#REF!,"AAAAAD0m/5o=")</f>
        <v>#REF!</v>
      </c>
      <c r="EZ26" t="str">
        <f>AND(#REF!,"AAAAAD0m/5s=")</f>
        <v>#REF!</v>
      </c>
      <c r="FA26" t="str">
        <f>AND(#REF!,"AAAAAD0m/5w=")</f>
        <v>#REF!</v>
      </c>
      <c r="FB26" t="str">
        <f>AND(#REF!,"AAAAAD0m/50=")</f>
        <v>#REF!</v>
      </c>
      <c r="FC26" t="str">
        <f>AND(#REF!,"AAAAAD0m/54=")</f>
        <v>#REF!</v>
      </c>
      <c r="FD26" t="str">
        <f>AND(#REF!,"AAAAAD0m/58=")</f>
        <v>#REF!</v>
      </c>
      <c r="FE26" t="str">
        <f>AND(#REF!,"AAAAAD0m/6A=")</f>
        <v>#REF!</v>
      </c>
      <c r="FF26" t="str">
        <f>AND(#REF!,"AAAAAD0m/6E=")</f>
        <v>#REF!</v>
      </c>
      <c r="FG26" t="str">
        <f>AND(#REF!,"AAAAAD0m/6I=")</f>
        <v>#REF!</v>
      </c>
      <c r="FH26" t="str">
        <f>AND(#REF!,"AAAAAD0m/6M=")</f>
        <v>#REF!</v>
      </c>
      <c r="FI26" t="str">
        <f>AND(#REF!,"AAAAAD0m/6Q=")</f>
        <v>#REF!</v>
      </c>
      <c r="FJ26" t="str">
        <f>AND(#REF!,"AAAAAD0m/6U=")</f>
        <v>#REF!</v>
      </c>
      <c r="FK26" t="str">
        <f>AND(#REF!,"AAAAAD0m/6Y=")</f>
        <v>#REF!</v>
      </c>
      <c r="FL26" t="str">
        <f>AND(#REF!,"AAAAAD0m/6c=")</f>
        <v>#REF!</v>
      </c>
      <c r="FM26" t="str">
        <f>AND(#REF!,"AAAAAD0m/6g=")</f>
        <v>#REF!</v>
      </c>
      <c r="FN26" t="str">
        <f>AND(#REF!,"AAAAAD0m/6k=")</f>
        <v>#REF!</v>
      </c>
      <c r="FO26" t="str">
        <f>AND(#REF!,"AAAAAD0m/6o=")</f>
        <v>#REF!</v>
      </c>
      <c r="FP26" t="str">
        <f>AND(#REF!,"AAAAAD0m/6s=")</f>
        <v>#REF!</v>
      </c>
      <c r="FQ26" t="str">
        <f>AND(#REF!,"AAAAAD0m/6w=")</f>
        <v>#REF!</v>
      </c>
      <c r="FR26" t="str">
        <f>AND(#REF!,"AAAAAD0m/60=")</f>
        <v>#REF!</v>
      </c>
      <c r="FS26" t="str">
        <f>AND(#REF!,"AAAAAD0m/64=")</f>
        <v>#REF!</v>
      </c>
      <c r="FT26" t="str">
        <f>AND(#REF!,"AAAAAD0m/68=")</f>
        <v>#REF!</v>
      </c>
      <c r="FU26" t="str">
        <f>AND(#REF!,"AAAAAD0m/7A=")</f>
        <v>#REF!</v>
      </c>
      <c r="FV26" t="str">
        <f>AND(#REF!,"AAAAAD0m/7E=")</f>
        <v>#REF!</v>
      </c>
      <c r="FW26" t="str">
        <f>AND(#REF!,"AAAAAD0m/7I=")</f>
        <v>#REF!</v>
      </c>
      <c r="FX26" t="str">
        <f>AND(#REF!,"AAAAAD0m/7M=")</f>
        <v>#REF!</v>
      </c>
      <c r="FY26" t="str">
        <f>AND(#REF!,"AAAAAD0m/7Q=")</f>
        <v>#REF!</v>
      </c>
      <c r="FZ26" t="str">
        <f>AND(#REF!,"AAAAAD0m/7U=")</f>
        <v>#REF!</v>
      </c>
      <c r="GA26" t="str">
        <f>AND(#REF!,"AAAAAD0m/7Y=")</f>
        <v>#REF!</v>
      </c>
      <c r="GB26" t="str">
        <f>AND(#REF!,"AAAAAD0m/7c=")</f>
        <v>#REF!</v>
      </c>
      <c r="GC26" t="str">
        <f>AND(#REF!,"AAAAAD0m/7g=")</f>
        <v>#REF!</v>
      </c>
      <c r="GD26" t="str">
        <f>AND(#REF!,"AAAAAD0m/7k=")</f>
        <v>#REF!</v>
      </c>
      <c r="GE26" t="str">
        <f>IF(#REF!,"AAAAAD0m/7o=",0)</f>
        <v>#REF!</v>
      </c>
      <c r="GF26" t="str">
        <f>AND(#REF!,"AAAAAD0m/7s=")</f>
        <v>#REF!</v>
      </c>
      <c r="GG26" t="str">
        <f>AND(#REF!,"AAAAAD0m/7w=")</f>
        <v>#REF!</v>
      </c>
      <c r="GH26" t="str">
        <f>AND(#REF!,"AAAAAD0m/70=")</f>
        <v>#REF!</v>
      </c>
      <c r="GI26" t="str">
        <f>AND(#REF!,"AAAAAD0m/74=")</f>
        <v>#REF!</v>
      </c>
      <c r="GJ26" t="str">
        <f>AND(#REF!,"AAAAAD0m/78=")</f>
        <v>#REF!</v>
      </c>
      <c r="GK26" t="str">
        <f>AND(#REF!,"AAAAAD0m/8A=")</f>
        <v>#REF!</v>
      </c>
      <c r="GL26" t="str">
        <f>AND(#REF!,"AAAAAD0m/8E=")</f>
        <v>#REF!</v>
      </c>
      <c r="GM26" t="str">
        <f>AND(#REF!,"AAAAAD0m/8I=")</f>
        <v>#REF!</v>
      </c>
      <c r="GN26" t="str">
        <f>AND(#REF!,"AAAAAD0m/8M=")</f>
        <v>#REF!</v>
      </c>
      <c r="GO26" t="str">
        <f>AND(#REF!,"AAAAAD0m/8Q=")</f>
        <v>#REF!</v>
      </c>
      <c r="GP26" t="str">
        <f>AND(#REF!,"AAAAAD0m/8U=")</f>
        <v>#REF!</v>
      </c>
      <c r="GQ26" t="str">
        <f>AND(#REF!,"AAAAAD0m/8Y=")</f>
        <v>#REF!</v>
      </c>
      <c r="GR26" t="str">
        <f>AND(#REF!,"AAAAAD0m/8c=")</f>
        <v>#REF!</v>
      </c>
      <c r="GS26" t="str">
        <f>AND(#REF!,"AAAAAD0m/8g=")</f>
        <v>#REF!</v>
      </c>
      <c r="GT26" t="str">
        <f>AND(#REF!,"AAAAAD0m/8k=")</f>
        <v>#REF!</v>
      </c>
      <c r="GU26" t="str">
        <f>AND(#REF!,"AAAAAD0m/8o=")</f>
        <v>#REF!</v>
      </c>
      <c r="GV26" t="str">
        <f>AND(#REF!,"AAAAAD0m/8s=")</f>
        <v>#REF!</v>
      </c>
      <c r="GW26" t="str">
        <f>AND(#REF!,"AAAAAD0m/8w=")</f>
        <v>#REF!</v>
      </c>
      <c r="GX26" t="str">
        <f>AND(#REF!,"AAAAAD0m/80=")</f>
        <v>#REF!</v>
      </c>
      <c r="GY26" t="str">
        <f>AND(#REF!,"AAAAAD0m/84=")</f>
        <v>#REF!</v>
      </c>
      <c r="GZ26" t="str">
        <f>AND(#REF!,"AAAAAD0m/88=")</f>
        <v>#REF!</v>
      </c>
      <c r="HA26" t="str">
        <f>AND(#REF!,"AAAAAD0m/9A=")</f>
        <v>#REF!</v>
      </c>
      <c r="HB26" t="str">
        <f>AND(#REF!,"AAAAAD0m/9E=")</f>
        <v>#REF!</v>
      </c>
      <c r="HC26" t="str">
        <f>AND(#REF!,"AAAAAD0m/9I=")</f>
        <v>#REF!</v>
      </c>
      <c r="HD26" t="str">
        <f>AND(#REF!,"AAAAAD0m/9M=")</f>
        <v>#REF!</v>
      </c>
      <c r="HE26" t="str">
        <f>AND(#REF!,"AAAAAD0m/9Q=")</f>
        <v>#REF!</v>
      </c>
      <c r="HF26" t="str">
        <f>AND(#REF!,"AAAAAD0m/9U=")</f>
        <v>#REF!</v>
      </c>
      <c r="HG26" t="str">
        <f>AND(#REF!,"AAAAAD0m/9Y=")</f>
        <v>#REF!</v>
      </c>
      <c r="HH26" t="str">
        <f>AND(#REF!,"AAAAAD0m/9c=")</f>
        <v>#REF!</v>
      </c>
      <c r="HI26" t="str">
        <f>AND(#REF!,"AAAAAD0m/9g=")</f>
        <v>#REF!</v>
      </c>
      <c r="HJ26" t="str">
        <f>AND(#REF!,"AAAAAD0m/9k=")</f>
        <v>#REF!</v>
      </c>
      <c r="HK26" t="str">
        <f>AND(#REF!,"AAAAAD0m/9o=")</f>
        <v>#REF!</v>
      </c>
      <c r="HL26" t="str">
        <f>AND(#REF!,"AAAAAD0m/9s=")</f>
        <v>#REF!</v>
      </c>
      <c r="HM26" t="str">
        <f>AND(#REF!,"AAAAAD0m/9w=")</f>
        <v>#REF!</v>
      </c>
      <c r="HN26" t="str">
        <f>AND(#REF!,"AAAAAD0m/90=")</f>
        <v>#REF!</v>
      </c>
      <c r="HO26" t="str">
        <f>AND(#REF!,"AAAAAD0m/94=")</f>
        <v>#REF!</v>
      </c>
      <c r="HP26" t="str">
        <f>AND(#REF!,"AAAAAD0m/98=")</f>
        <v>#REF!</v>
      </c>
      <c r="HQ26" t="str">
        <f>AND(#REF!,"AAAAAD0m/+A=")</f>
        <v>#REF!</v>
      </c>
      <c r="HR26" t="str">
        <f>AND(#REF!,"AAAAAD0m/+E=")</f>
        <v>#REF!</v>
      </c>
      <c r="HS26" t="str">
        <f>AND(#REF!,"AAAAAD0m/+I=")</f>
        <v>#REF!</v>
      </c>
      <c r="HT26" t="str">
        <f>AND(#REF!,"AAAAAD0m/+M=")</f>
        <v>#REF!</v>
      </c>
      <c r="HU26" t="str">
        <f>AND(#REF!,"AAAAAD0m/+Q=")</f>
        <v>#REF!</v>
      </c>
      <c r="HV26" t="str">
        <f>AND(#REF!,"AAAAAD0m/+U=")</f>
        <v>#REF!</v>
      </c>
      <c r="HW26" t="str">
        <f>AND(#REF!,"AAAAAD0m/+Y=")</f>
        <v>#REF!</v>
      </c>
      <c r="HX26" t="str">
        <f>AND(#REF!,"AAAAAD0m/+c=")</f>
        <v>#REF!</v>
      </c>
      <c r="HY26" t="str">
        <f>AND(#REF!,"AAAAAD0m/+g=")</f>
        <v>#REF!</v>
      </c>
      <c r="HZ26" t="str">
        <f>AND(#REF!,"AAAAAD0m/+k=")</f>
        <v>#REF!</v>
      </c>
      <c r="IA26" t="str">
        <f>AND(#REF!,"AAAAAD0m/+o=")</f>
        <v>#REF!</v>
      </c>
      <c r="IB26" t="str">
        <f>AND(#REF!,"AAAAAD0m/+s=")</f>
        <v>#REF!</v>
      </c>
      <c r="IC26" t="str">
        <f>AND(#REF!,"AAAAAD0m/+w=")</f>
        <v>#REF!</v>
      </c>
      <c r="ID26" t="str">
        <f>AND(#REF!,"AAAAAD0m/+0=")</f>
        <v>#REF!</v>
      </c>
      <c r="IE26" t="str">
        <f>AND(#REF!,"AAAAAD0m/+4=")</f>
        <v>#REF!</v>
      </c>
      <c r="IF26" t="str">
        <f>AND(#REF!,"AAAAAD0m/+8=")</f>
        <v>#REF!</v>
      </c>
      <c r="IG26" t="str">
        <f>AND(#REF!,"AAAAAD0m//A=")</f>
        <v>#REF!</v>
      </c>
      <c r="IH26" t="str">
        <f>AND(#REF!,"AAAAAD0m//E=")</f>
        <v>#REF!</v>
      </c>
      <c r="II26" t="str">
        <f>AND(#REF!,"AAAAAD0m//I=")</f>
        <v>#REF!</v>
      </c>
      <c r="IJ26" t="str">
        <f>AND(#REF!,"AAAAAD0m//M=")</f>
        <v>#REF!</v>
      </c>
      <c r="IK26" t="str">
        <f>AND(#REF!,"AAAAAD0m//Q=")</f>
        <v>#REF!</v>
      </c>
      <c r="IL26" t="str">
        <f>AND(#REF!,"AAAAAD0m//U=")</f>
        <v>#REF!</v>
      </c>
      <c r="IM26" t="str">
        <f>AND(#REF!,"AAAAAD0m//Y=")</f>
        <v>#REF!</v>
      </c>
      <c r="IN26" t="str">
        <f>AND(#REF!,"AAAAAD0m//c=")</f>
        <v>#REF!</v>
      </c>
      <c r="IO26" t="str">
        <f>AND(#REF!,"AAAAAD0m//g=")</f>
        <v>#REF!</v>
      </c>
      <c r="IP26" t="str">
        <f>AND(#REF!,"AAAAAD0m//k=")</f>
        <v>#REF!</v>
      </c>
      <c r="IQ26" t="str">
        <f>AND(#REF!,"AAAAAD0m//o=")</f>
        <v>#REF!</v>
      </c>
      <c r="IR26" t="str">
        <f>AND(#REF!,"AAAAAD0m//s=")</f>
        <v>#REF!</v>
      </c>
      <c r="IS26" t="str">
        <f>AND(#REF!,"AAAAAD0m//w=")</f>
        <v>#REF!</v>
      </c>
      <c r="IT26" t="str">
        <f>AND(#REF!,"AAAAAD0m//0=")</f>
        <v>#REF!</v>
      </c>
      <c r="IU26" t="str">
        <f>AND(#REF!,"AAAAAD0m//4=")</f>
        <v>#REF!</v>
      </c>
      <c r="IV26" t="str">
        <f>AND(#REF!,"AAAAAD0m//8=")</f>
        <v>#REF!</v>
      </c>
    </row>
    <row r="27" ht="15.75" customHeight="1">
      <c r="A27" t="str">
        <f>AND(#REF!,"AAAAAHuFnwA=")</f>
        <v>#REF!</v>
      </c>
      <c r="B27" t="str">
        <f>AND(#REF!,"AAAAAHuFnwE=")</f>
        <v>#REF!</v>
      </c>
      <c r="C27" t="str">
        <f>AND(#REF!,"AAAAAHuFnwI=")</f>
        <v>#REF!</v>
      </c>
      <c r="D27" t="str">
        <f>AND(#REF!,"AAAAAHuFnwM=")</f>
        <v>#REF!</v>
      </c>
      <c r="E27" t="str">
        <f>AND(#REF!,"AAAAAHuFnwQ=")</f>
        <v>#REF!</v>
      </c>
      <c r="F27" t="str">
        <f>AND(#REF!,"AAAAAHuFnwU=")</f>
        <v>#REF!</v>
      </c>
      <c r="G27" t="str">
        <f>IF(#REF!,"AAAAAHuFnwY=",0)</f>
        <v>#REF!</v>
      </c>
      <c r="H27" t="str">
        <f>AND(#REF!,"AAAAAHuFnwc=")</f>
        <v>#REF!</v>
      </c>
      <c r="I27" t="str">
        <f>AND(#REF!,"AAAAAHuFnwg=")</f>
        <v>#REF!</v>
      </c>
      <c r="J27" t="str">
        <f>AND(#REF!,"AAAAAHuFnwk=")</f>
        <v>#REF!</v>
      </c>
      <c r="K27" t="str">
        <f>AND(#REF!,"AAAAAHuFnwo=")</f>
        <v>#REF!</v>
      </c>
      <c r="L27" t="str">
        <f>AND(#REF!,"AAAAAHuFnws=")</f>
        <v>#REF!</v>
      </c>
      <c r="M27" t="str">
        <f>AND(#REF!,"AAAAAHuFnww=")</f>
        <v>#REF!</v>
      </c>
      <c r="N27" t="str">
        <f>AND(#REF!,"AAAAAHuFnw0=")</f>
        <v>#REF!</v>
      </c>
      <c r="O27" t="str">
        <f>AND(#REF!,"AAAAAHuFnw4=")</f>
        <v>#REF!</v>
      </c>
      <c r="P27" t="str">
        <f>AND(#REF!,"AAAAAHuFnw8=")</f>
        <v>#REF!</v>
      </c>
      <c r="Q27" t="str">
        <f>AND(#REF!,"AAAAAHuFnxA=")</f>
        <v>#REF!</v>
      </c>
      <c r="R27" t="str">
        <f>AND(#REF!,"AAAAAHuFnxE=")</f>
        <v>#REF!</v>
      </c>
      <c r="S27" t="str">
        <f>AND(#REF!,"AAAAAHuFnxI=")</f>
        <v>#REF!</v>
      </c>
      <c r="T27" t="str">
        <f>AND(#REF!,"AAAAAHuFnxM=")</f>
        <v>#REF!</v>
      </c>
      <c r="U27" t="str">
        <f>AND(#REF!,"AAAAAHuFnxQ=")</f>
        <v>#REF!</v>
      </c>
      <c r="V27" t="str">
        <f>AND(#REF!,"AAAAAHuFnxU=")</f>
        <v>#REF!</v>
      </c>
      <c r="W27" t="str">
        <f>AND(#REF!,"AAAAAHuFnxY=")</f>
        <v>#REF!</v>
      </c>
      <c r="X27" t="str">
        <f>AND(#REF!,"AAAAAHuFnxc=")</f>
        <v>#REF!</v>
      </c>
      <c r="Y27" t="str">
        <f>AND(#REF!,"AAAAAHuFnxg=")</f>
        <v>#REF!</v>
      </c>
      <c r="Z27" t="str">
        <f>AND(#REF!,"AAAAAHuFnxk=")</f>
        <v>#REF!</v>
      </c>
      <c r="AA27" t="str">
        <f>AND(#REF!,"AAAAAHuFnxo=")</f>
        <v>#REF!</v>
      </c>
      <c r="AB27" t="str">
        <f>AND(#REF!,"AAAAAHuFnxs=")</f>
        <v>#REF!</v>
      </c>
      <c r="AC27" t="str">
        <f>AND(#REF!,"AAAAAHuFnxw=")</f>
        <v>#REF!</v>
      </c>
      <c r="AD27" t="str">
        <f>AND(#REF!,"AAAAAHuFnx0=")</f>
        <v>#REF!</v>
      </c>
      <c r="AE27" t="str">
        <f>AND(#REF!,"AAAAAHuFnx4=")</f>
        <v>#REF!</v>
      </c>
      <c r="AF27" t="str">
        <f>AND(#REF!,"AAAAAHuFnx8=")</f>
        <v>#REF!</v>
      </c>
      <c r="AG27" t="str">
        <f>AND(#REF!,"AAAAAHuFnyA=")</f>
        <v>#REF!</v>
      </c>
      <c r="AH27" t="str">
        <f>AND(#REF!,"AAAAAHuFnyE=")</f>
        <v>#REF!</v>
      </c>
      <c r="AI27" t="str">
        <f>AND(#REF!,"AAAAAHuFnyI=")</f>
        <v>#REF!</v>
      </c>
      <c r="AJ27" t="str">
        <f>AND(#REF!,"AAAAAHuFnyM=")</f>
        <v>#REF!</v>
      </c>
      <c r="AK27" t="str">
        <f>AND(#REF!,"AAAAAHuFnyQ=")</f>
        <v>#REF!</v>
      </c>
      <c r="AL27" t="str">
        <f>AND(#REF!,"AAAAAHuFnyU=")</f>
        <v>#REF!</v>
      </c>
      <c r="AM27" t="str">
        <f>AND(#REF!,"AAAAAHuFnyY=")</f>
        <v>#REF!</v>
      </c>
      <c r="AN27" t="str">
        <f>AND(#REF!,"AAAAAHuFnyc=")</f>
        <v>#REF!</v>
      </c>
      <c r="AO27" t="str">
        <f>AND(#REF!,"AAAAAHuFnyg=")</f>
        <v>#REF!</v>
      </c>
      <c r="AP27" t="str">
        <f>AND(#REF!,"AAAAAHuFnyk=")</f>
        <v>#REF!</v>
      </c>
      <c r="AQ27" t="str">
        <f>AND(#REF!,"AAAAAHuFnyo=")</f>
        <v>#REF!</v>
      </c>
      <c r="AR27" t="str">
        <f>AND(#REF!,"AAAAAHuFnys=")</f>
        <v>#REF!</v>
      </c>
      <c r="AS27" t="str">
        <f>AND(#REF!,"AAAAAHuFnyw=")</f>
        <v>#REF!</v>
      </c>
      <c r="AT27" t="str">
        <f>AND(#REF!,"AAAAAHuFny0=")</f>
        <v>#REF!</v>
      </c>
      <c r="AU27" t="str">
        <f>AND(#REF!,"AAAAAHuFny4=")</f>
        <v>#REF!</v>
      </c>
      <c r="AV27" t="str">
        <f>AND(#REF!,"AAAAAHuFny8=")</f>
        <v>#REF!</v>
      </c>
      <c r="AW27" t="str">
        <f>AND(#REF!,"AAAAAHuFnzA=")</f>
        <v>#REF!</v>
      </c>
      <c r="AX27" t="str">
        <f>AND(#REF!,"AAAAAHuFnzE=")</f>
        <v>#REF!</v>
      </c>
      <c r="AY27" t="str">
        <f>AND(#REF!,"AAAAAHuFnzI=")</f>
        <v>#REF!</v>
      </c>
      <c r="AZ27" t="str">
        <f>AND(#REF!,"AAAAAHuFnzM=")</f>
        <v>#REF!</v>
      </c>
      <c r="BA27" t="str">
        <f>AND(#REF!,"AAAAAHuFnzQ=")</f>
        <v>#REF!</v>
      </c>
      <c r="BB27" t="str">
        <f>AND(#REF!,"AAAAAHuFnzU=")</f>
        <v>#REF!</v>
      </c>
      <c r="BC27" t="str">
        <f>AND(#REF!,"AAAAAHuFnzY=")</f>
        <v>#REF!</v>
      </c>
      <c r="BD27" t="str">
        <f>AND(#REF!,"AAAAAHuFnzc=")</f>
        <v>#REF!</v>
      </c>
      <c r="BE27" t="str">
        <f>AND(#REF!,"AAAAAHuFnzg=")</f>
        <v>#REF!</v>
      </c>
      <c r="BF27" t="str">
        <f>AND(#REF!,"AAAAAHuFnzk=")</f>
        <v>#REF!</v>
      </c>
      <c r="BG27" t="str">
        <f>AND(#REF!,"AAAAAHuFnzo=")</f>
        <v>#REF!</v>
      </c>
      <c r="BH27" t="str">
        <f>AND(#REF!,"AAAAAHuFnzs=")</f>
        <v>#REF!</v>
      </c>
      <c r="BI27" t="str">
        <f>AND(#REF!,"AAAAAHuFnzw=")</f>
        <v>#REF!</v>
      </c>
      <c r="BJ27" t="str">
        <f>AND(#REF!,"AAAAAHuFnz0=")</f>
        <v>#REF!</v>
      </c>
      <c r="BK27" t="str">
        <f>AND(#REF!,"AAAAAHuFnz4=")</f>
        <v>#REF!</v>
      </c>
      <c r="BL27" t="str">
        <f>AND(#REF!,"AAAAAHuFnz8=")</f>
        <v>#REF!</v>
      </c>
      <c r="BM27" t="str">
        <f>AND(#REF!,"AAAAAHuFn0A=")</f>
        <v>#REF!</v>
      </c>
      <c r="BN27" t="str">
        <f>AND(#REF!,"AAAAAHuFn0E=")</f>
        <v>#REF!</v>
      </c>
      <c r="BO27" t="str">
        <f>AND(#REF!,"AAAAAHuFn0I=")</f>
        <v>#REF!</v>
      </c>
      <c r="BP27" t="str">
        <f>AND(#REF!,"AAAAAHuFn0M=")</f>
        <v>#REF!</v>
      </c>
      <c r="BQ27" t="str">
        <f>AND(#REF!,"AAAAAHuFn0Q=")</f>
        <v>#REF!</v>
      </c>
      <c r="BR27" t="str">
        <f>AND(#REF!,"AAAAAHuFn0U=")</f>
        <v>#REF!</v>
      </c>
      <c r="BS27" t="str">
        <f>AND(#REF!,"AAAAAHuFn0Y=")</f>
        <v>#REF!</v>
      </c>
      <c r="BT27" t="str">
        <f>AND(#REF!,"AAAAAHuFn0c=")</f>
        <v>#REF!</v>
      </c>
      <c r="BU27" t="str">
        <f>AND(#REF!,"AAAAAHuFn0g=")</f>
        <v>#REF!</v>
      </c>
      <c r="BV27" t="str">
        <f>AND(#REF!,"AAAAAHuFn0k=")</f>
        <v>#REF!</v>
      </c>
      <c r="BW27" t="str">
        <f>AND(#REF!,"AAAAAHuFn0o=")</f>
        <v>#REF!</v>
      </c>
      <c r="BX27" t="str">
        <f>AND(#REF!,"AAAAAHuFn0s=")</f>
        <v>#REF!</v>
      </c>
      <c r="BY27" t="str">
        <f>AND(#REF!,"AAAAAHuFn0w=")</f>
        <v>#REF!</v>
      </c>
      <c r="BZ27" t="str">
        <f>AND(#REF!,"AAAAAHuFn00=")</f>
        <v>#REF!</v>
      </c>
      <c r="CA27" t="str">
        <f>AND(#REF!,"AAAAAHuFn04=")</f>
        <v>#REF!</v>
      </c>
      <c r="CB27" t="str">
        <f>AND(#REF!,"AAAAAHuFn08=")</f>
        <v>#REF!</v>
      </c>
      <c r="CC27" t="str">
        <f>AND(#REF!,"AAAAAHuFn1A=")</f>
        <v>#REF!</v>
      </c>
      <c r="CD27" t="str">
        <f>AND(#REF!,"AAAAAHuFn1E=")</f>
        <v>#REF!</v>
      </c>
      <c r="CE27" t="str">
        <f>IF(#REF!,"AAAAAHuFn1I=",0)</f>
        <v>#REF!</v>
      </c>
      <c r="CF27" t="str">
        <f>AND(#REF!,"AAAAAHuFn1M=")</f>
        <v>#REF!</v>
      </c>
      <c r="CG27" t="str">
        <f>AND(#REF!,"AAAAAHuFn1Q=")</f>
        <v>#REF!</v>
      </c>
      <c r="CH27" t="str">
        <f>AND(#REF!,"AAAAAHuFn1U=")</f>
        <v>#REF!</v>
      </c>
      <c r="CI27" t="str">
        <f>AND(#REF!,"AAAAAHuFn1Y=")</f>
        <v>#REF!</v>
      </c>
      <c r="CJ27" t="str">
        <f>AND(#REF!,"AAAAAHuFn1c=")</f>
        <v>#REF!</v>
      </c>
      <c r="CK27" t="str">
        <f>AND(#REF!,"AAAAAHuFn1g=")</f>
        <v>#REF!</v>
      </c>
      <c r="CL27" t="str">
        <f>AND(#REF!,"AAAAAHuFn1k=")</f>
        <v>#REF!</v>
      </c>
      <c r="CM27" t="str">
        <f>AND(#REF!,"AAAAAHuFn1o=")</f>
        <v>#REF!</v>
      </c>
      <c r="CN27" t="str">
        <f>AND(#REF!,"AAAAAHuFn1s=")</f>
        <v>#REF!</v>
      </c>
      <c r="CO27" t="str">
        <f>AND(#REF!,"AAAAAHuFn1w=")</f>
        <v>#REF!</v>
      </c>
      <c r="CP27" t="str">
        <f>AND(#REF!,"AAAAAHuFn10=")</f>
        <v>#REF!</v>
      </c>
      <c r="CQ27" t="str">
        <f>AND(#REF!,"AAAAAHuFn14=")</f>
        <v>#REF!</v>
      </c>
      <c r="CR27" t="str">
        <f>AND(#REF!,"AAAAAHuFn18=")</f>
        <v>#REF!</v>
      </c>
      <c r="CS27" t="str">
        <f>AND(#REF!,"AAAAAHuFn2A=")</f>
        <v>#REF!</v>
      </c>
      <c r="CT27" t="str">
        <f>AND(#REF!,"AAAAAHuFn2E=")</f>
        <v>#REF!</v>
      </c>
      <c r="CU27" t="str">
        <f>AND(#REF!,"AAAAAHuFn2I=")</f>
        <v>#REF!</v>
      </c>
      <c r="CV27" t="str">
        <f>AND(#REF!,"AAAAAHuFn2M=")</f>
        <v>#REF!</v>
      </c>
      <c r="CW27" t="str">
        <f>AND(#REF!,"AAAAAHuFn2Q=")</f>
        <v>#REF!</v>
      </c>
      <c r="CX27" t="str">
        <f>AND(#REF!,"AAAAAHuFn2U=")</f>
        <v>#REF!</v>
      </c>
      <c r="CY27" t="str">
        <f>AND(#REF!,"AAAAAHuFn2Y=")</f>
        <v>#REF!</v>
      </c>
      <c r="CZ27" t="str">
        <f>AND(#REF!,"AAAAAHuFn2c=")</f>
        <v>#REF!</v>
      </c>
      <c r="DA27" t="str">
        <f>AND(#REF!,"AAAAAHuFn2g=")</f>
        <v>#REF!</v>
      </c>
      <c r="DB27" t="str">
        <f>AND(#REF!,"AAAAAHuFn2k=")</f>
        <v>#REF!</v>
      </c>
      <c r="DC27" t="str">
        <f>AND(#REF!,"AAAAAHuFn2o=")</f>
        <v>#REF!</v>
      </c>
      <c r="DD27" t="str">
        <f>AND(#REF!,"AAAAAHuFn2s=")</f>
        <v>#REF!</v>
      </c>
      <c r="DE27" t="str">
        <f>AND(#REF!,"AAAAAHuFn2w=")</f>
        <v>#REF!</v>
      </c>
      <c r="DF27" t="str">
        <f>AND(#REF!,"AAAAAHuFn20=")</f>
        <v>#REF!</v>
      </c>
      <c r="DG27" t="str">
        <f>AND(#REF!,"AAAAAHuFn24=")</f>
        <v>#REF!</v>
      </c>
      <c r="DH27" t="str">
        <f>AND(#REF!,"AAAAAHuFn28=")</f>
        <v>#REF!</v>
      </c>
      <c r="DI27" t="str">
        <f>AND(#REF!,"AAAAAHuFn3A=")</f>
        <v>#REF!</v>
      </c>
      <c r="DJ27" t="str">
        <f>AND(#REF!,"AAAAAHuFn3E=")</f>
        <v>#REF!</v>
      </c>
      <c r="DK27" t="str">
        <f>AND(#REF!,"AAAAAHuFn3I=")</f>
        <v>#REF!</v>
      </c>
      <c r="DL27" t="str">
        <f>AND(#REF!,"AAAAAHuFn3M=")</f>
        <v>#REF!</v>
      </c>
      <c r="DM27" t="str">
        <f>AND(#REF!,"AAAAAHuFn3Q=")</f>
        <v>#REF!</v>
      </c>
      <c r="DN27" t="str">
        <f>AND(#REF!,"AAAAAHuFn3U=")</f>
        <v>#REF!</v>
      </c>
      <c r="DO27" t="str">
        <f>AND(#REF!,"AAAAAHuFn3Y=")</f>
        <v>#REF!</v>
      </c>
      <c r="DP27" t="str">
        <f>AND(#REF!,"AAAAAHuFn3c=")</f>
        <v>#REF!</v>
      </c>
      <c r="DQ27" t="str">
        <f>AND(#REF!,"AAAAAHuFn3g=")</f>
        <v>#REF!</v>
      </c>
      <c r="DR27" t="str">
        <f>AND(#REF!,"AAAAAHuFn3k=")</f>
        <v>#REF!</v>
      </c>
      <c r="DS27" t="str">
        <f>AND(#REF!,"AAAAAHuFn3o=")</f>
        <v>#REF!</v>
      </c>
      <c r="DT27" t="str">
        <f>AND(#REF!,"AAAAAHuFn3s=")</f>
        <v>#REF!</v>
      </c>
      <c r="DU27" t="str">
        <f>AND(#REF!,"AAAAAHuFn3w=")</f>
        <v>#REF!</v>
      </c>
      <c r="DV27" t="str">
        <f>AND(#REF!,"AAAAAHuFn30=")</f>
        <v>#REF!</v>
      </c>
      <c r="DW27" t="str">
        <f>AND(#REF!,"AAAAAHuFn34=")</f>
        <v>#REF!</v>
      </c>
      <c r="DX27" t="str">
        <f>AND(#REF!,"AAAAAHuFn38=")</f>
        <v>#REF!</v>
      </c>
      <c r="DY27" t="str">
        <f>AND(#REF!,"AAAAAHuFn4A=")</f>
        <v>#REF!</v>
      </c>
      <c r="DZ27" t="str">
        <f>AND(#REF!,"AAAAAHuFn4E=")</f>
        <v>#REF!</v>
      </c>
      <c r="EA27" t="str">
        <f>AND(#REF!,"AAAAAHuFn4I=")</f>
        <v>#REF!</v>
      </c>
      <c r="EB27" t="str">
        <f>AND(#REF!,"AAAAAHuFn4M=")</f>
        <v>#REF!</v>
      </c>
      <c r="EC27" t="str">
        <f>AND(#REF!,"AAAAAHuFn4Q=")</f>
        <v>#REF!</v>
      </c>
      <c r="ED27" t="str">
        <f>AND(#REF!,"AAAAAHuFn4U=")</f>
        <v>#REF!</v>
      </c>
      <c r="EE27" t="str">
        <f>AND(#REF!,"AAAAAHuFn4Y=")</f>
        <v>#REF!</v>
      </c>
      <c r="EF27" t="str">
        <f>AND(#REF!,"AAAAAHuFn4c=")</f>
        <v>#REF!</v>
      </c>
      <c r="EG27" t="str">
        <f>AND(#REF!,"AAAAAHuFn4g=")</f>
        <v>#REF!</v>
      </c>
      <c r="EH27" t="str">
        <f>AND(#REF!,"AAAAAHuFn4k=")</f>
        <v>#REF!</v>
      </c>
      <c r="EI27" t="str">
        <f>AND(#REF!,"AAAAAHuFn4o=")</f>
        <v>#REF!</v>
      </c>
      <c r="EJ27" t="str">
        <f>AND(#REF!,"AAAAAHuFn4s=")</f>
        <v>#REF!</v>
      </c>
      <c r="EK27" t="str">
        <f>AND(#REF!,"AAAAAHuFn4w=")</f>
        <v>#REF!</v>
      </c>
      <c r="EL27" t="str">
        <f>AND(#REF!,"AAAAAHuFn40=")</f>
        <v>#REF!</v>
      </c>
      <c r="EM27" t="str">
        <f>AND(#REF!,"AAAAAHuFn44=")</f>
        <v>#REF!</v>
      </c>
      <c r="EN27" t="str">
        <f>AND(#REF!,"AAAAAHuFn48=")</f>
        <v>#REF!</v>
      </c>
      <c r="EO27" t="str">
        <f>AND(#REF!,"AAAAAHuFn5A=")</f>
        <v>#REF!</v>
      </c>
      <c r="EP27" t="str">
        <f>AND(#REF!,"AAAAAHuFn5E=")</f>
        <v>#REF!</v>
      </c>
      <c r="EQ27" t="str">
        <f>AND(#REF!,"AAAAAHuFn5I=")</f>
        <v>#REF!</v>
      </c>
      <c r="ER27" t="str">
        <f>AND(#REF!,"AAAAAHuFn5M=")</f>
        <v>#REF!</v>
      </c>
      <c r="ES27" t="str">
        <f>AND(#REF!,"AAAAAHuFn5Q=")</f>
        <v>#REF!</v>
      </c>
      <c r="ET27" t="str">
        <f>AND(#REF!,"AAAAAHuFn5U=")</f>
        <v>#REF!</v>
      </c>
      <c r="EU27" t="str">
        <f>AND(#REF!,"AAAAAHuFn5Y=")</f>
        <v>#REF!</v>
      </c>
      <c r="EV27" t="str">
        <f>AND(#REF!,"AAAAAHuFn5c=")</f>
        <v>#REF!</v>
      </c>
      <c r="EW27" t="str">
        <f>AND(#REF!,"AAAAAHuFn5g=")</f>
        <v>#REF!</v>
      </c>
      <c r="EX27" t="str">
        <f>AND(#REF!,"AAAAAHuFn5k=")</f>
        <v>#REF!</v>
      </c>
      <c r="EY27" t="str">
        <f>AND(#REF!,"AAAAAHuFn5o=")</f>
        <v>#REF!</v>
      </c>
      <c r="EZ27" t="str">
        <f>AND(#REF!,"AAAAAHuFn5s=")</f>
        <v>#REF!</v>
      </c>
      <c r="FA27" t="str">
        <f>AND(#REF!,"AAAAAHuFn5w=")</f>
        <v>#REF!</v>
      </c>
      <c r="FB27" t="str">
        <f>AND(#REF!,"AAAAAHuFn50=")</f>
        <v>#REF!</v>
      </c>
      <c r="FC27" t="str">
        <f>IF(#REF!,"AAAAAHuFn54=",0)</f>
        <v>#REF!</v>
      </c>
      <c r="FD27" t="str">
        <f>AND(#REF!,"AAAAAHuFn58=")</f>
        <v>#REF!</v>
      </c>
      <c r="FE27" t="str">
        <f>AND(#REF!,"AAAAAHuFn6A=")</f>
        <v>#REF!</v>
      </c>
      <c r="FF27" t="str">
        <f>AND(#REF!,"AAAAAHuFn6E=")</f>
        <v>#REF!</v>
      </c>
      <c r="FG27" t="str">
        <f>AND(#REF!,"AAAAAHuFn6I=")</f>
        <v>#REF!</v>
      </c>
      <c r="FH27" t="str">
        <f>AND(#REF!,"AAAAAHuFn6M=")</f>
        <v>#REF!</v>
      </c>
      <c r="FI27" t="str">
        <f>AND(#REF!,"AAAAAHuFn6Q=")</f>
        <v>#REF!</v>
      </c>
      <c r="FJ27" t="str">
        <f>AND(#REF!,"AAAAAHuFn6U=")</f>
        <v>#REF!</v>
      </c>
      <c r="FK27" t="str">
        <f>AND(#REF!,"AAAAAHuFn6Y=")</f>
        <v>#REF!</v>
      </c>
      <c r="FL27" t="str">
        <f>AND(#REF!,"AAAAAHuFn6c=")</f>
        <v>#REF!</v>
      </c>
      <c r="FM27" t="str">
        <f>AND(#REF!,"AAAAAHuFn6g=")</f>
        <v>#REF!</v>
      </c>
      <c r="FN27" t="str">
        <f>AND(#REF!,"AAAAAHuFn6k=")</f>
        <v>#REF!</v>
      </c>
      <c r="FO27" t="str">
        <f>AND(#REF!,"AAAAAHuFn6o=")</f>
        <v>#REF!</v>
      </c>
      <c r="FP27" t="str">
        <f>AND(#REF!,"AAAAAHuFn6s=")</f>
        <v>#REF!</v>
      </c>
      <c r="FQ27" t="str">
        <f>AND(#REF!,"AAAAAHuFn6w=")</f>
        <v>#REF!</v>
      </c>
      <c r="FR27" t="str">
        <f>AND(#REF!,"AAAAAHuFn60=")</f>
        <v>#REF!</v>
      </c>
      <c r="FS27" t="str">
        <f>AND(#REF!,"AAAAAHuFn64=")</f>
        <v>#REF!</v>
      </c>
      <c r="FT27" t="str">
        <f>AND(#REF!,"AAAAAHuFn68=")</f>
        <v>#REF!</v>
      </c>
      <c r="FU27" t="str">
        <f>AND(#REF!,"AAAAAHuFn7A=")</f>
        <v>#REF!</v>
      </c>
      <c r="FV27" t="str">
        <f>AND(#REF!,"AAAAAHuFn7E=")</f>
        <v>#REF!</v>
      </c>
      <c r="FW27" t="str">
        <f>AND(#REF!,"AAAAAHuFn7I=")</f>
        <v>#REF!</v>
      </c>
      <c r="FX27" t="str">
        <f>AND(#REF!,"AAAAAHuFn7M=")</f>
        <v>#REF!</v>
      </c>
      <c r="FY27" t="str">
        <f>AND(#REF!,"AAAAAHuFn7Q=")</f>
        <v>#REF!</v>
      </c>
      <c r="FZ27" t="str">
        <f>AND(#REF!,"AAAAAHuFn7U=")</f>
        <v>#REF!</v>
      </c>
      <c r="GA27" t="str">
        <f>AND(#REF!,"AAAAAHuFn7Y=")</f>
        <v>#REF!</v>
      </c>
      <c r="GB27" t="str">
        <f>AND(#REF!,"AAAAAHuFn7c=")</f>
        <v>#REF!</v>
      </c>
      <c r="GC27" t="str">
        <f>AND(#REF!,"AAAAAHuFn7g=")</f>
        <v>#REF!</v>
      </c>
      <c r="GD27" t="str">
        <f>AND(#REF!,"AAAAAHuFn7k=")</f>
        <v>#REF!</v>
      </c>
      <c r="GE27" t="str">
        <f>AND(#REF!,"AAAAAHuFn7o=")</f>
        <v>#REF!</v>
      </c>
      <c r="GF27" t="str">
        <f>AND(#REF!,"AAAAAHuFn7s=")</f>
        <v>#REF!</v>
      </c>
      <c r="GG27" t="str">
        <f>AND(#REF!,"AAAAAHuFn7w=")</f>
        <v>#REF!</v>
      </c>
      <c r="GH27" t="str">
        <f>AND(#REF!,"AAAAAHuFn70=")</f>
        <v>#REF!</v>
      </c>
      <c r="GI27" t="str">
        <f>AND(#REF!,"AAAAAHuFn74=")</f>
        <v>#REF!</v>
      </c>
      <c r="GJ27" t="str">
        <f>AND(#REF!,"AAAAAHuFn78=")</f>
        <v>#REF!</v>
      </c>
      <c r="GK27" t="str">
        <f>AND(#REF!,"AAAAAHuFn8A=")</f>
        <v>#REF!</v>
      </c>
      <c r="GL27" t="str">
        <f>AND(#REF!,"AAAAAHuFn8E=")</f>
        <v>#REF!</v>
      </c>
      <c r="GM27" t="str">
        <f>AND(#REF!,"AAAAAHuFn8I=")</f>
        <v>#REF!</v>
      </c>
      <c r="GN27" t="str">
        <f>AND(#REF!,"AAAAAHuFn8M=")</f>
        <v>#REF!</v>
      </c>
      <c r="GO27" t="str">
        <f>AND(#REF!,"AAAAAHuFn8Q=")</f>
        <v>#REF!</v>
      </c>
      <c r="GP27" t="str">
        <f>AND(#REF!,"AAAAAHuFn8U=")</f>
        <v>#REF!</v>
      </c>
      <c r="GQ27" t="str">
        <f>AND(#REF!,"AAAAAHuFn8Y=")</f>
        <v>#REF!</v>
      </c>
      <c r="GR27" t="str">
        <f>AND(#REF!,"AAAAAHuFn8c=")</f>
        <v>#REF!</v>
      </c>
      <c r="GS27" t="str">
        <f>AND(#REF!,"AAAAAHuFn8g=")</f>
        <v>#REF!</v>
      </c>
      <c r="GT27" t="str">
        <f>AND(#REF!,"AAAAAHuFn8k=")</f>
        <v>#REF!</v>
      </c>
      <c r="GU27" t="str">
        <f>AND(#REF!,"AAAAAHuFn8o=")</f>
        <v>#REF!</v>
      </c>
      <c r="GV27" t="str">
        <f>AND(#REF!,"AAAAAHuFn8s=")</f>
        <v>#REF!</v>
      </c>
      <c r="GW27" t="str">
        <f>AND(#REF!,"AAAAAHuFn8w=")</f>
        <v>#REF!</v>
      </c>
      <c r="GX27" t="str">
        <f>AND(#REF!,"AAAAAHuFn80=")</f>
        <v>#REF!</v>
      </c>
      <c r="GY27" t="str">
        <f>AND(#REF!,"AAAAAHuFn84=")</f>
        <v>#REF!</v>
      </c>
      <c r="GZ27" t="str">
        <f>AND(#REF!,"AAAAAHuFn88=")</f>
        <v>#REF!</v>
      </c>
      <c r="HA27" t="str">
        <f>AND(#REF!,"AAAAAHuFn9A=")</f>
        <v>#REF!</v>
      </c>
      <c r="HB27" t="str">
        <f>AND(#REF!,"AAAAAHuFn9E=")</f>
        <v>#REF!</v>
      </c>
      <c r="HC27" t="str">
        <f>AND(#REF!,"AAAAAHuFn9I=")</f>
        <v>#REF!</v>
      </c>
      <c r="HD27" t="str">
        <f>AND(#REF!,"AAAAAHuFn9M=")</f>
        <v>#REF!</v>
      </c>
      <c r="HE27" t="str">
        <f>AND(#REF!,"AAAAAHuFn9Q=")</f>
        <v>#REF!</v>
      </c>
      <c r="HF27" t="str">
        <f>AND(#REF!,"AAAAAHuFn9U=")</f>
        <v>#REF!</v>
      </c>
      <c r="HG27" t="str">
        <f>AND(#REF!,"AAAAAHuFn9Y=")</f>
        <v>#REF!</v>
      </c>
      <c r="HH27" t="str">
        <f>AND(#REF!,"AAAAAHuFn9c=")</f>
        <v>#REF!</v>
      </c>
      <c r="HI27" t="str">
        <f>AND(#REF!,"AAAAAHuFn9g=")</f>
        <v>#REF!</v>
      </c>
      <c r="HJ27" t="str">
        <f>AND(#REF!,"AAAAAHuFn9k=")</f>
        <v>#REF!</v>
      </c>
      <c r="HK27" t="str">
        <f>AND(#REF!,"AAAAAHuFn9o=")</f>
        <v>#REF!</v>
      </c>
      <c r="HL27" t="str">
        <f>AND(#REF!,"AAAAAHuFn9s=")</f>
        <v>#REF!</v>
      </c>
      <c r="HM27" t="str">
        <f>AND(#REF!,"AAAAAHuFn9w=")</f>
        <v>#REF!</v>
      </c>
      <c r="HN27" t="str">
        <f>AND(#REF!,"AAAAAHuFn90=")</f>
        <v>#REF!</v>
      </c>
      <c r="HO27" t="str">
        <f>AND(#REF!,"AAAAAHuFn94=")</f>
        <v>#REF!</v>
      </c>
      <c r="HP27" t="str">
        <f>AND(#REF!,"AAAAAHuFn98=")</f>
        <v>#REF!</v>
      </c>
      <c r="HQ27" t="str">
        <f>AND(#REF!,"AAAAAHuFn+A=")</f>
        <v>#REF!</v>
      </c>
      <c r="HR27" t="str">
        <f>AND(#REF!,"AAAAAHuFn+E=")</f>
        <v>#REF!</v>
      </c>
      <c r="HS27" t="str">
        <f>AND(#REF!,"AAAAAHuFn+I=")</f>
        <v>#REF!</v>
      </c>
      <c r="HT27" t="str">
        <f>AND(#REF!,"AAAAAHuFn+M=")</f>
        <v>#REF!</v>
      </c>
      <c r="HU27" t="str">
        <f>AND(#REF!,"AAAAAHuFn+Q=")</f>
        <v>#REF!</v>
      </c>
      <c r="HV27" t="str">
        <f>AND(#REF!,"AAAAAHuFn+U=")</f>
        <v>#REF!</v>
      </c>
      <c r="HW27" t="str">
        <f>AND(#REF!,"AAAAAHuFn+Y=")</f>
        <v>#REF!</v>
      </c>
      <c r="HX27" t="str">
        <f>AND(#REF!,"AAAAAHuFn+c=")</f>
        <v>#REF!</v>
      </c>
      <c r="HY27" t="str">
        <f>AND(#REF!,"AAAAAHuFn+g=")</f>
        <v>#REF!</v>
      </c>
      <c r="HZ27" t="str">
        <f>AND(#REF!,"AAAAAHuFn+k=")</f>
        <v>#REF!</v>
      </c>
      <c r="IA27" t="str">
        <f>IF(#REF!,"AAAAAHuFn+o=",0)</f>
        <v>#REF!</v>
      </c>
      <c r="IB27" t="str">
        <f>AND(#REF!,"AAAAAHuFn+s=")</f>
        <v>#REF!</v>
      </c>
      <c r="IC27" t="str">
        <f>AND(#REF!,"AAAAAHuFn+w=")</f>
        <v>#REF!</v>
      </c>
      <c r="ID27" t="str">
        <f>AND(#REF!,"AAAAAHuFn+0=")</f>
        <v>#REF!</v>
      </c>
      <c r="IE27" t="str">
        <f>AND(#REF!,"AAAAAHuFn+4=")</f>
        <v>#REF!</v>
      </c>
      <c r="IF27" t="str">
        <f>AND(#REF!,"AAAAAHuFn+8=")</f>
        <v>#REF!</v>
      </c>
      <c r="IG27" t="str">
        <f>AND(#REF!,"AAAAAHuFn/A=")</f>
        <v>#REF!</v>
      </c>
      <c r="IH27" t="str">
        <f>AND(#REF!,"AAAAAHuFn/E=")</f>
        <v>#REF!</v>
      </c>
      <c r="II27" t="str">
        <f>AND(#REF!,"AAAAAHuFn/I=")</f>
        <v>#REF!</v>
      </c>
      <c r="IJ27" t="str">
        <f>AND(#REF!,"AAAAAHuFn/M=")</f>
        <v>#REF!</v>
      </c>
      <c r="IK27" t="str">
        <f>AND(#REF!,"AAAAAHuFn/Q=")</f>
        <v>#REF!</v>
      </c>
      <c r="IL27" t="str">
        <f>AND(#REF!,"AAAAAHuFn/U=")</f>
        <v>#REF!</v>
      </c>
      <c r="IM27" t="str">
        <f>AND(#REF!,"AAAAAHuFn/Y=")</f>
        <v>#REF!</v>
      </c>
      <c r="IN27" t="str">
        <f>AND(#REF!,"AAAAAHuFn/c=")</f>
        <v>#REF!</v>
      </c>
      <c r="IO27" t="str">
        <f>AND(#REF!,"AAAAAHuFn/g=")</f>
        <v>#REF!</v>
      </c>
      <c r="IP27" t="str">
        <f>AND(#REF!,"AAAAAHuFn/k=")</f>
        <v>#REF!</v>
      </c>
      <c r="IQ27" t="str">
        <f>AND(#REF!,"AAAAAHuFn/o=")</f>
        <v>#REF!</v>
      </c>
      <c r="IR27" t="str">
        <f>AND(#REF!,"AAAAAHuFn/s=")</f>
        <v>#REF!</v>
      </c>
      <c r="IS27" t="str">
        <f>AND(#REF!,"AAAAAHuFn/w=")</f>
        <v>#REF!</v>
      </c>
      <c r="IT27" t="str">
        <f>AND(#REF!,"AAAAAHuFn/0=")</f>
        <v>#REF!</v>
      </c>
      <c r="IU27" t="str">
        <f>AND(#REF!,"AAAAAHuFn/4=")</f>
        <v>#REF!</v>
      </c>
      <c r="IV27" t="str">
        <f>AND(#REF!,"AAAAAHuFn/8=")</f>
        <v>#REF!</v>
      </c>
    </row>
    <row r="28" ht="15.75" customHeight="1">
      <c r="A28" t="str">
        <f>AND(#REF!,"AAAAAH7+tgA=")</f>
        <v>#REF!</v>
      </c>
      <c r="B28" t="str">
        <f>AND(#REF!,"AAAAAH7+tgE=")</f>
        <v>#REF!</v>
      </c>
      <c r="C28" t="str">
        <f>AND(#REF!,"AAAAAH7+tgI=")</f>
        <v>#REF!</v>
      </c>
      <c r="D28" t="str">
        <f>AND(#REF!,"AAAAAH7+tgM=")</f>
        <v>#REF!</v>
      </c>
      <c r="E28" t="str">
        <f>AND(#REF!,"AAAAAH7+tgQ=")</f>
        <v>#REF!</v>
      </c>
      <c r="F28" t="str">
        <f>AND(#REF!,"AAAAAH7+tgU=")</f>
        <v>#REF!</v>
      </c>
      <c r="G28" t="str">
        <f>AND(#REF!,"AAAAAH7+tgY=")</f>
        <v>#REF!</v>
      </c>
      <c r="H28" t="str">
        <f>AND(#REF!,"AAAAAH7+tgc=")</f>
        <v>#REF!</v>
      </c>
      <c r="I28" t="str">
        <f>AND(#REF!,"AAAAAH7+tgg=")</f>
        <v>#REF!</v>
      </c>
      <c r="J28" t="str">
        <f>AND(#REF!,"AAAAAH7+tgk=")</f>
        <v>#REF!</v>
      </c>
      <c r="K28" t="str">
        <f>AND(#REF!,"AAAAAH7+tgo=")</f>
        <v>#REF!</v>
      </c>
      <c r="L28" t="str">
        <f>AND(#REF!,"AAAAAH7+tgs=")</f>
        <v>#REF!</v>
      </c>
      <c r="M28" t="str">
        <f>AND(#REF!,"AAAAAH7+tgw=")</f>
        <v>#REF!</v>
      </c>
      <c r="N28" t="str">
        <f>AND(#REF!,"AAAAAH7+tg0=")</f>
        <v>#REF!</v>
      </c>
      <c r="O28" t="str">
        <f>AND(#REF!,"AAAAAH7+tg4=")</f>
        <v>#REF!</v>
      </c>
      <c r="P28" t="str">
        <f>AND(#REF!,"AAAAAH7+tg8=")</f>
        <v>#REF!</v>
      </c>
      <c r="Q28" t="str">
        <f>AND(#REF!,"AAAAAH7+thA=")</f>
        <v>#REF!</v>
      </c>
      <c r="R28" t="str">
        <f>AND(#REF!,"AAAAAH7+thE=")</f>
        <v>#REF!</v>
      </c>
      <c r="S28" t="str">
        <f>AND(#REF!,"AAAAAH7+thI=")</f>
        <v>#REF!</v>
      </c>
      <c r="T28" t="str">
        <f>AND(#REF!,"AAAAAH7+thM=")</f>
        <v>#REF!</v>
      </c>
      <c r="U28" t="str">
        <f>AND(#REF!,"AAAAAH7+thQ=")</f>
        <v>#REF!</v>
      </c>
      <c r="V28" t="str">
        <f>AND(#REF!,"AAAAAH7+thU=")</f>
        <v>#REF!</v>
      </c>
      <c r="W28" t="str">
        <f>AND(#REF!,"AAAAAH7+thY=")</f>
        <v>#REF!</v>
      </c>
      <c r="X28" t="str">
        <f>AND(#REF!,"AAAAAH7+thc=")</f>
        <v>#REF!</v>
      </c>
      <c r="Y28" t="str">
        <f>AND(#REF!,"AAAAAH7+thg=")</f>
        <v>#REF!</v>
      </c>
      <c r="Z28" t="str">
        <f>AND(#REF!,"AAAAAH7+thk=")</f>
        <v>#REF!</v>
      </c>
      <c r="AA28" t="str">
        <f>AND(#REF!,"AAAAAH7+tho=")</f>
        <v>#REF!</v>
      </c>
      <c r="AB28" t="str">
        <f>AND(#REF!,"AAAAAH7+ths=")</f>
        <v>#REF!</v>
      </c>
      <c r="AC28" t="str">
        <f>AND(#REF!,"AAAAAH7+thw=")</f>
        <v>#REF!</v>
      </c>
      <c r="AD28" t="str">
        <f>AND(#REF!,"AAAAAH7+th0=")</f>
        <v>#REF!</v>
      </c>
      <c r="AE28" t="str">
        <f>AND(#REF!,"AAAAAH7+th4=")</f>
        <v>#REF!</v>
      </c>
      <c r="AF28" t="str">
        <f>AND(#REF!,"AAAAAH7+th8=")</f>
        <v>#REF!</v>
      </c>
      <c r="AG28" t="str">
        <f>AND(#REF!,"AAAAAH7+tiA=")</f>
        <v>#REF!</v>
      </c>
      <c r="AH28" t="str">
        <f>AND(#REF!,"AAAAAH7+tiE=")</f>
        <v>#REF!</v>
      </c>
      <c r="AI28" t="str">
        <f>AND(#REF!,"AAAAAH7+tiI=")</f>
        <v>#REF!</v>
      </c>
      <c r="AJ28" t="str">
        <f>AND(#REF!,"AAAAAH7+tiM=")</f>
        <v>#REF!</v>
      </c>
      <c r="AK28" t="str">
        <f>AND(#REF!,"AAAAAH7+tiQ=")</f>
        <v>#REF!</v>
      </c>
      <c r="AL28" t="str">
        <f>AND(#REF!,"AAAAAH7+tiU=")</f>
        <v>#REF!</v>
      </c>
      <c r="AM28" t="str">
        <f>AND(#REF!,"AAAAAH7+tiY=")</f>
        <v>#REF!</v>
      </c>
      <c r="AN28" t="str">
        <f>AND(#REF!,"AAAAAH7+tic=")</f>
        <v>#REF!</v>
      </c>
      <c r="AO28" t="str">
        <f>AND(#REF!,"AAAAAH7+tig=")</f>
        <v>#REF!</v>
      </c>
      <c r="AP28" t="str">
        <f>AND(#REF!,"AAAAAH7+tik=")</f>
        <v>#REF!</v>
      </c>
      <c r="AQ28" t="str">
        <f>AND(#REF!,"AAAAAH7+tio=")</f>
        <v>#REF!</v>
      </c>
      <c r="AR28" t="str">
        <f>AND(#REF!,"AAAAAH7+tis=")</f>
        <v>#REF!</v>
      </c>
      <c r="AS28" t="str">
        <f>AND(#REF!,"AAAAAH7+tiw=")</f>
        <v>#REF!</v>
      </c>
      <c r="AT28" t="str">
        <f>AND(#REF!,"AAAAAH7+ti0=")</f>
        <v>#REF!</v>
      </c>
      <c r="AU28" t="str">
        <f>AND(#REF!,"AAAAAH7+ti4=")</f>
        <v>#REF!</v>
      </c>
      <c r="AV28" t="str">
        <f>AND(#REF!,"AAAAAH7+ti8=")</f>
        <v>#REF!</v>
      </c>
      <c r="AW28" t="str">
        <f>AND(#REF!,"AAAAAH7+tjA=")</f>
        <v>#REF!</v>
      </c>
      <c r="AX28" t="str">
        <f>AND(#REF!,"AAAAAH7+tjE=")</f>
        <v>#REF!</v>
      </c>
      <c r="AY28" t="str">
        <f>AND(#REF!,"AAAAAH7+tjI=")</f>
        <v>#REF!</v>
      </c>
      <c r="AZ28" t="str">
        <f>AND(#REF!,"AAAAAH7+tjM=")</f>
        <v>#REF!</v>
      </c>
      <c r="BA28" t="str">
        <f>AND(#REF!,"AAAAAH7+tjQ=")</f>
        <v>#REF!</v>
      </c>
      <c r="BB28" t="str">
        <f>AND(#REF!,"AAAAAH7+tjU=")</f>
        <v>#REF!</v>
      </c>
      <c r="BC28" t="str">
        <f>IF(#REF!,"AAAAAH7+tjY=",0)</f>
        <v>#REF!</v>
      </c>
      <c r="BD28" t="str">
        <f>AND(#REF!,"AAAAAH7+tjc=")</f>
        <v>#REF!</v>
      </c>
      <c r="BE28" t="str">
        <f>AND(#REF!,"AAAAAH7+tjg=")</f>
        <v>#REF!</v>
      </c>
      <c r="BF28" t="str">
        <f>AND(#REF!,"AAAAAH7+tjk=")</f>
        <v>#REF!</v>
      </c>
      <c r="BG28" t="str">
        <f>AND(#REF!,"AAAAAH7+tjo=")</f>
        <v>#REF!</v>
      </c>
      <c r="BH28" t="str">
        <f>AND(#REF!,"AAAAAH7+tjs=")</f>
        <v>#REF!</v>
      </c>
      <c r="BI28" t="str">
        <f>AND(#REF!,"AAAAAH7+tjw=")</f>
        <v>#REF!</v>
      </c>
      <c r="BJ28" t="str">
        <f>AND(#REF!,"AAAAAH7+tj0=")</f>
        <v>#REF!</v>
      </c>
      <c r="BK28" t="str">
        <f>AND(#REF!,"AAAAAH7+tj4=")</f>
        <v>#REF!</v>
      </c>
      <c r="BL28" t="str">
        <f>AND(#REF!,"AAAAAH7+tj8=")</f>
        <v>#REF!</v>
      </c>
      <c r="BM28" t="str">
        <f>AND(#REF!,"AAAAAH7+tkA=")</f>
        <v>#REF!</v>
      </c>
      <c r="BN28" t="str">
        <f>AND(#REF!,"AAAAAH7+tkE=")</f>
        <v>#REF!</v>
      </c>
      <c r="BO28" t="str">
        <f>AND(#REF!,"AAAAAH7+tkI=")</f>
        <v>#REF!</v>
      </c>
      <c r="BP28" t="str">
        <f>AND(#REF!,"AAAAAH7+tkM=")</f>
        <v>#REF!</v>
      </c>
      <c r="BQ28" t="str">
        <f>AND(#REF!,"AAAAAH7+tkQ=")</f>
        <v>#REF!</v>
      </c>
      <c r="BR28" t="str">
        <f>AND(#REF!,"AAAAAH7+tkU=")</f>
        <v>#REF!</v>
      </c>
      <c r="BS28" t="str">
        <f>AND(#REF!,"AAAAAH7+tkY=")</f>
        <v>#REF!</v>
      </c>
      <c r="BT28" t="str">
        <f>AND(#REF!,"AAAAAH7+tkc=")</f>
        <v>#REF!</v>
      </c>
      <c r="BU28" t="str">
        <f>AND(#REF!,"AAAAAH7+tkg=")</f>
        <v>#REF!</v>
      </c>
      <c r="BV28" t="str">
        <f>AND(#REF!,"AAAAAH7+tkk=")</f>
        <v>#REF!</v>
      </c>
      <c r="BW28" t="str">
        <f>AND(#REF!,"AAAAAH7+tko=")</f>
        <v>#REF!</v>
      </c>
      <c r="BX28" t="str">
        <f>AND(#REF!,"AAAAAH7+tks=")</f>
        <v>#REF!</v>
      </c>
      <c r="BY28" t="str">
        <f>AND(#REF!,"AAAAAH7+tkw=")</f>
        <v>#REF!</v>
      </c>
      <c r="BZ28" t="str">
        <f>AND(#REF!,"AAAAAH7+tk0=")</f>
        <v>#REF!</v>
      </c>
      <c r="CA28" t="str">
        <f>AND(#REF!,"AAAAAH7+tk4=")</f>
        <v>#REF!</v>
      </c>
      <c r="CB28" t="str">
        <f>AND(#REF!,"AAAAAH7+tk8=")</f>
        <v>#REF!</v>
      </c>
      <c r="CC28" t="str">
        <f>AND(#REF!,"AAAAAH7+tlA=")</f>
        <v>#REF!</v>
      </c>
      <c r="CD28" t="str">
        <f>AND(#REF!,"AAAAAH7+tlE=")</f>
        <v>#REF!</v>
      </c>
      <c r="CE28" t="str">
        <f>AND(#REF!,"AAAAAH7+tlI=")</f>
        <v>#REF!</v>
      </c>
      <c r="CF28" t="str">
        <f>AND(#REF!,"AAAAAH7+tlM=")</f>
        <v>#REF!</v>
      </c>
      <c r="CG28" t="str">
        <f>AND(#REF!,"AAAAAH7+tlQ=")</f>
        <v>#REF!</v>
      </c>
      <c r="CH28" t="str">
        <f>AND(#REF!,"AAAAAH7+tlU=")</f>
        <v>#REF!</v>
      </c>
      <c r="CI28" t="str">
        <f>AND(#REF!,"AAAAAH7+tlY=")</f>
        <v>#REF!</v>
      </c>
      <c r="CJ28" t="str">
        <f>AND(#REF!,"AAAAAH7+tlc=")</f>
        <v>#REF!</v>
      </c>
      <c r="CK28" t="str">
        <f>AND(#REF!,"AAAAAH7+tlg=")</f>
        <v>#REF!</v>
      </c>
      <c r="CL28" t="str">
        <f>AND(#REF!,"AAAAAH7+tlk=")</f>
        <v>#REF!</v>
      </c>
      <c r="CM28" t="str">
        <f>AND(#REF!,"AAAAAH7+tlo=")</f>
        <v>#REF!</v>
      </c>
      <c r="CN28" t="str">
        <f>AND(#REF!,"AAAAAH7+tls=")</f>
        <v>#REF!</v>
      </c>
      <c r="CO28" t="str">
        <f>AND(#REF!,"AAAAAH7+tlw=")</f>
        <v>#REF!</v>
      </c>
      <c r="CP28" t="str">
        <f>AND(#REF!,"AAAAAH7+tl0=")</f>
        <v>#REF!</v>
      </c>
      <c r="CQ28" t="str">
        <f>AND(#REF!,"AAAAAH7+tl4=")</f>
        <v>#REF!</v>
      </c>
      <c r="CR28" t="str">
        <f>AND(#REF!,"AAAAAH7+tl8=")</f>
        <v>#REF!</v>
      </c>
      <c r="CS28" t="str">
        <f>AND(#REF!,"AAAAAH7+tmA=")</f>
        <v>#REF!</v>
      </c>
      <c r="CT28" t="str">
        <f>AND(#REF!,"AAAAAH7+tmE=")</f>
        <v>#REF!</v>
      </c>
      <c r="CU28" t="str">
        <f>AND(#REF!,"AAAAAH7+tmI=")</f>
        <v>#REF!</v>
      </c>
      <c r="CV28" t="str">
        <f>AND(#REF!,"AAAAAH7+tmM=")</f>
        <v>#REF!</v>
      </c>
      <c r="CW28" t="str">
        <f>AND(#REF!,"AAAAAH7+tmQ=")</f>
        <v>#REF!</v>
      </c>
      <c r="CX28" t="str">
        <f>AND(#REF!,"AAAAAH7+tmU=")</f>
        <v>#REF!</v>
      </c>
      <c r="CY28" t="str">
        <f>AND(#REF!,"AAAAAH7+tmY=")</f>
        <v>#REF!</v>
      </c>
      <c r="CZ28" t="str">
        <f>AND(#REF!,"AAAAAH7+tmc=")</f>
        <v>#REF!</v>
      </c>
      <c r="DA28" t="str">
        <f>AND(#REF!,"AAAAAH7+tmg=")</f>
        <v>#REF!</v>
      </c>
      <c r="DB28" t="str">
        <f>AND(#REF!,"AAAAAH7+tmk=")</f>
        <v>#REF!</v>
      </c>
      <c r="DC28" t="str">
        <f>AND(#REF!,"AAAAAH7+tmo=")</f>
        <v>#REF!</v>
      </c>
      <c r="DD28" t="str">
        <f>AND(#REF!,"AAAAAH7+tms=")</f>
        <v>#REF!</v>
      </c>
      <c r="DE28" t="str">
        <f>AND(#REF!,"AAAAAH7+tmw=")</f>
        <v>#REF!</v>
      </c>
      <c r="DF28" t="str">
        <f>AND(#REF!,"AAAAAH7+tm0=")</f>
        <v>#REF!</v>
      </c>
      <c r="DG28" t="str">
        <f>AND(#REF!,"AAAAAH7+tm4=")</f>
        <v>#REF!</v>
      </c>
      <c r="DH28" t="str">
        <f>AND(#REF!,"AAAAAH7+tm8=")</f>
        <v>#REF!</v>
      </c>
      <c r="DI28" t="str">
        <f>AND(#REF!,"AAAAAH7+tnA=")</f>
        <v>#REF!</v>
      </c>
      <c r="DJ28" t="str">
        <f>AND(#REF!,"AAAAAH7+tnE=")</f>
        <v>#REF!</v>
      </c>
      <c r="DK28" t="str">
        <f>AND(#REF!,"AAAAAH7+tnI=")</f>
        <v>#REF!</v>
      </c>
      <c r="DL28" t="str">
        <f>AND(#REF!,"AAAAAH7+tnM=")</f>
        <v>#REF!</v>
      </c>
      <c r="DM28" t="str">
        <f>AND(#REF!,"AAAAAH7+tnQ=")</f>
        <v>#REF!</v>
      </c>
      <c r="DN28" t="str">
        <f>AND(#REF!,"AAAAAH7+tnU=")</f>
        <v>#REF!</v>
      </c>
      <c r="DO28" t="str">
        <f>AND(#REF!,"AAAAAH7+tnY=")</f>
        <v>#REF!</v>
      </c>
      <c r="DP28" t="str">
        <f>AND(#REF!,"AAAAAH7+tnc=")</f>
        <v>#REF!</v>
      </c>
      <c r="DQ28" t="str">
        <f>AND(#REF!,"AAAAAH7+tng=")</f>
        <v>#REF!</v>
      </c>
      <c r="DR28" t="str">
        <f>AND(#REF!,"AAAAAH7+tnk=")</f>
        <v>#REF!</v>
      </c>
      <c r="DS28" t="str">
        <f>AND(#REF!,"AAAAAH7+tno=")</f>
        <v>#REF!</v>
      </c>
      <c r="DT28" t="str">
        <f>AND(#REF!,"AAAAAH7+tns=")</f>
        <v>#REF!</v>
      </c>
      <c r="DU28" t="str">
        <f>AND(#REF!,"AAAAAH7+tnw=")</f>
        <v>#REF!</v>
      </c>
      <c r="DV28" t="str">
        <f>AND(#REF!,"AAAAAH7+tn0=")</f>
        <v>#REF!</v>
      </c>
      <c r="DW28" t="str">
        <f>AND(#REF!,"AAAAAH7+tn4=")</f>
        <v>#REF!</v>
      </c>
      <c r="DX28" t="str">
        <f>AND(#REF!,"AAAAAH7+tn8=")</f>
        <v>#REF!</v>
      </c>
      <c r="DY28" t="str">
        <f>AND(#REF!,"AAAAAH7+toA=")</f>
        <v>#REF!</v>
      </c>
      <c r="DZ28" t="str">
        <f>AND(#REF!,"AAAAAH7+toE=")</f>
        <v>#REF!</v>
      </c>
      <c r="EA28" t="str">
        <f>IF(#REF!,"AAAAAH7+toI=",0)</f>
        <v>#REF!</v>
      </c>
      <c r="EB28" t="str">
        <f>AND(#REF!,"AAAAAH7+toM=")</f>
        <v>#REF!</v>
      </c>
      <c r="EC28" t="str">
        <f>AND(#REF!,"AAAAAH7+toQ=")</f>
        <v>#REF!</v>
      </c>
      <c r="ED28" t="str">
        <f>AND(#REF!,"AAAAAH7+toU=")</f>
        <v>#REF!</v>
      </c>
      <c r="EE28" t="str">
        <f>AND(#REF!,"AAAAAH7+toY=")</f>
        <v>#REF!</v>
      </c>
      <c r="EF28" t="str">
        <f>AND(#REF!,"AAAAAH7+toc=")</f>
        <v>#REF!</v>
      </c>
      <c r="EG28" t="str">
        <f>AND(#REF!,"AAAAAH7+tog=")</f>
        <v>#REF!</v>
      </c>
      <c r="EH28" t="str">
        <f>AND(#REF!,"AAAAAH7+tok=")</f>
        <v>#REF!</v>
      </c>
      <c r="EI28" t="str">
        <f>AND(#REF!,"AAAAAH7+too=")</f>
        <v>#REF!</v>
      </c>
      <c r="EJ28" t="str">
        <f>AND(#REF!,"AAAAAH7+tos=")</f>
        <v>#REF!</v>
      </c>
      <c r="EK28" t="str">
        <f>AND(#REF!,"AAAAAH7+tow=")</f>
        <v>#REF!</v>
      </c>
      <c r="EL28" t="str">
        <f>AND(#REF!,"AAAAAH7+to0=")</f>
        <v>#REF!</v>
      </c>
      <c r="EM28" t="str">
        <f>AND(#REF!,"AAAAAH7+to4=")</f>
        <v>#REF!</v>
      </c>
      <c r="EN28" t="str">
        <f>AND(#REF!,"AAAAAH7+to8=")</f>
        <v>#REF!</v>
      </c>
      <c r="EO28" t="str">
        <f>AND(#REF!,"AAAAAH7+tpA=")</f>
        <v>#REF!</v>
      </c>
      <c r="EP28" t="str">
        <f>AND(#REF!,"AAAAAH7+tpE=")</f>
        <v>#REF!</v>
      </c>
      <c r="EQ28" t="str">
        <f>AND(#REF!,"AAAAAH7+tpI=")</f>
        <v>#REF!</v>
      </c>
      <c r="ER28" t="str">
        <f>AND(#REF!,"AAAAAH7+tpM=")</f>
        <v>#REF!</v>
      </c>
      <c r="ES28" t="str">
        <f>AND(#REF!,"AAAAAH7+tpQ=")</f>
        <v>#REF!</v>
      </c>
      <c r="ET28" t="str">
        <f>AND(#REF!,"AAAAAH7+tpU=")</f>
        <v>#REF!</v>
      </c>
      <c r="EU28" t="str">
        <f>AND(#REF!,"AAAAAH7+tpY=")</f>
        <v>#REF!</v>
      </c>
      <c r="EV28" t="str">
        <f>AND(#REF!,"AAAAAH7+tpc=")</f>
        <v>#REF!</v>
      </c>
      <c r="EW28" t="str">
        <f>AND(#REF!,"AAAAAH7+tpg=")</f>
        <v>#REF!</v>
      </c>
      <c r="EX28" t="str">
        <f>AND(#REF!,"AAAAAH7+tpk=")</f>
        <v>#REF!</v>
      </c>
      <c r="EY28" t="str">
        <f>AND(#REF!,"AAAAAH7+tpo=")</f>
        <v>#REF!</v>
      </c>
      <c r="EZ28" t="str">
        <f>AND(#REF!,"AAAAAH7+tps=")</f>
        <v>#REF!</v>
      </c>
      <c r="FA28" t="str">
        <f>AND(#REF!,"AAAAAH7+tpw=")</f>
        <v>#REF!</v>
      </c>
      <c r="FB28" t="str">
        <f>AND(#REF!,"AAAAAH7+tp0=")</f>
        <v>#REF!</v>
      </c>
      <c r="FC28" t="str">
        <f>AND(#REF!,"AAAAAH7+tp4=")</f>
        <v>#REF!</v>
      </c>
      <c r="FD28" t="str">
        <f>AND(#REF!,"AAAAAH7+tp8=")</f>
        <v>#REF!</v>
      </c>
      <c r="FE28" t="str">
        <f>AND(#REF!,"AAAAAH7+tqA=")</f>
        <v>#REF!</v>
      </c>
      <c r="FF28" t="str">
        <f>AND(#REF!,"AAAAAH7+tqE=")</f>
        <v>#REF!</v>
      </c>
      <c r="FG28" t="str">
        <f>AND(#REF!,"AAAAAH7+tqI=")</f>
        <v>#REF!</v>
      </c>
      <c r="FH28" t="str">
        <f>AND(#REF!,"AAAAAH7+tqM=")</f>
        <v>#REF!</v>
      </c>
      <c r="FI28" t="str">
        <f>AND(#REF!,"AAAAAH7+tqQ=")</f>
        <v>#REF!</v>
      </c>
      <c r="FJ28" t="str">
        <f>AND(#REF!,"AAAAAH7+tqU=")</f>
        <v>#REF!</v>
      </c>
      <c r="FK28" t="str">
        <f>AND(#REF!,"AAAAAH7+tqY=")</f>
        <v>#REF!</v>
      </c>
      <c r="FL28" t="str">
        <f>AND(#REF!,"AAAAAH7+tqc=")</f>
        <v>#REF!</v>
      </c>
      <c r="FM28" t="str">
        <f>AND(#REF!,"AAAAAH7+tqg=")</f>
        <v>#REF!</v>
      </c>
      <c r="FN28" t="str">
        <f>AND(#REF!,"AAAAAH7+tqk=")</f>
        <v>#REF!</v>
      </c>
      <c r="FO28" t="str">
        <f>AND(#REF!,"AAAAAH7+tqo=")</f>
        <v>#REF!</v>
      </c>
      <c r="FP28" t="str">
        <f>AND(#REF!,"AAAAAH7+tqs=")</f>
        <v>#REF!</v>
      </c>
      <c r="FQ28" t="str">
        <f>AND(#REF!,"AAAAAH7+tqw=")</f>
        <v>#REF!</v>
      </c>
      <c r="FR28" t="str">
        <f>AND(#REF!,"AAAAAH7+tq0=")</f>
        <v>#REF!</v>
      </c>
      <c r="FS28" t="str">
        <f>AND(#REF!,"AAAAAH7+tq4=")</f>
        <v>#REF!</v>
      </c>
      <c r="FT28" t="str">
        <f>AND(#REF!,"AAAAAH7+tq8=")</f>
        <v>#REF!</v>
      </c>
      <c r="FU28" t="str">
        <f>AND(#REF!,"AAAAAH7+trA=")</f>
        <v>#REF!</v>
      </c>
      <c r="FV28" t="str">
        <f>AND(#REF!,"AAAAAH7+trE=")</f>
        <v>#REF!</v>
      </c>
      <c r="FW28" t="str">
        <f>AND(#REF!,"AAAAAH7+trI=")</f>
        <v>#REF!</v>
      </c>
      <c r="FX28" t="str">
        <f>AND(#REF!,"AAAAAH7+trM=")</f>
        <v>#REF!</v>
      </c>
      <c r="FY28" t="str">
        <f>AND(#REF!,"AAAAAH7+trQ=")</f>
        <v>#REF!</v>
      </c>
      <c r="FZ28" t="str">
        <f>AND(#REF!,"AAAAAH7+trU=")</f>
        <v>#REF!</v>
      </c>
      <c r="GA28" t="str">
        <f>AND(#REF!,"AAAAAH7+trY=")</f>
        <v>#REF!</v>
      </c>
      <c r="GB28" t="str">
        <f>AND(#REF!,"AAAAAH7+trc=")</f>
        <v>#REF!</v>
      </c>
      <c r="GC28" t="str">
        <f>AND(#REF!,"AAAAAH7+trg=")</f>
        <v>#REF!</v>
      </c>
      <c r="GD28" t="str">
        <f>AND(#REF!,"AAAAAH7+trk=")</f>
        <v>#REF!</v>
      </c>
      <c r="GE28" t="str">
        <f>AND(#REF!,"AAAAAH7+tro=")</f>
        <v>#REF!</v>
      </c>
      <c r="GF28" t="str">
        <f>AND(#REF!,"AAAAAH7+trs=")</f>
        <v>#REF!</v>
      </c>
      <c r="GG28" t="str">
        <f>AND(#REF!,"AAAAAH7+trw=")</f>
        <v>#REF!</v>
      </c>
      <c r="GH28" t="str">
        <f>AND(#REF!,"AAAAAH7+tr0=")</f>
        <v>#REF!</v>
      </c>
      <c r="GI28" t="str">
        <f>AND(#REF!,"AAAAAH7+tr4=")</f>
        <v>#REF!</v>
      </c>
      <c r="GJ28" t="str">
        <f>AND(#REF!,"AAAAAH7+tr8=")</f>
        <v>#REF!</v>
      </c>
      <c r="GK28" t="str">
        <f>AND(#REF!,"AAAAAH7+tsA=")</f>
        <v>#REF!</v>
      </c>
      <c r="GL28" t="str">
        <f>AND(#REF!,"AAAAAH7+tsE=")</f>
        <v>#REF!</v>
      </c>
      <c r="GM28" t="str">
        <f>AND(#REF!,"AAAAAH7+tsI=")</f>
        <v>#REF!</v>
      </c>
      <c r="GN28" t="str">
        <f>AND(#REF!,"AAAAAH7+tsM=")</f>
        <v>#REF!</v>
      </c>
      <c r="GO28" t="str">
        <f>AND(#REF!,"AAAAAH7+tsQ=")</f>
        <v>#REF!</v>
      </c>
      <c r="GP28" t="str">
        <f>AND(#REF!,"AAAAAH7+tsU=")</f>
        <v>#REF!</v>
      </c>
      <c r="GQ28" t="str">
        <f>AND(#REF!,"AAAAAH7+tsY=")</f>
        <v>#REF!</v>
      </c>
      <c r="GR28" t="str">
        <f>AND(#REF!,"AAAAAH7+tsc=")</f>
        <v>#REF!</v>
      </c>
      <c r="GS28" t="str">
        <f>AND(#REF!,"AAAAAH7+tsg=")</f>
        <v>#REF!</v>
      </c>
      <c r="GT28" t="str">
        <f>AND(#REF!,"AAAAAH7+tsk=")</f>
        <v>#REF!</v>
      </c>
      <c r="GU28" t="str">
        <f>AND(#REF!,"AAAAAH7+tso=")</f>
        <v>#REF!</v>
      </c>
      <c r="GV28" t="str">
        <f>AND(#REF!,"AAAAAH7+tss=")</f>
        <v>#REF!</v>
      </c>
      <c r="GW28" t="str">
        <f>AND(#REF!,"AAAAAH7+tsw=")</f>
        <v>#REF!</v>
      </c>
      <c r="GX28" t="str">
        <f>AND(#REF!,"AAAAAH7+ts0=")</f>
        <v>#REF!</v>
      </c>
      <c r="GY28" t="str">
        <f>IF(#REF!,"AAAAAH7+ts4=",0)</f>
        <v>#REF!</v>
      </c>
      <c r="GZ28" t="str">
        <f>AND(#REF!,"AAAAAH7+ts8=")</f>
        <v>#REF!</v>
      </c>
      <c r="HA28" t="str">
        <f>AND(#REF!,"AAAAAH7+ttA=")</f>
        <v>#REF!</v>
      </c>
      <c r="HB28" t="str">
        <f>AND(#REF!,"AAAAAH7+ttE=")</f>
        <v>#REF!</v>
      </c>
      <c r="HC28" t="str">
        <f>AND(#REF!,"AAAAAH7+ttI=")</f>
        <v>#REF!</v>
      </c>
      <c r="HD28" t="str">
        <f>AND(#REF!,"AAAAAH7+ttM=")</f>
        <v>#REF!</v>
      </c>
      <c r="HE28" t="str">
        <f>AND(#REF!,"AAAAAH7+ttQ=")</f>
        <v>#REF!</v>
      </c>
      <c r="HF28" t="str">
        <f>AND(#REF!,"AAAAAH7+ttU=")</f>
        <v>#REF!</v>
      </c>
      <c r="HG28" t="str">
        <f>AND(#REF!,"AAAAAH7+ttY=")</f>
        <v>#REF!</v>
      </c>
      <c r="HH28" t="str">
        <f>AND(#REF!,"AAAAAH7+ttc=")</f>
        <v>#REF!</v>
      </c>
      <c r="HI28" t="str">
        <f>AND(#REF!,"AAAAAH7+ttg=")</f>
        <v>#REF!</v>
      </c>
      <c r="HJ28" t="str">
        <f>AND(#REF!,"AAAAAH7+ttk=")</f>
        <v>#REF!</v>
      </c>
      <c r="HK28" t="str">
        <f>AND(#REF!,"AAAAAH7+tto=")</f>
        <v>#REF!</v>
      </c>
      <c r="HL28" t="str">
        <f>AND(#REF!,"AAAAAH7+tts=")</f>
        <v>#REF!</v>
      </c>
      <c r="HM28" t="str">
        <f>AND(#REF!,"AAAAAH7+ttw=")</f>
        <v>#REF!</v>
      </c>
      <c r="HN28" t="str">
        <f>AND(#REF!,"AAAAAH7+tt0=")</f>
        <v>#REF!</v>
      </c>
      <c r="HO28" t="str">
        <f>AND(#REF!,"AAAAAH7+tt4=")</f>
        <v>#REF!</v>
      </c>
      <c r="HP28" t="str">
        <f>AND(#REF!,"AAAAAH7+tt8=")</f>
        <v>#REF!</v>
      </c>
      <c r="HQ28" t="str">
        <f>AND(#REF!,"AAAAAH7+tuA=")</f>
        <v>#REF!</v>
      </c>
      <c r="HR28" t="str">
        <f>AND(#REF!,"AAAAAH7+tuE=")</f>
        <v>#REF!</v>
      </c>
      <c r="HS28" t="str">
        <f>AND(#REF!,"AAAAAH7+tuI=")</f>
        <v>#REF!</v>
      </c>
      <c r="HT28" t="str">
        <f>AND(#REF!,"AAAAAH7+tuM=")</f>
        <v>#REF!</v>
      </c>
      <c r="HU28" t="str">
        <f>AND(#REF!,"AAAAAH7+tuQ=")</f>
        <v>#REF!</v>
      </c>
      <c r="HV28" t="str">
        <f>AND(#REF!,"AAAAAH7+tuU=")</f>
        <v>#REF!</v>
      </c>
      <c r="HW28" t="str">
        <f>AND(#REF!,"AAAAAH7+tuY=")</f>
        <v>#REF!</v>
      </c>
      <c r="HX28" t="str">
        <f>AND(#REF!,"AAAAAH7+tuc=")</f>
        <v>#REF!</v>
      </c>
      <c r="HY28" t="str">
        <f>AND(#REF!,"AAAAAH7+tug=")</f>
        <v>#REF!</v>
      </c>
      <c r="HZ28" t="str">
        <f>AND(#REF!,"AAAAAH7+tuk=")</f>
        <v>#REF!</v>
      </c>
      <c r="IA28" t="str">
        <f>AND(#REF!,"AAAAAH7+tuo=")</f>
        <v>#REF!</v>
      </c>
      <c r="IB28" t="str">
        <f>AND(#REF!,"AAAAAH7+tus=")</f>
        <v>#REF!</v>
      </c>
      <c r="IC28" t="str">
        <f>AND(#REF!,"AAAAAH7+tuw=")</f>
        <v>#REF!</v>
      </c>
      <c r="ID28" t="str">
        <f>AND(#REF!,"AAAAAH7+tu0=")</f>
        <v>#REF!</v>
      </c>
      <c r="IE28" t="str">
        <f>AND(#REF!,"AAAAAH7+tu4=")</f>
        <v>#REF!</v>
      </c>
      <c r="IF28" t="str">
        <f>AND(#REF!,"AAAAAH7+tu8=")</f>
        <v>#REF!</v>
      </c>
      <c r="IG28" t="str">
        <f>AND(#REF!,"AAAAAH7+tvA=")</f>
        <v>#REF!</v>
      </c>
      <c r="IH28" t="str">
        <f>AND(#REF!,"AAAAAH7+tvE=")</f>
        <v>#REF!</v>
      </c>
      <c r="II28" t="str">
        <f>AND(#REF!,"AAAAAH7+tvI=")</f>
        <v>#REF!</v>
      </c>
      <c r="IJ28" t="str">
        <f>AND(#REF!,"AAAAAH7+tvM=")</f>
        <v>#REF!</v>
      </c>
      <c r="IK28" t="str">
        <f>AND(#REF!,"AAAAAH7+tvQ=")</f>
        <v>#REF!</v>
      </c>
      <c r="IL28" t="str">
        <f>AND(#REF!,"AAAAAH7+tvU=")</f>
        <v>#REF!</v>
      </c>
      <c r="IM28" t="str">
        <f>AND(#REF!,"AAAAAH7+tvY=")</f>
        <v>#REF!</v>
      </c>
      <c r="IN28" t="str">
        <f>AND(#REF!,"AAAAAH7+tvc=")</f>
        <v>#REF!</v>
      </c>
      <c r="IO28" t="str">
        <f>AND(#REF!,"AAAAAH7+tvg=")</f>
        <v>#REF!</v>
      </c>
      <c r="IP28" t="str">
        <f>AND(#REF!,"AAAAAH7+tvk=")</f>
        <v>#REF!</v>
      </c>
      <c r="IQ28" t="str">
        <f>AND(#REF!,"AAAAAH7+tvo=")</f>
        <v>#REF!</v>
      </c>
      <c r="IR28" t="str">
        <f>AND(#REF!,"AAAAAH7+tvs=")</f>
        <v>#REF!</v>
      </c>
      <c r="IS28" t="str">
        <f>AND(#REF!,"AAAAAH7+tvw=")</f>
        <v>#REF!</v>
      </c>
      <c r="IT28" t="str">
        <f>AND(#REF!,"AAAAAH7+tv0=")</f>
        <v>#REF!</v>
      </c>
      <c r="IU28" t="str">
        <f>AND(#REF!,"AAAAAH7+tv4=")</f>
        <v>#REF!</v>
      </c>
      <c r="IV28" t="str">
        <f>AND(#REF!,"AAAAAH7+tv8=")</f>
        <v>#REF!</v>
      </c>
    </row>
    <row r="29" ht="15.75" customHeight="1">
      <c r="A29" t="str">
        <f>AND(#REF!,"AAAAAH/NPgA=")</f>
        <v>#REF!</v>
      </c>
      <c r="B29" t="str">
        <f>AND(#REF!,"AAAAAH/NPgE=")</f>
        <v>#REF!</v>
      </c>
      <c r="C29" t="str">
        <f>AND(#REF!,"AAAAAH/NPgI=")</f>
        <v>#REF!</v>
      </c>
      <c r="D29" t="str">
        <f>AND(#REF!,"AAAAAH/NPgM=")</f>
        <v>#REF!</v>
      </c>
      <c r="E29" t="str">
        <f>AND(#REF!,"AAAAAH/NPgQ=")</f>
        <v>#REF!</v>
      </c>
      <c r="F29" t="str">
        <f>AND(#REF!,"AAAAAH/NPgU=")</f>
        <v>#REF!</v>
      </c>
      <c r="G29" t="str">
        <f>AND(#REF!,"AAAAAH/NPgY=")</f>
        <v>#REF!</v>
      </c>
      <c r="H29" t="str">
        <f>AND(#REF!,"AAAAAH/NPgc=")</f>
        <v>#REF!</v>
      </c>
      <c r="I29" t="str">
        <f>AND(#REF!,"AAAAAH/NPgg=")</f>
        <v>#REF!</v>
      </c>
      <c r="J29" t="str">
        <f>AND(#REF!,"AAAAAH/NPgk=")</f>
        <v>#REF!</v>
      </c>
      <c r="K29" t="str">
        <f>AND(#REF!,"AAAAAH/NPgo=")</f>
        <v>#REF!</v>
      </c>
      <c r="L29" t="str">
        <f>AND(#REF!,"AAAAAH/NPgs=")</f>
        <v>#REF!</v>
      </c>
      <c r="M29" t="str">
        <f>AND(#REF!,"AAAAAH/NPgw=")</f>
        <v>#REF!</v>
      </c>
      <c r="N29" t="str">
        <f>AND(#REF!,"AAAAAH/NPg0=")</f>
        <v>#REF!</v>
      </c>
      <c r="O29" t="str">
        <f>AND(#REF!,"AAAAAH/NPg4=")</f>
        <v>#REF!</v>
      </c>
      <c r="P29" t="str">
        <f>AND(#REF!,"AAAAAH/NPg8=")</f>
        <v>#REF!</v>
      </c>
      <c r="Q29" t="str">
        <f>AND(#REF!,"AAAAAH/NPhA=")</f>
        <v>#REF!</v>
      </c>
      <c r="R29" t="str">
        <f>AND(#REF!,"AAAAAH/NPhE=")</f>
        <v>#REF!</v>
      </c>
      <c r="S29" t="str">
        <f>AND(#REF!,"AAAAAH/NPhI=")</f>
        <v>#REF!</v>
      </c>
      <c r="T29" t="str">
        <f>AND(#REF!,"AAAAAH/NPhM=")</f>
        <v>#REF!</v>
      </c>
      <c r="U29" t="str">
        <f>AND(#REF!,"AAAAAH/NPhQ=")</f>
        <v>#REF!</v>
      </c>
      <c r="V29" t="str">
        <f>AND(#REF!,"AAAAAH/NPhU=")</f>
        <v>#REF!</v>
      </c>
      <c r="W29" t="str">
        <f>AND(#REF!,"AAAAAH/NPhY=")</f>
        <v>#REF!</v>
      </c>
      <c r="X29" t="str">
        <f>AND(#REF!,"AAAAAH/NPhc=")</f>
        <v>#REF!</v>
      </c>
      <c r="Y29" t="str">
        <f>AND(#REF!,"AAAAAH/NPhg=")</f>
        <v>#REF!</v>
      </c>
      <c r="Z29" t="str">
        <f>AND(#REF!,"AAAAAH/NPhk=")</f>
        <v>#REF!</v>
      </c>
      <c r="AA29" t="str">
        <f>IF(#REF!,"AAAAAH/NPho=",0)</f>
        <v>#REF!</v>
      </c>
      <c r="AB29" t="str">
        <f>AND(#REF!,"AAAAAH/NPhs=")</f>
        <v>#REF!</v>
      </c>
      <c r="AC29" t="str">
        <f>AND(#REF!,"AAAAAH/NPhw=")</f>
        <v>#REF!</v>
      </c>
      <c r="AD29" t="str">
        <f>AND(#REF!,"AAAAAH/NPh0=")</f>
        <v>#REF!</v>
      </c>
      <c r="AE29" t="str">
        <f>AND(#REF!,"AAAAAH/NPh4=")</f>
        <v>#REF!</v>
      </c>
      <c r="AF29" t="str">
        <f>AND(#REF!,"AAAAAH/NPh8=")</f>
        <v>#REF!</v>
      </c>
      <c r="AG29" t="str">
        <f>AND(#REF!,"AAAAAH/NPiA=")</f>
        <v>#REF!</v>
      </c>
      <c r="AH29" t="str">
        <f>AND(#REF!,"AAAAAH/NPiE=")</f>
        <v>#REF!</v>
      </c>
      <c r="AI29" t="str">
        <f>AND(#REF!,"AAAAAH/NPiI=")</f>
        <v>#REF!</v>
      </c>
      <c r="AJ29" t="str">
        <f>AND(#REF!,"AAAAAH/NPiM=")</f>
        <v>#REF!</v>
      </c>
      <c r="AK29" t="str">
        <f>AND(#REF!,"AAAAAH/NPiQ=")</f>
        <v>#REF!</v>
      </c>
      <c r="AL29" t="str">
        <f>AND(#REF!,"AAAAAH/NPiU=")</f>
        <v>#REF!</v>
      </c>
      <c r="AM29" t="str">
        <f>AND(#REF!,"AAAAAH/NPiY=")</f>
        <v>#REF!</v>
      </c>
      <c r="AN29" t="str">
        <f>AND(#REF!,"AAAAAH/NPic=")</f>
        <v>#REF!</v>
      </c>
      <c r="AO29" t="str">
        <f>AND(#REF!,"AAAAAH/NPig=")</f>
        <v>#REF!</v>
      </c>
      <c r="AP29" t="str">
        <f>AND(#REF!,"AAAAAH/NPik=")</f>
        <v>#REF!</v>
      </c>
      <c r="AQ29" t="str">
        <f>AND(#REF!,"AAAAAH/NPio=")</f>
        <v>#REF!</v>
      </c>
      <c r="AR29" t="str">
        <f>AND(#REF!,"AAAAAH/NPis=")</f>
        <v>#REF!</v>
      </c>
      <c r="AS29" t="str">
        <f>AND(#REF!,"AAAAAH/NPiw=")</f>
        <v>#REF!</v>
      </c>
      <c r="AT29" t="str">
        <f>AND(#REF!,"AAAAAH/NPi0=")</f>
        <v>#REF!</v>
      </c>
      <c r="AU29" t="str">
        <f>AND(#REF!,"AAAAAH/NPi4=")</f>
        <v>#REF!</v>
      </c>
      <c r="AV29" t="str">
        <f>AND(#REF!,"AAAAAH/NPi8=")</f>
        <v>#REF!</v>
      </c>
      <c r="AW29" t="str">
        <f>AND(#REF!,"AAAAAH/NPjA=")</f>
        <v>#REF!</v>
      </c>
      <c r="AX29" t="str">
        <f>AND(#REF!,"AAAAAH/NPjE=")</f>
        <v>#REF!</v>
      </c>
      <c r="AY29" t="str">
        <f>AND(#REF!,"AAAAAH/NPjI=")</f>
        <v>#REF!</v>
      </c>
      <c r="AZ29" t="str">
        <f>AND(#REF!,"AAAAAH/NPjM=")</f>
        <v>#REF!</v>
      </c>
      <c r="BA29" t="str">
        <f>AND(#REF!,"AAAAAH/NPjQ=")</f>
        <v>#REF!</v>
      </c>
      <c r="BB29" t="str">
        <f>AND(#REF!,"AAAAAH/NPjU=")</f>
        <v>#REF!</v>
      </c>
      <c r="BC29" t="str">
        <f>AND(#REF!,"AAAAAH/NPjY=")</f>
        <v>#REF!</v>
      </c>
      <c r="BD29" t="str">
        <f>AND(#REF!,"AAAAAH/NPjc=")</f>
        <v>#REF!</v>
      </c>
      <c r="BE29" t="str">
        <f>AND(#REF!,"AAAAAH/NPjg=")</f>
        <v>#REF!</v>
      </c>
      <c r="BF29" t="str">
        <f>AND(#REF!,"AAAAAH/NPjk=")</f>
        <v>#REF!</v>
      </c>
      <c r="BG29" t="str">
        <f>AND(#REF!,"AAAAAH/NPjo=")</f>
        <v>#REF!</v>
      </c>
      <c r="BH29" t="str">
        <f>AND(#REF!,"AAAAAH/NPjs=")</f>
        <v>#REF!</v>
      </c>
      <c r="BI29" t="str">
        <f>AND(#REF!,"AAAAAH/NPjw=")</f>
        <v>#REF!</v>
      </c>
      <c r="BJ29" t="str">
        <f>AND(#REF!,"AAAAAH/NPj0=")</f>
        <v>#REF!</v>
      </c>
      <c r="BK29" t="str">
        <f>AND(#REF!,"AAAAAH/NPj4=")</f>
        <v>#REF!</v>
      </c>
      <c r="BL29" t="str">
        <f>AND(#REF!,"AAAAAH/NPj8=")</f>
        <v>#REF!</v>
      </c>
      <c r="BM29" t="str">
        <f>AND(#REF!,"AAAAAH/NPkA=")</f>
        <v>#REF!</v>
      </c>
      <c r="BN29" t="str">
        <f>AND(#REF!,"AAAAAH/NPkE=")</f>
        <v>#REF!</v>
      </c>
      <c r="BO29" t="str">
        <f>AND(#REF!,"AAAAAH/NPkI=")</f>
        <v>#REF!</v>
      </c>
      <c r="BP29" t="str">
        <f>AND(#REF!,"AAAAAH/NPkM=")</f>
        <v>#REF!</v>
      </c>
      <c r="BQ29" t="str">
        <f>AND(#REF!,"AAAAAH/NPkQ=")</f>
        <v>#REF!</v>
      </c>
      <c r="BR29" t="str">
        <f>AND(#REF!,"AAAAAH/NPkU=")</f>
        <v>#REF!</v>
      </c>
      <c r="BS29" t="str">
        <f>AND(#REF!,"AAAAAH/NPkY=")</f>
        <v>#REF!</v>
      </c>
      <c r="BT29" t="str">
        <f>AND(#REF!,"AAAAAH/NPkc=")</f>
        <v>#REF!</v>
      </c>
      <c r="BU29" t="str">
        <f>AND(#REF!,"AAAAAH/NPkg=")</f>
        <v>#REF!</v>
      </c>
      <c r="BV29" t="str">
        <f>AND(#REF!,"AAAAAH/NPkk=")</f>
        <v>#REF!</v>
      </c>
      <c r="BW29" t="str">
        <f>AND(#REF!,"AAAAAH/NPko=")</f>
        <v>#REF!</v>
      </c>
      <c r="BX29" t="str">
        <f>AND(#REF!,"AAAAAH/NPks=")</f>
        <v>#REF!</v>
      </c>
      <c r="BY29" t="str">
        <f>AND(#REF!,"AAAAAH/NPkw=")</f>
        <v>#REF!</v>
      </c>
      <c r="BZ29" t="str">
        <f>AND(#REF!,"AAAAAH/NPk0=")</f>
        <v>#REF!</v>
      </c>
      <c r="CA29" t="str">
        <f>AND(#REF!,"AAAAAH/NPk4=")</f>
        <v>#REF!</v>
      </c>
      <c r="CB29" t="str">
        <f>AND(#REF!,"AAAAAH/NPk8=")</f>
        <v>#REF!</v>
      </c>
      <c r="CC29" t="str">
        <f>AND(#REF!,"AAAAAH/NPlA=")</f>
        <v>#REF!</v>
      </c>
      <c r="CD29" t="str">
        <f>AND(#REF!,"AAAAAH/NPlE=")</f>
        <v>#REF!</v>
      </c>
      <c r="CE29" t="str">
        <f>AND(#REF!,"AAAAAH/NPlI=")</f>
        <v>#REF!</v>
      </c>
      <c r="CF29" t="str">
        <f>AND(#REF!,"AAAAAH/NPlM=")</f>
        <v>#REF!</v>
      </c>
      <c r="CG29" t="str">
        <f>AND(#REF!,"AAAAAH/NPlQ=")</f>
        <v>#REF!</v>
      </c>
      <c r="CH29" t="str">
        <f>AND(#REF!,"AAAAAH/NPlU=")</f>
        <v>#REF!</v>
      </c>
      <c r="CI29" t="str">
        <f>AND(#REF!,"AAAAAH/NPlY=")</f>
        <v>#REF!</v>
      </c>
      <c r="CJ29" t="str">
        <f>AND(#REF!,"AAAAAH/NPlc=")</f>
        <v>#REF!</v>
      </c>
      <c r="CK29" t="str">
        <f>AND(#REF!,"AAAAAH/NPlg=")</f>
        <v>#REF!</v>
      </c>
      <c r="CL29" t="str">
        <f>AND(#REF!,"AAAAAH/NPlk=")</f>
        <v>#REF!</v>
      </c>
      <c r="CM29" t="str">
        <f>AND(#REF!,"AAAAAH/NPlo=")</f>
        <v>#REF!</v>
      </c>
      <c r="CN29" t="str">
        <f>AND(#REF!,"AAAAAH/NPls=")</f>
        <v>#REF!</v>
      </c>
      <c r="CO29" t="str">
        <f>AND(#REF!,"AAAAAH/NPlw=")</f>
        <v>#REF!</v>
      </c>
      <c r="CP29" t="str">
        <f>AND(#REF!,"AAAAAH/NPl0=")</f>
        <v>#REF!</v>
      </c>
      <c r="CQ29" t="str">
        <f>AND(#REF!,"AAAAAH/NPl4=")</f>
        <v>#REF!</v>
      </c>
      <c r="CR29" t="str">
        <f>AND(#REF!,"AAAAAH/NPl8=")</f>
        <v>#REF!</v>
      </c>
      <c r="CS29" t="str">
        <f>AND(#REF!,"AAAAAH/NPmA=")</f>
        <v>#REF!</v>
      </c>
      <c r="CT29" t="str">
        <f>AND(#REF!,"AAAAAH/NPmE=")</f>
        <v>#REF!</v>
      </c>
      <c r="CU29" t="str">
        <f>AND(#REF!,"AAAAAH/NPmI=")</f>
        <v>#REF!</v>
      </c>
      <c r="CV29" t="str">
        <f>AND(#REF!,"AAAAAH/NPmM=")</f>
        <v>#REF!</v>
      </c>
      <c r="CW29" t="str">
        <f>AND(#REF!,"AAAAAH/NPmQ=")</f>
        <v>#REF!</v>
      </c>
      <c r="CX29" t="str">
        <f>AND(#REF!,"AAAAAH/NPmU=")</f>
        <v>#REF!</v>
      </c>
      <c r="CY29" t="str">
        <f>IF(#REF!,"AAAAAH/NPmY=",0)</f>
        <v>#REF!</v>
      </c>
      <c r="CZ29" t="str">
        <f>AND(#REF!,"AAAAAH/NPmc=")</f>
        <v>#REF!</v>
      </c>
      <c r="DA29" t="str">
        <f>AND(#REF!,"AAAAAH/NPmg=")</f>
        <v>#REF!</v>
      </c>
      <c r="DB29" t="str">
        <f>AND(#REF!,"AAAAAH/NPmk=")</f>
        <v>#REF!</v>
      </c>
      <c r="DC29" t="str">
        <f>AND(#REF!,"AAAAAH/NPmo=")</f>
        <v>#REF!</v>
      </c>
      <c r="DD29" t="str">
        <f>AND(#REF!,"AAAAAH/NPms=")</f>
        <v>#REF!</v>
      </c>
      <c r="DE29" t="str">
        <f>AND(#REF!,"AAAAAH/NPmw=")</f>
        <v>#REF!</v>
      </c>
      <c r="DF29" t="str">
        <f>AND(#REF!,"AAAAAH/NPm0=")</f>
        <v>#REF!</v>
      </c>
      <c r="DG29" t="str">
        <f>AND(#REF!,"AAAAAH/NPm4=")</f>
        <v>#REF!</v>
      </c>
      <c r="DH29" t="str">
        <f>AND(#REF!,"AAAAAH/NPm8=")</f>
        <v>#REF!</v>
      </c>
      <c r="DI29" t="str">
        <f>AND(#REF!,"AAAAAH/NPnA=")</f>
        <v>#REF!</v>
      </c>
      <c r="DJ29" t="str">
        <f>AND(#REF!,"AAAAAH/NPnE=")</f>
        <v>#REF!</v>
      </c>
      <c r="DK29" t="str">
        <f>AND(#REF!,"AAAAAH/NPnI=")</f>
        <v>#REF!</v>
      </c>
      <c r="DL29" t="str">
        <f>AND(#REF!,"AAAAAH/NPnM=")</f>
        <v>#REF!</v>
      </c>
      <c r="DM29" t="str">
        <f>AND(#REF!,"AAAAAH/NPnQ=")</f>
        <v>#REF!</v>
      </c>
      <c r="DN29" t="str">
        <f>AND(#REF!,"AAAAAH/NPnU=")</f>
        <v>#REF!</v>
      </c>
      <c r="DO29" t="str">
        <f>AND(#REF!,"AAAAAH/NPnY=")</f>
        <v>#REF!</v>
      </c>
      <c r="DP29" t="str">
        <f>AND(#REF!,"AAAAAH/NPnc=")</f>
        <v>#REF!</v>
      </c>
      <c r="DQ29" t="str">
        <f>AND(#REF!,"AAAAAH/NPng=")</f>
        <v>#REF!</v>
      </c>
      <c r="DR29" t="str">
        <f>AND(#REF!,"AAAAAH/NPnk=")</f>
        <v>#REF!</v>
      </c>
      <c r="DS29" t="str">
        <f>AND(#REF!,"AAAAAH/NPno=")</f>
        <v>#REF!</v>
      </c>
      <c r="DT29" t="str">
        <f>AND(#REF!,"AAAAAH/NPns=")</f>
        <v>#REF!</v>
      </c>
      <c r="DU29" t="str">
        <f>AND(#REF!,"AAAAAH/NPnw=")</f>
        <v>#REF!</v>
      </c>
      <c r="DV29" t="str">
        <f>AND(#REF!,"AAAAAH/NPn0=")</f>
        <v>#REF!</v>
      </c>
      <c r="DW29" t="str">
        <f>AND(#REF!,"AAAAAH/NPn4=")</f>
        <v>#REF!</v>
      </c>
      <c r="DX29" t="str">
        <f>AND(#REF!,"AAAAAH/NPn8=")</f>
        <v>#REF!</v>
      </c>
      <c r="DY29" t="str">
        <f>AND(#REF!,"AAAAAH/NPoA=")</f>
        <v>#REF!</v>
      </c>
      <c r="DZ29" t="str">
        <f>AND(#REF!,"AAAAAH/NPoE=")</f>
        <v>#REF!</v>
      </c>
      <c r="EA29" t="str">
        <f>AND(#REF!,"AAAAAH/NPoI=")</f>
        <v>#REF!</v>
      </c>
      <c r="EB29" t="str">
        <f>AND(#REF!,"AAAAAH/NPoM=")</f>
        <v>#REF!</v>
      </c>
      <c r="EC29" t="str">
        <f>AND(#REF!,"AAAAAH/NPoQ=")</f>
        <v>#REF!</v>
      </c>
      <c r="ED29" t="str">
        <f>AND(#REF!,"AAAAAH/NPoU=")</f>
        <v>#REF!</v>
      </c>
      <c r="EE29" t="str">
        <f>AND(#REF!,"AAAAAH/NPoY=")</f>
        <v>#REF!</v>
      </c>
      <c r="EF29" t="str">
        <f>AND(#REF!,"AAAAAH/NPoc=")</f>
        <v>#REF!</v>
      </c>
      <c r="EG29" t="str">
        <f>AND(#REF!,"AAAAAH/NPog=")</f>
        <v>#REF!</v>
      </c>
      <c r="EH29" t="str">
        <f>AND(#REF!,"AAAAAH/NPok=")</f>
        <v>#REF!</v>
      </c>
      <c r="EI29" t="str">
        <f>AND(#REF!,"AAAAAH/NPoo=")</f>
        <v>#REF!</v>
      </c>
      <c r="EJ29" t="str">
        <f>AND(#REF!,"AAAAAH/NPos=")</f>
        <v>#REF!</v>
      </c>
      <c r="EK29" t="str">
        <f>AND(#REF!,"AAAAAH/NPow=")</f>
        <v>#REF!</v>
      </c>
      <c r="EL29" t="str">
        <f>AND(#REF!,"AAAAAH/NPo0=")</f>
        <v>#REF!</v>
      </c>
      <c r="EM29" t="str">
        <f>AND(#REF!,"AAAAAH/NPo4=")</f>
        <v>#REF!</v>
      </c>
      <c r="EN29" t="str">
        <f>AND(#REF!,"AAAAAH/NPo8=")</f>
        <v>#REF!</v>
      </c>
      <c r="EO29" t="str">
        <f>AND(#REF!,"AAAAAH/NPpA=")</f>
        <v>#REF!</v>
      </c>
      <c r="EP29" t="str">
        <f>AND(#REF!,"AAAAAH/NPpE=")</f>
        <v>#REF!</v>
      </c>
      <c r="EQ29" t="str">
        <f>AND(#REF!,"AAAAAH/NPpI=")</f>
        <v>#REF!</v>
      </c>
      <c r="ER29" t="str">
        <f>AND(#REF!,"AAAAAH/NPpM=")</f>
        <v>#REF!</v>
      </c>
      <c r="ES29" t="str">
        <f>AND(#REF!,"AAAAAH/NPpQ=")</f>
        <v>#REF!</v>
      </c>
      <c r="ET29" t="str">
        <f>AND(#REF!,"AAAAAH/NPpU=")</f>
        <v>#REF!</v>
      </c>
      <c r="EU29" t="str">
        <f>AND(#REF!,"AAAAAH/NPpY=")</f>
        <v>#REF!</v>
      </c>
      <c r="EV29" t="str">
        <f>AND(#REF!,"AAAAAH/NPpc=")</f>
        <v>#REF!</v>
      </c>
      <c r="EW29" t="str">
        <f>AND(#REF!,"AAAAAH/NPpg=")</f>
        <v>#REF!</v>
      </c>
      <c r="EX29" t="str">
        <f>AND(#REF!,"AAAAAH/NPpk=")</f>
        <v>#REF!</v>
      </c>
      <c r="EY29" t="str">
        <f>AND(#REF!,"AAAAAH/NPpo=")</f>
        <v>#REF!</v>
      </c>
      <c r="EZ29" t="str">
        <f>AND(#REF!,"AAAAAH/NPps=")</f>
        <v>#REF!</v>
      </c>
      <c r="FA29" t="str">
        <f>AND(#REF!,"AAAAAH/NPpw=")</f>
        <v>#REF!</v>
      </c>
      <c r="FB29" t="str">
        <f>AND(#REF!,"AAAAAH/NPp0=")</f>
        <v>#REF!</v>
      </c>
      <c r="FC29" t="str">
        <f>AND(#REF!,"AAAAAH/NPp4=")</f>
        <v>#REF!</v>
      </c>
      <c r="FD29" t="str">
        <f>AND(#REF!,"AAAAAH/NPp8=")</f>
        <v>#REF!</v>
      </c>
      <c r="FE29" t="str">
        <f>AND(#REF!,"AAAAAH/NPqA=")</f>
        <v>#REF!</v>
      </c>
      <c r="FF29" t="str">
        <f>AND(#REF!,"AAAAAH/NPqE=")</f>
        <v>#REF!</v>
      </c>
      <c r="FG29" t="str">
        <f>AND(#REF!,"AAAAAH/NPqI=")</f>
        <v>#REF!</v>
      </c>
      <c r="FH29" t="str">
        <f>AND(#REF!,"AAAAAH/NPqM=")</f>
        <v>#REF!</v>
      </c>
      <c r="FI29" t="str">
        <f>AND(#REF!,"AAAAAH/NPqQ=")</f>
        <v>#REF!</v>
      </c>
      <c r="FJ29" t="str">
        <f>AND(#REF!,"AAAAAH/NPqU=")</f>
        <v>#REF!</v>
      </c>
      <c r="FK29" t="str">
        <f>AND(#REF!,"AAAAAH/NPqY=")</f>
        <v>#REF!</v>
      </c>
      <c r="FL29" t="str">
        <f>AND(#REF!,"AAAAAH/NPqc=")</f>
        <v>#REF!</v>
      </c>
      <c r="FM29" t="str">
        <f>AND(#REF!,"AAAAAH/NPqg=")</f>
        <v>#REF!</v>
      </c>
      <c r="FN29" t="str">
        <f>AND(#REF!,"AAAAAH/NPqk=")</f>
        <v>#REF!</v>
      </c>
      <c r="FO29" t="str">
        <f>AND(#REF!,"AAAAAH/NPqo=")</f>
        <v>#REF!</v>
      </c>
      <c r="FP29" t="str">
        <f>AND(#REF!,"AAAAAH/NPqs=")</f>
        <v>#REF!</v>
      </c>
      <c r="FQ29" t="str">
        <f>AND(#REF!,"AAAAAH/NPqw=")</f>
        <v>#REF!</v>
      </c>
      <c r="FR29" t="str">
        <f>AND(#REF!,"AAAAAH/NPq0=")</f>
        <v>#REF!</v>
      </c>
      <c r="FS29" t="str">
        <f>AND(#REF!,"AAAAAH/NPq4=")</f>
        <v>#REF!</v>
      </c>
      <c r="FT29" t="str">
        <f>AND(#REF!,"AAAAAH/NPq8=")</f>
        <v>#REF!</v>
      </c>
      <c r="FU29" t="str">
        <f>AND(#REF!,"AAAAAH/NPrA=")</f>
        <v>#REF!</v>
      </c>
      <c r="FV29" t="str">
        <f>AND(#REF!,"AAAAAH/NPrE=")</f>
        <v>#REF!</v>
      </c>
      <c r="FW29" t="str">
        <f>IF(#REF!,"AAAAAH/NPrI=",0)</f>
        <v>#REF!</v>
      </c>
      <c r="FX29" t="str">
        <f>AND(#REF!,"AAAAAH/NPrM=")</f>
        <v>#REF!</v>
      </c>
      <c r="FY29" t="str">
        <f>AND(#REF!,"AAAAAH/NPrQ=")</f>
        <v>#REF!</v>
      </c>
      <c r="FZ29" t="str">
        <f>AND(#REF!,"AAAAAH/NPrU=")</f>
        <v>#REF!</v>
      </c>
      <c r="GA29" t="str">
        <f>AND(#REF!,"AAAAAH/NPrY=")</f>
        <v>#REF!</v>
      </c>
      <c r="GB29" t="str">
        <f>AND(#REF!,"AAAAAH/NPrc=")</f>
        <v>#REF!</v>
      </c>
      <c r="GC29" t="str">
        <f>AND(#REF!,"AAAAAH/NPrg=")</f>
        <v>#REF!</v>
      </c>
      <c r="GD29" t="str">
        <f>AND(#REF!,"AAAAAH/NPrk=")</f>
        <v>#REF!</v>
      </c>
      <c r="GE29" t="str">
        <f>AND(#REF!,"AAAAAH/NPro=")</f>
        <v>#REF!</v>
      </c>
      <c r="GF29" t="str">
        <f>AND(#REF!,"AAAAAH/NPrs=")</f>
        <v>#REF!</v>
      </c>
      <c r="GG29" t="str">
        <f>AND(#REF!,"AAAAAH/NPrw=")</f>
        <v>#REF!</v>
      </c>
      <c r="GH29" t="str">
        <f>AND(#REF!,"AAAAAH/NPr0=")</f>
        <v>#REF!</v>
      </c>
      <c r="GI29" t="str">
        <f>AND(#REF!,"AAAAAH/NPr4=")</f>
        <v>#REF!</v>
      </c>
      <c r="GJ29" t="str">
        <f>AND(#REF!,"AAAAAH/NPr8=")</f>
        <v>#REF!</v>
      </c>
      <c r="GK29" t="str">
        <f>AND(#REF!,"AAAAAH/NPsA=")</f>
        <v>#REF!</v>
      </c>
      <c r="GL29" t="str">
        <f>AND(#REF!,"AAAAAH/NPsE=")</f>
        <v>#REF!</v>
      </c>
      <c r="GM29" t="str">
        <f>AND(#REF!,"AAAAAH/NPsI=")</f>
        <v>#REF!</v>
      </c>
      <c r="GN29" t="str">
        <f>AND(#REF!,"AAAAAH/NPsM=")</f>
        <v>#REF!</v>
      </c>
      <c r="GO29" t="str">
        <f>AND(#REF!,"AAAAAH/NPsQ=")</f>
        <v>#REF!</v>
      </c>
      <c r="GP29" t="str">
        <f>AND(#REF!,"AAAAAH/NPsU=")</f>
        <v>#REF!</v>
      </c>
      <c r="GQ29" t="str">
        <f>AND(#REF!,"AAAAAH/NPsY=")</f>
        <v>#REF!</v>
      </c>
      <c r="GR29" t="str">
        <f>AND(#REF!,"AAAAAH/NPsc=")</f>
        <v>#REF!</v>
      </c>
      <c r="GS29" t="str">
        <f>AND(#REF!,"AAAAAH/NPsg=")</f>
        <v>#REF!</v>
      </c>
      <c r="GT29" t="str">
        <f>AND(#REF!,"AAAAAH/NPsk=")</f>
        <v>#REF!</v>
      </c>
      <c r="GU29" t="str">
        <f>AND(#REF!,"AAAAAH/NPso=")</f>
        <v>#REF!</v>
      </c>
      <c r="GV29" t="str">
        <f>AND(#REF!,"AAAAAH/NPss=")</f>
        <v>#REF!</v>
      </c>
      <c r="GW29" t="str">
        <f>AND(#REF!,"AAAAAH/NPsw=")</f>
        <v>#REF!</v>
      </c>
      <c r="GX29" t="str">
        <f>AND(#REF!,"AAAAAH/NPs0=")</f>
        <v>#REF!</v>
      </c>
      <c r="GY29" t="str">
        <f>AND(#REF!,"AAAAAH/NPs4=")</f>
        <v>#REF!</v>
      </c>
      <c r="GZ29" t="str">
        <f>AND(#REF!,"AAAAAH/NPs8=")</f>
        <v>#REF!</v>
      </c>
      <c r="HA29" t="str">
        <f>AND(#REF!,"AAAAAH/NPtA=")</f>
        <v>#REF!</v>
      </c>
      <c r="HB29" t="str">
        <f>AND(#REF!,"AAAAAH/NPtE=")</f>
        <v>#REF!</v>
      </c>
      <c r="HC29" t="str">
        <f>AND(#REF!,"AAAAAH/NPtI=")</f>
        <v>#REF!</v>
      </c>
      <c r="HD29" t="str">
        <f>AND(#REF!,"AAAAAH/NPtM=")</f>
        <v>#REF!</v>
      </c>
      <c r="HE29" t="str">
        <f>AND(#REF!,"AAAAAH/NPtQ=")</f>
        <v>#REF!</v>
      </c>
      <c r="HF29" t="str">
        <f>AND(#REF!,"AAAAAH/NPtU=")</f>
        <v>#REF!</v>
      </c>
      <c r="HG29" t="str">
        <f>AND(#REF!,"AAAAAH/NPtY=")</f>
        <v>#REF!</v>
      </c>
      <c r="HH29" t="str">
        <f>AND(#REF!,"AAAAAH/NPtc=")</f>
        <v>#REF!</v>
      </c>
      <c r="HI29" t="str">
        <f>AND(#REF!,"AAAAAH/NPtg=")</f>
        <v>#REF!</v>
      </c>
      <c r="HJ29" t="str">
        <f>AND(#REF!,"AAAAAH/NPtk=")</f>
        <v>#REF!</v>
      </c>
      <c r="HK29" t="str">
        <f>AND(#REF!,"AAAAAH/NPto=")</f>
        <v>#REF!</v>
      </c>
      <c r="HL29" t="str">
        <f>AND(#REF!,"AAAAAH/NPts=")</f>
        <v>#REF!</v>
      </c>
      <c r="HM29" t="str">
        <f>AND(#REF!,"AAAAAH/NPtw=")</f>
        <v>#REF!</v>
      </c>
      <c r="HN29" t="str">
        <f>AND(#REF!,"AAAAAH/NPt0=")</f>
        <v>#REF!</v>
      </c>
      <c r="HO29" t="str">
        <f>AND(#REF!,"AAAAAH/NPt4=")</f>
        <v>#REF!</v>
      </c>
      <c r="HP29" t="str">
        <f>AND(#REF!,"AAAAAH/NPt8=")</f>
        <v>#REF!</v>
      </c>
      <c r="HQ29" t="str">
        <f>AND(#REF!,"AAAAAH/NPuA=")</f>
        <v>#REF!</v>
      </c>
      <c r="HR29" t="str">
        <f>AND(#REF!,"AAAAAH/NPuE=")</f>
        <v>#REF!</v>
      </c>
      <c r="HS29" t="str">
        <f>AND(#REF!,"AAAAAH/NPuI=")</f>
        <v>#REF!</v>
      </c>
      <c r="HT29" t="str">
        <f>AND(#REF!,"AAAAAH/NPuM=")</f>
        <v>#REF!</v>
      </c>
      <c r="HU29" t="str">
        <f>AND(#REF!,"AAAAAH/NPuQ=")</f>
        <v>#REF!</v>
      </c>
      <c r="HV29" t="str">
        <f>AND(#REF!,"AAAAAH/NPuU=")</f>
        <v>#REF!</v>
      </c>
      <c r="HW29" t="str">
        <f>AND(#REF!,"AAAAAH/NPuY=")</f>
        <v>#REF!</v>
      </c>
      <c r="HX29" t="str">
        <f>AND(#REF!,"AAAAAH/NPuc=")</f>
        <v>#REF!</v>
      </c>
      <c r="HY29" t="str">
        <f>AND(#REF!,"AAAAAH/NPug=")</f>
        <v>#REF!</v>
      </c>
      <c r="HZ29" t="str">
        <f>AND(#REF!,"AAAAAH/NPuk=")</f>
        <v>#REF!</v>
      </c>
      <c r="IA29" t="str">
        <f>AND(#REF!,"AAAAAH/NPuo=")</f>
        <v>#REF!</v>
      </c>
      <c r="IB29" t="str">
        <f>AND(#REF!,"AAAAAH/NPus=")</f>
        <v>#REF!</v>
      </c>
      <c r="IC29" t="str">
        <f>AND(#REF!,"AAAAAH/NPuw=")</f>
        <v>#REF!</v>
      </c>
      <c r="ID29" t="str">
        <f>AND(#REF!,"AAAAAH/NPu0=")</f>
        <v>#REF!</v>
      </c>
      <c r="IE29" t="str">
        <f>AND(#REF!,"AAAAAH/NPu4=")</f>
        <v>#REF!</v>
      </c>
      <c r="IF29" t="str">
        <f>AND(#REF!,"AAAAAH/NPu8=")</f>
        <v>#REF!</v>
      </c>
      <c r="IG29" t="str">
        <f>AND(#REF!,"AAAAAH/NPvA=")</f>
        <v>#REF!</v>
      </c>
      <c r="IH29" t="str">
        <f>AND(#REF!,"AAAAAH/NPvE=")</f>
        <v>#REF!</v>
      </c>
      <c r="II29" t="str">
        <f>AND(#REF!,"AAAAAH/NPvI=")</f>
        <v>#REF!</v>
      </c>
      <c r="IJ29" t="str">
        <f>AND(#REF!,"AAAAAH/NPvM=")</f>
        <v>#REF!</v>
      </c>
      <c r="IK29" t="str">
        <f>AND(#REF!,"AAAAAH/NPvQ=")</f>
        <v>#REF!</v>
      </c>
      <c r="IL29" t="str">
        <f>AND(#REF!,"AAAAAH/NPvU=")</f>
        <v>#REF!</v>
      </c>
      <c r="IM29" t="str">
        <f>AND(#REF!,"AAAAAH/NPvY=")</f>
        <v>#REF!</v>
      </c>
      <c r="IN29" t="str">
        <f>AND(#REF!,"AAAAAH/NPvc=")</f>
        <v>#REF!</v>
      </c>
      <c r="IO29" t="str">
        <f>AND(#REF!,"AAAAAH/NPvg=")</f>
        <v>#REF!</v>
      </c>
      <c r="IP29" t="str">
        <f>AND(#REF!,"AAAAAH/NPvk=")</f>
        <v>#REF!</v>
      </c>
      <c r="IQ29" t="str">
        <f>AND(#REF!,"AAAAAH/NPvo=")</f>
        <v>#REF!</v>
      </c>
      <c r="IR29" t="str">
        <f>AND(#REF!,"AAAAAH/NPvs=")</f>
        <v>#REF!</v>
      </c>
      <c r="IS29" t="str">
        <f>AND(#REF!,"AAAAAH/NPvw=")</f>
        <v>#REF!</v>
      </c>
      <c r="IT29" t="str">
        <f>AND(#REF!,"AAAAAH/NPv0=")</f>
        <v>#REF!</v>
      </c>
      <c r="IU29" t="str">
        <f>IF(#REF!,"AAAAAH/NPv4=",0)</f>
        <v>#REF!</v>
      </c>
      <c r="IV29" t="str">
        <f>AND(#REF!,"AAAAAH/NPv8=")</f>
        <v>#REF!</v>
      </c>
    </row>
    <row r="30" ht="15.75" customHeight="1">
      <c r="A30" t="str">
        <f>AND(#REF!,"AAAAAHW/8wA=")</f>
        <v>#REF!</v>
      </c>
      <c r="B30" t="str">
        <f>AND(#REF!,"AAAAAHW/8wE=")</f>
        <v>#REF!</v>
      </c>
      <c r="C30" t="str">
        <f>AND(#REF!,"AAAAAHW/8wI=")</f>
        <v>#REF!</v>
      </c>
      <c r="D30" t="str">
        <f>AND(#REF!,"AAAAAHW/8wM=")</f>
        <v>#REF!</v>
      </c>
      <c r="E30" t="str">
        <f>AND(#REF!,"AAAAAHW/8wQ=")</f>
        <v>#REF!</v>
      </c>
      <c r="F30" t="str">
        <f>AND(#REF!,"AAAAAHW/8wU=")</f>
        <v>#REF!</v>
      </c>
      <c r="G30" t="str">
        <f>AND(#REF!,"AAAAAHW/8wY=")</f>
        <v>#REF!</v>
      </c>
      <c r="H30" t="str">
        <f>AND(#REF!,"AAAAAHW/8wc=")</f>
        <v>#REF!</v>
      </c>
      <c r="I30" t="str">
        <f>AND(#REF!,"AAAAAHW/8wg=")</f>
        <v>#REF!</v>
      </c>
      <c r="J30" t="str">
        <f>AND(#REF!,"AAAAAHW/8wk=")</f>
        <v>#REF!</v>
      </c>
      <c r="K30" t="str">
        <f>AND(#REF!,"AAAAAHW/8wo=")</f>
        <v>#REF!</v>
      </c>
      <c r="L30" t="str">
        <f>AND(#REF!,"AAAAAHW/8ws=")</f>
        <v>#REF!</v>
      </c>
      <c r="M30" t="str">
        <f>AND(#REF!,"AAAAAHW/8ww=")</f>
        <v>#REF!</v>
      </c>
      <c r="N30" t="str">
        <f>AND(#REF!,"AAAAAHW/8w0=")</f>
        <v>#REF!</v>
      </c>
      <c r="O30" t="str">
        <f>AND(#REF!,"AAAAAHW/8w4=")</f>
        <v>#REF!</v>
      </c>
      <c r="P30" t="str">
        <f>AND(#REF!,"AAAAAHW/8w8=")</f>
        <v>#REF!</v>
      </c>
      <c r="Q30" t="str">
        <f>AND(#REF!,"AAAAAHW/8xA=")</f>
        <v>#REF!</v>
      </c>
      <c r="R30" t="str">
        <f>AND(#REF!,"AAAAAHW/8xE=")</f>
        <v>#REF!</v>
      </c>
      <c r="S30" t="str">
        <f>AND(#REF!,"AAAAAHW/8xI=")</f>
        <v>#REF!</v>
      </c>
      <c r="T30" t="str">
        <f>AND(#REF!,"AAAAAHW/8xM=")</f>
        <v>#REF!</v>
      </c>
      <c r="U30" t="str">
        <f>AND(#REF!,"AAAAAHW/8xQ=")</f>
        <v>#REF!</v>
      </c>
      <c r="V30" t="str">
        <f>AND(#REF!,"AAAAAHW/8xU=")</f>
        <v>#REF!</v>
      </c>
      <c r="W30" t="str">
        <f>AND(#REF!,"AAAAAHW/8xY=")</f>
        <v>#REF!</v>
      </c>
      <c r="X30" t="str">
        <f>AND(#REF!,"AAAAAHW/8xc=")</f>
        <v>#REF!</v>
      </c>
      <c r="Y30" t="str">
        <f>AND(#REF!,"AAAAAHW/8xg=")</f>
        <v>#REF!</v>
      </c>
      <c r="Z30" t="str">
        <f>AND(#REF!,"AAAAAHW/8xk=")</f>
        <v>#REF!</v>
      </c>
      <c r="AA30" t="str">
        <f>AND(#REF!,"AAAAAHW/8xo=")</f>
        <v>#REF!</v>
      </c>
      <c r="AB30" t="str">
        <f>AND(#REF!,"AAAAAHW/8xs=")</f>
        <v>#REF!</v>
      </c>
      <c r="AC30" t="str">
        <f>AND(#REF!,"AAAAAHW/8xw=")</f>
        <v>#REF!</v>
      </c>
      <c r="AD30" t="str">
        <f>AND(#REF!,"AAAAAHW/8x0=")</f>
        <v>#REF!</v>
      </c>
      <c r="AE30" t="str">
        <f>AND(#REF!,"AAAAAHW/8x4=")</f>
        <v>#REF!</v>
      </c>
      <c r="AF30" t="str">
        <f>AND(#REF!,"AAAAAHW/8x8=")</f>
        <v>#REF!</v>
      </c>
      <c r="AG30" t="str">
        <f>AND(#REF!,"AAAAAHW/8yA=")</f>
        <v>#REF!</v>
      </c>
      <c r="AH30" t="str">
        <f>AND(#REF!,"AAAAAHW/8yE=")</f>
        <v>#REF!</v>
      </c>
      <c r="AI30" t="str">
        <f>AND(#REF!,"AAAAAHW/8yI=")</f>
        <v>#REF!</v>
      </c>
      <c r="AJ30" t="str">
        <f>AND(#REF!,"AAAAAHW/8yM=")</f>
        <v>#REF!</v>
      </c>
      <c r="AK30" t="str">
        <f>AND(#REF!,"AAAAAHW/8yQ=")</f>
        <v>#REF!</v>
      </c>
      <c r="AL30" t="str">
        <f>AND(#REF!,"AAAAAHW/8yU=")</f>
        <v>#REF!</v>
      </c>
      <c r="AM30" t="str">
        <f>AND(#REF!,"AAAAAHW/8yY=")</f>
        <v>#REF!</v>
      </c>
      <c r="AN30" t="str">
        <f>AND(#REF!,"AAAAAHW/8yc=")</f>
        <v>#REF!</v>
      </c>
      <c r="AO30" t="str">
        <f>AND(#REF!,"AAAAAHW/8yg=")</f>
        <v>#REF!</v>
      </c>
      <c r="AP30" t="str">
        <f>AND(#REF!,"AAAAAHW/8yk=")</f>
        <v>#REF!</v>
      </c>
      <c r="AQ30" t="str">
        <f>AND(#REF!,"AAAAAHW/8yo=")</f>
        <v>#REF!</v>
      </c>
      <c r="AR30" t="str">
        <f>AND(#REF!,"AAAAAHW/8ys=")</f>
        <v>#REF!</v>
      </c>
      <c r="AS30" t="str">
        <f>AND(#REF!,"AAAAAHW/8yw=")</f>
        <v>#REF!</v>
      </c>
      <c r="AT30" t="str">
        <f>AND(#REF!,"AAAAAHW/8y0=")</f>
        <v>#REF!</v>
      </c>
      <c r="AU30" t="str">
        <f>AND(#REF!,"AAAAAHW/8y4=")</f>
        <v>#REF!</v>
      </c>
      <c r="AV30" t="str">
        <f>AND(#REF!,"AAAAAHW/8y8=")</f>
        <v>#REF!</v>
      </c>
      <c r="AW30" t="str">
        <f>AND(#REF!,"AAAAAHW/8zA=")</f>
        <v>#REF!</v>
      </c>
      <c r="AX30" t="str">
        <f>AND(#REF!,"AAAAAHW/8zE=")</f>
        <v>#REF!</v>
      </c>
      <c r="AY30" t="str">
        <f>AND(#REF!,"AAAAAHW/8zI=")</f>
        <v>#REF!</v>
      </c>
      <c r="AZ30" t="str">
        <f>AND(#REF!,"AAAAAHW/8zM=")</f>
        <v>#REF!</v>
      </c>
      <c r="BA30" t="str">
        <f>AND(#REF!,"AAAAAHW/8zQ=")</f>
        <v>#REF!</v>
      </c>
      <c r="BB30" t="str">
        <f>AND(#REF!,"AAAAAHW/8zU=")</f>
        <v>#REF!</v>
      </c>
      <c r="BC30" t="str">
        <f>AND(#REF!,"AAAAAHW/8zY=")</f>
        <v>#REF!</v>
      </c>
      <c r="BD30" t="str">
        <f>AND(#REF!,"AAAAAHW/8zc=")</f>
        <v>#REF!</v>
      </c>
      <c r="BE30" t="str">
        <f>AND(#REF!,"AAAAAHW/8zg=")</f>
        <v>#REF!</v>
      </c>
      <c r="BF30" t="str">
        <f>AND(#REF!,"AAAAAHW/8zk=")</f>
        <v>#REF!</v>
      </c>
      <c r="BG30" t="str">
        <f>AND(#REF!,"AAAAAHW/8zo=")</f>
        <v>#REF!</v>
      </c>
      <c r="BH30" t="str">
        <f>AND(#REF!,"AAAAAHW/8zs=")</f>
        <v>#REF!</v>
      </c>
      <c r="BI30" t="str">
        <f>AND(#REF!,"AAAAAHW/8zw=")</f>
        <v>#REF!</v>
      </c>
      <c r="BJ30" t="str">
        <f>AND(#REF!,"AAAAAHW/8z0=")</f>
        <v>#REF!</v>
      </c>
      <c r="BK30" t="str">
        <f>AND(#REF!,"AAAAAHW/8z4=")</f>
        <v>#REF!</v>
      </c>
      <c r="BL30" t="str">
        <f>AND(#REF!,"AAAAAHW/8z8=")</f>
        <v>#REF!</v>
      </c>
      <c r="BM30" t="str">
        <f>AND(#REF!,"AAAAAHW/80A=")</f>
        <v>#REF!</v>
      </c>
      <c r="BN30" t="str">
        <f>AND(#REF!,"AAAAAHW/80E=")</f>
        <v>#REF!</v>
      </c>
      <c r="BO30" t="str">
        <f>AND(#REF!,"AAAAAHW/80I=")</f>
        <v>#REF!</v>
      </c>
      <c r="BP30" t="str">
        <f>AND(#REF!,"AAAAAHW/80M=")</f>
        <v>#REF!</v>
      </c>
      <c r="BQ30" t="str">
        <f>AND(#REF!,"AAAAAHW/80Q=")</f>
        <v>#REF!</v>
      </c>
      <c r="BR30" t="str">
        <f>AND(#REF!,"AAAAAHW/80U=")</f>
        <v>#REF!</v>
      </c>
      <c r="BS30" t="str">
        <f>AND(#REF!,"AAAAAHW/80Y=")</f>
        <v>#REF!</v>
      </c>
      <c r="BT30" t="str">
        <f>AND(#REF!,"AAAAAHW/80c=")</f>
        <v>#REF!</v>
      </c>
      <c r="BU30" t="str">
        <f>AND(#REF!,"AAAAAHW/80g=")</f>
        <v>#REF!</v>
      </c>
      <c r="BV30" t="str">
        <f>AND(#REF!,"AAAAAHW/80k=")</f>
        <v>#REF!</v>
      </c>
      <c r="BW30" t="str">
        <f>IF(#REF!,"AAAAAHW/80o=",0)</f>
        <v>#REF!</v>
      </c>
      <c r="BX30" t="str">
        <f>AND(#REF!,"AAAAAHW/80s=")</f>
        <v>#REF!</v>
      </c>
      <c r="BY30" t="str">
        <f>AND(#REF!,"AAAAAHW/80w=")</f>
        <v>#REF!</v>
      </c>
      <c r="BZ30" t="str">
        <f>AND(#REF!,"AAAAAHW/800=")</f>
        <v>#REF!</v>
      </c>
      <c r="CA30" t="str">
        <f>AND(#REF!,"AAAAAHW/804=")</f>
        <v>#REF!</v>
      </c>
      <c r="CB30" t="str">
        <f>AND(#REF!,"AAAAAHW/808=")</f>
        <v>#REF!</v>
      </c>
      <c r="CC30" t="str">
        <f>AND(#REF!,"AAAAAHW/81A=")</f>
        <v>#REF!</v>
      </c>
      <c r="CD30" t="str">
        <f>AND(#REF!,"AAAAAHW/81E=")</f>
        <v>#REF!</v>
      </c>
      <c r="CE30" t="str">
        <f>AND(#REF!,"AAAAAHW/81I=")</f>
        <v>#REF!</v>
      </c>
      <c r="CF30" t="str">
        <f>AND(#REF!,"AAAAAHW/81M=")</f>
        <v>#REF!</v>
      </c>
      <c r="CG30" t="str">
        <f>AND(#REF!,"AAAAAHW/81Q=")</f>
        <v>#REF!</v>
      </c>
      <c r="CH30" t="str">
        <f>AND(#REF!,"AAAAAHW/81U=")</f>
        <v>#REF!</v>
      </c>
      <c r="CI30" t="str">
        <f>AND(#REF!,"AAAAAHW/81Y=")</f>
        <v>#REF!</v>
      </c>
      <c r="CJ30" t="str">
        <f>AND(#REF!,"AAAAAHW/81c=")</f>
        <v>#REF!</v>
      </c>
      <c r="CK30" t="str">
        <f>AND(#REF!,"AAAAAHW/81g=")</f>
        <v>#REF!</v>
      </c>
      <c r="CL30" t="str">
        <f>AND(#REF!,"AAAAAHW/81k=")</f>
        <v>#REF!</v>
      </c>
      <c r="CM30" t="str">
        <f>AND(#REF!,"AAAAAHW/81o=")</f>
        <v>#REF!</v>
      </c>
      <c r="CN30" t="str">
        <f>AND(#REF!,"AAAAAHW/81s=")</f>
        <v>#REF!</v>
      </c>
      <c r="CO30" t="str">
        <f>AND(#REF!,"AAAAAHW/81w=")</f>
        <v>#REF!</v>
      </c>
      <c r="CP30" t="str">
        <f>AND(#REF!,"AAAAAHW/810=")</f>
        <v>#REF!</v>
      </c>
      <c r="CQ30" t="str">
        <f>AND(#REF!,"AAAAAHW/814=")</f>
        <v>#REF!</v>
      </c>
      <c r="CR30" t="str">
        <f>AND(#REF!,"AAAAAHW/818=")</f>
        <v>#REF!</v>
      </c>
      <c r="CS30" t="str">
        <f>AND(#REF!,"AAAAAHW/82A=")</f>
        <v>#REF!</v>
      </c>
      <c r="CT30" t="str">
        <f>AND(#REF!,"AAAAAHW/82E=")</f>
        <v>#REF!</v>
      </c>
      <c r="CU30" t="str">
        <f>AND(#REF!,"AAAAAHW/82I=")</f>
        <v>#REF!</v>
      </c>
      <c r="CV30" t="str">
        <f>AND(#REF!,"AAAAAHW/82M=")</f>
        <v>#REF!</v>
      </c>
      <c r="CW30" t="str">
        <f>AND(#REF!,"AAAAAHW/82Q=")</f>
        <v>#REF!</v>
      </c>
      <c r="CX30" t="str">
        <f>AND(#REF!,"AAAAAHW/82U=")</f>
        <v>#REF!</v>
      </c>
      <c r="CY30" t="str">
        <f>AND(#REF!,"AAAAAHW/82Y=")</f>
        <v>#REF!</v>
      </c>
      <c r="CZ30" t="str">
        <f>AND(#REF!,"AAAAAHW/82c=")</f>
        <v>#REF!</v>
      </c>
      <c r="DA30" t="str">
        <f>AND(#REF!,"AAAAAHW/82g=")</f>
        <v>#REF!</v>
      </c>
      <c r="DB30" t="str">
        <f>AND(#REF!,"AAAAAHW/82k=")</f>
        <v>#REF!</v>
      </c>
      <c r="DC30" t="str">
        <f>AND(#REF!,"AAAAAHW/82o=")</f>
        <v>#REF!</v>
      </c>
      <c r="DD30" t="str">
        <f>AND(#REF!,"AAAAAHW/82s=")</f>
        <v>#REF!</v>
      </c>
      <c r="DE30" t="str">
        <f>AND(#REF!,"AAAAAHW/82w=")</f>
        <v>#REF!</v>
      </c>
      <c r="DF30" t="str">
        <f>AND(#REF!,"AAAAAHW/820=")</f>
        <v>#REF!</v>
      </c>
      <c r="DG30" t="str">
        <f>AND(#REF!,"AAAAAHW/824=")</f>
        <v>#REF!</v>
      </c>
      <c r="DH30" t="str">
        <f>AND(#REF!,"AAAAAHW/828=")</f>
        <v>#REF!</v>
      </c>
      <c r="DI30" t="str">
        <f>AND(#REF!,"AAAAAHW/83A=")</f>
        <v>#REF!</v>
      </c>
      <c r="DJ30" t="str">
        <f>AND(#REF!,"AAAAAHW/83E=")</f>
        <v>#REF!</v>
      </c>
      <c r="DK30" t="str">
        <f>AND(#REF!,"AAAAAHW/83I=")</f>
        <v>#REF!</v>
      </c>
      <c r="DL30" t="str">
        <f>AND(#REF!,"AAAAAHW/83M=")</f>
        <v>#REF!</v>
      </c>
      <c r="DM30" t="str">
        <f>AND(#REF!,"AAAAAHW/83Q=")</f>
        <v>#REF!</v>
      </c>
      <c r="DN30" t="str">
        <f>AND(#REF!,"AAAAAHW/83U=")</f>
        <v>#REF!</v>
      </c>
      <c r="DO30" t="str">
        <f>AND(#REF!,"AAAAAHW/83Y=")</f>
        <v>#REF!</v>
      </c>
      <c r="DP30" t="str">
        <f>AND(#REF!,"AAAAAHW/83c=")</f>
        <v>#REF!</v>
      </c>
      <c r="DQ30" t="str">
        <f>AND(#REF!,"AAAAAHW/83g=")</f>
        <v>#REF!</v>
      </c>
      <c r="DR30" t="str">
        <f>AND(#REF!,"AAAAAHW/83k=")</f>
        <v>#REF!</v>
      </c>
      <c r="DS30" t="str">
        <f>AND(#REF!,"AAAAAHW/83o=")</f>
        <v>#REF!</v>
      </c>
      <c r="DT30" t="str">
        <f>AND(#REF!,"AAAAAHW/83s=")</f>
        <v>#REF!</v>
      </c>
      <c r="DU30" t="str">
        <f>AND(#REF!,"AAAAAHW/83w=")</f>
        <v>#REF!</v>
      </c>
      <c r="DV30" t="str">
        <f>AND(#REF!,"AAAAAHW/830=")</f>
        <v>#REF!</v>
      </c>
      <c r="DW30" t="str">
        <f>AND(#REF!,"AAAAAHW/834=")</f>
        <v>#REF!</v>
      </c>
      <c r="DX30" t="str">
        <f>AND(#REF!,"AAAAAHW/838=")</f>
        <v>#REF!</v>
      </c>
      <c r="DY30" t="str">
        <f>AND(#REF!,"AAAAAHW/84A=")</f>
        <v>#REF!</v>
      </c>
      <c r="DZ30" t="str">
        <f>AND(#REF!,"AAAAAHW/84E=")</f>
        <v>#REF!</v>
      </c>
      <c r="EA30" t="str">
        <f>AND(#REF!,"AAAAAHW/84I=")</f>
        <v>#REF!</v>
      </c>
      <c r="EB30" t="str">
        <f>AND(#REF!,"AAAAAHW/84M=")</f>
        <v>#REF!</v>
      </c>
      <c r="EC30" t="str">
        <f>AND(#REF!,"AAAAAHW/84Q=")</f>
        <v>#REF!</v>
      </c>
      <c r="ED30" t="str">
        <f>AND(#REF!,"AAAAAHW/84U=")</f>
        <v>#REF!</v>
      </c>
      <c r="EE30" t="str">
        <f>AND(#REF!,"AAAAAHW/84Y=")</f>
        <v>#REF!</v>
      </c>
      <c r="EF30" t="str">
        <f>AND(#REF!,"AAAAAHW/84c=")</f>
        <v>#REF!</v>
      </c>
      <c r="EG30" t="str">
        <f>AND(#REF!,"AAAAAHW/84g=")</f>
        <v>#REF!</v>
      </c>
      <c r="EH30" t="str">
        <f>AND(#REF!,"AAAAAHW/84k=")</f>
        <v>#REF!</v>
      </c>
      <c r="EI30" t="str">
        <f>AND(#REF!,"AAAAAHW/84o=")</f>
        <v>#REF!</v>
      </c>
      <c r="EJ30" t="str">
        <f>AND(#REF!,"AAAAAHW/84s=")</f>
        <v>#REF!</v>
      </c>
      <c r="EK30" t="str">
        <f>AND(#REF!,"AAAAAHW/84w=")</f>
        <v>#REF!</v>
      </c>
      <c r="EL30" t="str">
        <f>AND(#REF!,"AAAAAHW/840=")</f>
        <v>#REF!</v>
      </c>
      <c r="EM30" t="str">
        <f>AND(#REF!,"AAAAAHW/844=")</f>
        <v>#REF!</v>
      </c>
      <c r="EN30" t="str">
        <f>AND(#REF!,"AAAAAHW/848=")</f>
        <v>#REF!</v>
      </c>
      <c r="EO30" t="str">
        <f>AND(#REF!,"AAAAAHW/85A=")</f>
        <v>#REF!</v>
      </c>
      <c r="EP30" t="str">
        <f>AND(#REF!,"AAAAAHW/85E=")</f>
        <v>#REF!</v>
      </c>
      <c r="EQ30" t="str">
        <f>AND(#REF!,"AAAAAHW/85I=")</f>
        <v>#REF!</v>
      </c>
      <c r="ER30" t="str">
        <f>AND(#REF!,"AAAAAHW/85M=")</f>
        <v>#REF!</v>
      </c>
      <c r="ES30" t="str">
        <f>AND(#REF!,"AAAAAHW/85Q=")</f>
        <v>#REF!</v>
      </c>
      <c r="ET30" t="str">
        <f>AND(#REF!,"AAAAAHW/85U=")</f>
        <v>#REF!</v>
      </c>
      <c r="EU30" t="str">
        <f>IF(#REF!,"AAAAAHW/85Y=",0)</f>
        <v>#REF!</v>
      </c>
      <c r="EV30" t="str">
        <f>AND(#REF!,"AAAAAHW/85c=")</f>
        <v>#REF!</v>
      </c>
      <c r="EW30" t="str">
        <f>AND(#REF!,"AAAAAHW/85g=")</f>
        <v>#REF!</v>
      </c>
      <c r="EX30" t="str">
        <f>AND(#REF!,"AAAAAHW/85k=")</f>
        <v>#REF!</v>
      </c>
      <c r="EY30" t="str">
        <f>AND(#REF!,"AAAAAHW/85o=")</f>
        <v>#REF!</v>
      </c>
      <c r="EZ30" t="str">
        <f>AND(#REF!,"AAAAAHW/85s=")</f>
        <v>#REF!</v>
      </c>
      <c r="FA30" t="str">
        <f>AND(#REF!,"AAAAAHW/85w=")</f>
        <v>#REF!</v>
      </c>
      <c r="FB30" t="str">
        <f>AND(#REF!,"AAAAAHW/850=")</f>
        <v>#REF!</v>
      </c>
      <c r="FC30" t="str">
        <f>AND(#REF!,"AAAAAHW/854=")</f>
        <v>#REF!</v>
      </c>
      <c r="FD30" t="str">
        <f>AND(#REF!,"AAAAAHW/858=")</f>
        <v>#REF!</v>
      </c>
      <c r="FE30" t="str">
        <f>AND(#REF!,"AAAAAHW/86A=")</f>
        <v>#REF!</v>
      </c>
      <c r="FF30" t="str">
        <f>AND(#REF!,"AAAAAHW/86E=")</f>
        <v>#REF!</v>
      </c>
      <c r="FG30" t="str">
        <f>AND(#REF!,"AAAAAHW/86I=")</f>
        <v>#REF!</v>
      </c>
      <c r="FH30" t="str">
        <f>AND(#REF!,"AAAAAHW/86M=")</f>
        <v>#REF!</v>
      </c>
      <c r="FI30" t="str">
        <f>AND(#REF!,"AAAAAHW/86Q=")</f>
        <v>#REF!</v>
      </c>
      <c r="FJ30" t="str">
        <f>AND(#REF!,"AAAAAHW/86U=")</f>
        <v>#REF!</v>
      </c>
      <c r="FK30" t="str">
        <f>AND(#REF!,"AAAAAHW/86Y=")</f>
        <v>#REF!</v>
      </c>
      <c r="FL30" t="str">
        <f>AND(#REF!,"AAAAAHW/86c=")</f>
        <v>#REF!</v>
      </c>
      <c r="FM30" t="str">
        <f>AND(#REF!,"AAAAAHW/86g=")</f>
        <v>#REF!</v>
      </c>
      <c r="FN30" t="str">
        <f>AND(#REF!,"AAAAAHW/86k=")</f>
        <v>#REF!</v>
      </c>
      <c r="FO30" t="str">
        <f>AND(#REF!,"AAAAAHW/86o=")</f>
        <v>#REF!</v>
      </c>
      <c r="FP30" t="str">
        <f>AND(#REF!,"AAAAAHW/86s=")</f>
        <v>#REF!</v>
      </c>
      <c r="FQ30" t="str">
        <f>AND(#REF!,"AAAAAHW/86w=")</f>
        <v>#REF!</v>
      </c>
      <c r="FR30" t="str">
        <f>AND(#REF!,"AAAAAHW/860=")</f>
        <v>#REF!</v>
      </c>
      <c r="FS30" t="str">
        <f>AND(#REF!,"AAAAAHW/864=")</f>
        <v>#REF!</v>
      </c>
      <c r="FT30" t="str">
        <f>AND(#REF!,"AAAAAHW/868=")</f>
        <v>#REF!</v>
      </c>
      <c r="FU30" t="str">
        <f>AND(#REF!,"AAAAAHW/87A=")</f>
        <v>#REF!</v>
      </c>
      <c r="FV30" t="str">
        <f>AND(#REF!,"AAAAAHW/87E=")</f>
        <v>#REF!</v>
      </c>
      <c r="FW30" t="str">
        <f>AND(#REF!,"AAAAAHW/87I=")</f>
        <v>#REF!</v>
      </c>
      <c r="FX30" t="str">
        <f>AND(#REF!,"AAAAAHW/87M=")</f>
        <v>#REF!</v>
      </c>
      <c r="FY30" t="str">
        <f>AND(#REF!,"AAAAAHW/87Q=")</f>
        <v>#REF!</v>
      </c>
      <c r="FZ30" t="str">
        <f>AND(#REF!,"AAAAAHW/87U=")</f>
        <v>#REF!</v>
      </c>
      <c r="GA30" t="str">
        <f>AND(#REF!,"AAAAAHW/87Y=")</f>
        <v>#REF!</v>
      </c>
      <c r="GB30" t="str">
        <f>AND(#REF!,"AAAAAHW/87c=")</f>
        <v>#REF!</v>
      </c>
      <c r="GC30" t="str">
        <f>AND(#REF!,"AAAAAHW/87g=")</f>
        <v>#REF!</v>
      </c>
      <c r="GD30" t="str">
        <f>AND(#REF!,"AAAAAHW/87k=")</f>
        <v>#REF!</v>
      </c>
      <c r="GE30" t="str">
        <f>AND(#REF!,"AAAAAHW/87o=")</f>
        <v>#REF!</v>
      </c>
      <c r="GF30" t="str">
        <f>AND(#REF!,"AAAAAHW/87s=")</f>
        <v>#REF!</v>
      </c>
      <c r="GG30" t="str">
        <f>AND(#REF!,"AAAAAHW/87w=")</f>
        <v>#REF!</v>
      </c>
      <c r="GH30" t="str">
        <f>AND(#REF!,"AAAAAHW/870=")</f>
        <v>#REF!</v>
      </c>
      <c r="GI30" t="str">
        <f>AND(#REF!,"AAAAAHW/874=")</f>
        <v>#REF!</v>
      </c>
      <c r="GJ30" t="str">
        <f>AND(#REF!,"AAAAAHW/878=")</f>
        <v>#REF!</v>
      </c>
      <c r="GK30" t="str">
        <f>AND(#REF!,"AAAAAHW/88A=")</f>
        <v>#REF!</v>
      </c>
      <c r="GL30" t="str">
        <f>AND(#REF!,"AAAAAHW/88E=")</f>
        <v>#REF!</v>
      </c>
      <c r="GM30" t="str">
        <f>AND(#REF!,"AAAAAHW/88I=")</f>
        <v>#REF!</v>
      </c>
      <c r="GN30" t="str">
        <f>AND(#REF!,"AAAAAHW/88M=")</f>
        <v>#REF!</v>
      </c>
      <c r="GO30" t="str">
        <f>AND(#REF!,"AAAAAHW/88Q=")</f>
        <v>#REF!</v>
      </c>
      <c r="GP30" t="str">
        <f>AND(#REF!,"AAAAAHW/88U=")</f>
        <v>#REF!</v>
      </c>
      <c r="GQ30" t="str">
        <f>AND(#REF!,"AAAAAHW/88Y=")</f>
        <v>#REF!</v>
      </c>
      <c r="GR30" t="str">
        <f>AND(#REF!,"AAAAAHW/88c=")</f>
        <v>#REF!</v>
      </c>
      <c r="GS30" t="str">
        <f>AND(#REF!,"AAAAAHW/88g=")</f>
        <v>#REF!</v>
      </c>
      <c r="GT30" t="str">
        <f>AND(#REF!,"AAAAAHW/88k=")</f>
        <v>#REF!</v>
      </c>
      <c r="GU30" t="str">
        <f>AND(#REF!,"AAAAAHW/88o=")</f>
        <v>#REF!</v>
      </c>
      <c r="GV30" t="str">
        <f>AND(#REF!,"AAAAAHW/88s=")</f>
        <v>#REF!</v>
      </c>
      <c r="GW30" t="str">
        <f>AND(#REF!,"AAAAAHW/88w=")</f>
        <v>#REF!</v>
      </c>
      <c r="GX30" t="str">
        <f>AND(#REF!,"AAAAAHW/880=")</f>
        <v>#REF!</v>
      </c>
      <c r="GY30" t="str">
        <f>AND(#REF!,"AAAAAHW/884=")</f>
        <v>#REF!</v>
      </c>
      <c r="GZ30" t="str">
        <f>AND(#REF!,"AAAAAHW/888=")</f>
        <v>#REF!</v>
      </c>
      <c r="HA30" t="str">
        <f>AND(#REF!,"AAAAAHW/89A=")</f>
        <v>#REF!</v>
      </c>
      <c r="HB30" t="str">
        <f>AND(#REF!,"AAAAAHW/89E=")</f>
        <v>#REF!</v>
      </c>
      <c r="HC30" t="str">
        <f>AND(#REF!,"AAAAAHW/89I=")</f>
        <v>#REF!</v>
      </c>
      <c r="HD30" t="str">
        <f>AND(#REF!,"AAAAAHW/89M=")</f>
        <v>#REF!</v>
      </c>
      <c r="HE30" t="str">
        <f>AND(#REF!,"AAAAAHW/89Q=")</f>
        <v>#REF!</v>
      </c>
      <c r="HF30" t="str">
        <f>AND(#REF!,"AAAAAHW/89U=")</f>
        <v>#REF!</v>
      </c>
      <c r="HG30" t="str">
        <f>AND(#REF!,"AAAAAHW/89Y=")</f>
        <v>#REF!</v>
      </c>
      <c r="HH30" t="str">
        <f>AND(#REF!,"AAAAAHW/89c=")</f>
        <v>#REF!</v>
      </c>
      <c r="HI30" t="str">
        <f>AND(#REF!,"AAAAAHW/89g=")</f>
        <v>#REF!</v>
      </c>
      <c r="HJ30" t="str">
        <f>AND(#REF!,"AAAAAHW/89k=")</f>
        <v>#REF!</v>
      </c>
      <c r="HK30" t="str">
        <f>AND(#REF!,"AAAAAHW/89o=")</f>
        <v>#REF!</v>
      </c>
      <c r="HL30" t="str">
        <f>AND(#REF!,"AAAAAHW/89s=")</f>
        <v>#REF!</v>
      </c>
      <c r="HM30" t="str">
        <f>AND(#REF!,"AAAAAHW/89w=")</f>
        <v>#REF!</v>
      </c>
      <c r="HN30" t="str">
        <f>AND(#REF!,"AAAAAHW/890=")</f>
        <v>#REF!</v>
      </c>
      <c r="HO30" t="str">
        <f>AND(#REF!,"AAAAAHW/894=")</f>
        <v>#REF!</v>
      </c>
      <c r="HP30" t="str">
        <f>AND(#REF!,"AAAAAHW/898=")</f>
        <v>#REF!</v>
      </c>
      <c r="HQ30" t="str">
        <f>AND(#REF!,"AAAAAHW/8+A=")</f>
        <v>#REF!</v>
      </c>
      <c r="HR30" t="str">
        <f>AND(#REF!,"AAAAAHW/8+E=")</f>
        <v>#REF!</v>
      </c>
      <c r="HS30" t="str">
        <f>IF(#REF!,"AAAAAHW/8+I=",0)</f>
        <v>#REF!</v>
      </c>
      <c r="HT30" t="str">
        <f>AND(#REF!,"AAAAAHW/8+M=")</f>
        <v>#REF!</v>
      </c>
      <c r="HU30" t="str">
        <f>AND(#REF!,"AAAAAHW/8+Q=")</f>
        <v>#REF!</v>
      </c>
      <c r="HV30" t="str">
        <f>AND(#REF!,"AAAAAHW/8+U=")</f>
        <v>#REF!</v>
      </c>
      <c r="HW30" t="str">
        <f>AND(#REF!,"AAAAAHW/8+Y=")</f>
        <v>#REF!</v>
      </c>
      <c r="HX30" t="str">
        <f>AND(#REF!,"AAAAAHW/8+c=")</f>
        <v>#REF!</v>
      </c>
      <c r="HY30" t="str">
        <f>AND(#REF!,"AAAAAHW/8+g=")</f>
        <v>#REF!</v>
      </c>
      <c r="HZ30" t="str">
        <f>AND(#REF!,"AAAAAHW/8+k=")</f>
        <v>#REF!</v>
      </c>
      <c r="IA30" t="str">
        <f>AND(#REF!,"AAAAAHW/8+o=")</f>
        <v>#REF!</v>
      </c>
      <c r="IB30" t="str">
        <f>AND(#REF!,"AAAAAHW/8+s=")</f>
        <v>#REF!</v>
      </c>
      <c r="IC30" t="str">
        <f>AND(#REF!,"AAAAAHW/8+w=")</f>
        <v>#REF!</v>
      </c>
      <c r="ID30" t="str">
        <f>AND(#REF!,"AAAAAHW/8+0=")</f>
        <v>#REF!</v>
      </c>
      <c r="IE30" t="str">
        <f>AND(#REF!,"AAAAAHW/8+4=")</f>
        <v>#REF!</v>
      </c>
      <c r="IF30" t="str">
        <f>AND(#REF!,"AAAAAHW/8+8=")</f>
        <v>#REF!</v>
      </c>
      <c r="IG30" t="str">
        <f>AND(#REF!,"AAAAAHW/8/A=")</f>
        <v>#REF!</v>
      </c>
      <c r="IH30" t="str">
        <f>AND(#REF!,"AAAAAHW/8/E=")</f>
        <v>#REF!</v>
      </c>
      <c r="II30" t="str">
        <f>AND(#REF!,"AAAAAHW/8/I=")</f>
        <v>#REF!</v>
      </c>
      <c r="IJ30" t="str">
        <f>AND(#REF!,"AAAAAHW/8/M=")</f>
        <v>#REF!</v>
      </c>
      <c r="IK30" t="str">
        <f>AND(#REF!,"AAAAAHW/8/Q=")</f>
        <v>#REF!</v>
      </c>
      <c r="IL30" t="str">
        <f>AND(#REF!,"AAAAAHW/8/U=")</f>
        <v>#REF!</v>
      </c>
      <c r="IM30" t="str">
        <f>AND(#REF!,"AAAAAHW/8/Y=")</f>
        <v>#REF!</v>
      </c>
      <c r="IN30" t="str">
        <f>AND(#REF!,"AAAAAHW/8/c=")</f>
        <v>#REF!</v>
      </c>
      <c r="IO30" t="str">
        <f>AND(#REF!,"AAAAAHW/8/g=")</f>
        <v>#REF!</v>
      </c>
      <c r="IP30" t="str">
        <f>AND(#REF!,"AAAAAHW/8/k=")</f>
        <v>#REF!</v>
      </c>
      <c r="IQ30" t="str">
        <f>AND(#REF!,"AAAAAHW/8/o=")</f>
        <v>#REF!</v>
      </c>
      <c r="IR30" t="str">
        <f>AND(#REF!,"AAAAAHW/8/s=")</f>
        <v>#REF!</v>
      </c>
      <c r="IS30" t="str">
        <f>AND(#REF!,"AAAAAHW/8/w=")</f>
        <v>#REF!</v>
      </c>
      <c r="IT30" t="str">
        <f>AND(#REF!,"AAAAAHW/8/0=")</f>
        <v>#REF!</v>
      </c>
      <c r="IU30" t="str">
        <f>AND(#REF!,"AAAAAHW/8/4=")</f>
        <v>#REF!</v>
      </c>
      <c r="IV30" t="str">
        <f>AND(#REF!,"AAAAAHW/8/8=")</f>
        <v>#REF!</v>
      </c>
    </row>
    <row r="31" ht="15.75" customHeight="1">
      <c r="A31" t="str">
        <f>AND(#REF!,"AAAAAGfSzQA=")</f>
        <v>#REF!</v>
      </c>
      <c r="B31" t="str">
        <f>AND(#REF!,"AAAAAGfSzQE=")</f>
        <v>#REF!</v>
      </c>
      <c r="C31" t="str">
        <f>AND(#REF!,"AAAAAGfSzQI=")</f>
        <v>#REF!</v>
      </c>
      <c r="D31" t="str">
        <f>AND(#REF!,"AAAAAGfSzQM=")</f>
        <v>#REF!</v>
      </c>
      <c r="E31" t="str">
        <f>AND(#REF!,"AAAAAGfSzQQ=")</f>
        <v>#REF!</v>
      </c>
      <c r="F31" t="str">
        <f>AND(#REF!,"AAAAAGfSzQU=")</f>
        <v>#REF!</v>
      </c>
      <c r="G31" t="str">
        <f>AND(#REF!,"AAAAAGfSzQY=")</f>
        <v>#REF!</v>
      </c>
      <c r="H31" t="str">
        <f>AND(#REF!,"AAAAAGfSzQc=")</f>
        <v>#REF!</v>
      </c>
      <c r="I31" t="str">
        <f>AND(#REF!,"AAAAAGfSzQg=")</f>
        <v>#REF!</v>
      </c>
      <c r="J31" t="str">
        <f>AND(#REF!,"AAAAAGfSzQk=")</f>
        <v>#REF!</v>
      </c>
      <c r="K31" t="str">
        <f>AND(#REF!,"AAAAAGfSzQo=")</f>
        <v>#REF!</v>
      </c>
      <c r="L31" t="str">
        <f>AND(#REF!,"AAAAAGfSzQs=")</f>
        <v>#REF!</v>
      </c>
      <c r="M31" t="str">
        <f>AND(#REF!,"AAAAAGfSzQw=")</f>
        <v>#REF!</v>
      </c>
      <c r="N31" t="str">
        <f>AND(#REF!,"AAAAAGfSzQ0=")</f>
        <v>#REF!</v>
      </c>
      <c r="O31" t="str">
        <f>AND(#REF!,"AAAAAGfSzQ4=")</f>
        <v>#REF!</v>
      </c>
      <c r="P31" t="str">
        <f>AND(#REF!,"AAAAAGfSzQ8=")</f>
        <v>#REF!</v>
      </c>
      <c r="Q31" t="str">
        <f>AND(#REF!,"AAAAAGfSzRA=")</f>
        <v>#REF!</v>
      </c>
      <c r="R31" t="str">
        <f>AND(#REF!,"AAAAAGfSzRE=")</f>
        <v>#REF!</v>
      </c>
      <c r="S31" t="str">
        <f>AND(#REF!,"AAAAAGfSzRI=")</f>
        <v>#REF!</v>
      </c>
      <c r="T31" t="str">
        <f>AND(#REF!,"AAAAAGfSzRM=")</f>
        <v>#REF!</v>
      </c>
      <c r="U31" t="str">
        <f>AND(#REF!,"AAAAAGfSzRQ=")</f>
        <v>#REF!</v>
      </c>
      <c r="V31" t="str">
        <f>AND(#REF!,"AAAAAGfSzRU=")</f>
        <v>#REF!</v>
      </c>
      <c r="W31" t="str">
        <f>AND(#REF!,"AAAAAGfSzRY=")</f>
        <v>#REF!</v>
      </c>
      <c r="X31" t="str">
        <f>AND(#REF!,"AAAAAGfSzRc=")</f>
        <v>#REF!</v>
      </c>
      <c r="Y31" t="str">
        <f>AND(#REF!,"AAAAAGfSzRg=")</f>
        <v>#REF!</v>
      </c>
      <c r="Z31" t="str">
        <f>AND(#REF!,"AAAAAGfSzRk=")</f>
        <v>#REF!</v>
      </c>
      <c r="AA31" t="str">
        <f>AND(#REF!,"AAAAAGfSzRo=")</f>
        <v>#REF!</v>
      </c>
      <c r="AB31" t="str">
        <f>AND(#REF!,"AAAAAGfSzRs=")</f>
        <v>#REF!</v>
      </c>
      <c r="AC31" t="str">
        <f>AND(#REF!,"AAAAAGfSzRw=")</f>
        <v>#REF!</v>
      </c>
      <c r="AD31" t="str">
        <f>AND(#REF!,"AAAAAGfSzR0=")</f>
        <v>#REF!</v>
      </c>
      <c r="AE31" t="str">
        <f>AND(#REF!,"AAAAAGfSzR4=")</f>
        <v>#REF!</v>
      </c>
      <c r="AF31" t="str">
        <f>AND(#REF!,"AAAAAGfSzR8=")</f>
        <v>#REF!</v>
      </c>
      <c r="AG31" t="str">
        <f>AND(#REF!,"AAAAAGfSzSA=")</f>
        <v>#REF!</v>
      </c>
      <c r="AH31" t="str">
        <f>AND(#REF!,"AAAAAGfSzSE=")</f>
        <v>#REF!</v>
      </c>
      <c r="AI31" t="str">
        <f>AND(#REF!,"AAAAAGfSzSI=")</f>
        <v>#REF!</v>
      </c>
      <c r="AJ31" t="str">
        <f>AND(#REF!,"AAAAAGfSzSM=")</f>
        <v>#REF!</v>
      </c>
      <c r="AK31" t="str">
        <f>AND(#REF!,"AAAAAGfSzSQ=")</f>
        <v>#REF!</v>
      </c>
      <c r="AL31" t="str">
        <f>AND(#REF!,"AAAAAGfSzSU=")</f>
        <v>#REF!</v>
      </c>
      <c r="AM31" t="str">
        <f>AND(#REF!,"AAAAAGfSzSY=")</f>
        <v>#REF!</v>
      </c>
      <c r="AN31" t="str">
        <f>AND(#REF!,"AAAAAGfSzSc=")</f>
        <v>#REF!</v>
      </c>
      <c r="AO31" t="str">
        <f>AND(#REF!,"AAAAAGfSzSg=")</f>
        <v>#REF!</v>
      </c>
      <c r="AP31" t="str">
        <f>AND(#REF!,"AAAAAGfSzSk=")</f>
        <v>#REF!</v>
      </c>
      <c r="AQ31" t="str">
        <f>AND(#REF!,"AAAAAGfSzSo=")</f>
        <v>#REF!</v>
      </c>
      <c r="AR31" t="str">
        <f>AND(#REF!,"AAAAAGfSzSs=")</f>
        <v>#REF!</v>
      </c>
      <c r="AS31" t="str">
        <f>AND(#REF!,"AAAAAGfSzSw=")</f>
        <v>#REF!</v>
      </c>
      <c r="AT31" t="str">
        <f>AND(#REF!,"AAAAAGfSzS0=")</f>
        <v>#REF!</v>
      </c>
      <c r="AU31" t="str">
        <f>IF(#REF!,"AAAAAGfSzS4=",0)</f>
        <v>#REF!</v>
      </c>
      <c r="AV31" t="str">
        <f>AND(#REF!,"AAAAAGfSzS8=")</f>
        <v>#REF!</v>
      </c>
      <c r="AW31" t="str">
        <f>AND(#REF!,"AAAAAGfSzTA=")</f>
        <v>#REF!</v>
      </c>
      <c r="AX31" t="str">
        <f>AND(#REF!,"AAAAAGfSzTE=")</f>
        <v>#REF!</v>
      </c>
      <c r="AY31" t="str">
        <f>AND(#REF!,"AAAAAGfSzTI=")</f>
        <v>#REF!</v>
      </c>
      <c r="AZ31" t="str">
        <f>AND(#REF!,"AAAAAGfSzTM=")</f>
        <v>#REF!</v>
      </c>
      <c r="BA31" t="str">
        <f>AND(#REF!,"AAAAAGfSzTQ=")</f>
        <v>#REF!</v>
      </c>
      <c r="BB31" t="str">
        <f>AND(#REF!,"AAAAAGfSzTU=")</f>
        <v>#REF!</v>
      </c>
      <c r="BC31" t="str">
        <f>AND(#REF!,"AAAAAGfSzTY=")</f>
        <v>#REF!</v>
      </c>
      <c r="BD31" t="str">
        <f>AND(#REF!,"AAAAAGfSzTc=")</f>
        <v>#REF!</v>
      </c>
      <c r="BE31" t="str">
        <f>AND(#REF!,"AAAAAGfSzTg=")</f>
        <v>#REF!</v>
      </c>
      <c r="BF31" t="str">
        <f>AND(#REF!,"AAAAAGfSzTk=")</f>
        <v>#REF!</v>
      </c>
      <c r="BG31" t="str">
        <f>AND(#REF!,"AAAAAGfSzTo=")</f>
        <v>#REF!</v>
      </c>
      <c r="BH31" t="str">
        <f>AND(#REF!,"AAAAAGfSzTs=")</f>
        <v>#REF!</v>
      </c>
      <c r="BI31" t="str">
        <f>AND(#REF!,"AAAAAGfSzTw=")</f>
        <v>#REF!</v>
      </c>
      <c r="BJ31" t="str">
        <f>AND(#REF!,"AAAAAGfSzT0=")</f>
        <v>#REF!</v>
      </c>
      <c r="BK31" t="str">
        <f>AND(#REF!,"AAAAAGfSzT4=")</f>
        <v>#REF!</v>
      </c>
      <c r="BL31" t="str">
        <f>AND(#REF!,"AAAAAGfSzT8=")</f>
        <v>#REF!</v>
      </c>
      <c r="BM31" t="str">
        <f>AND(#REF!,"AAAAAGfSzUA=")</f>
        <v>#REF!</v>
      </c>
      <c r="BN31" t="str">
        <f>AND(#REF!,"AAAAAGfSzUE=")</f>
        <v>#REF!</v>
      </c>
      <c r="BO31" t="str">
        <f>AND(#REF!,"AAAAAGfSzUI=")</f>
        <v>#REF!</v>
      </c>
      <c r="BP31" t="str">
        <f>AND(#REF!,"AAAAAGfSzUM=")</f>
        <v>#REF!</v>
      </c>
      <c r="BQ31" t="str">
        <f>AND(#REF!,"AAAAAGfSzUQ=")</f>
        <v>#REF!</v>
      </c>
      <c r="BR31" t="str">
        <f>AND(#REF!,"AAAAAGfSzUU=")</f>
        <v>#REF!</v>
      </c>
      <c r="BS31" t="str">
        <f>AND(#REF!,"AAAAAGfSzUY=")</f>
        <v>#REF!</v>
      </c>
      <c r="BT31" t="str">
        <f>AND(#REF!,"AAAAAGfSzUc=")</f>
        <v>#REF!</v>
      </c>
      <c r="BU31" t="str">
        <f>AND(#REF!,"AAAAAGfSzUg=")</f>
        <v>#REF!</v>
      </c>
      <c r="BV31" t="str">
        <f>AND(#REF!,"AAAAAGfSzUk=")</f>
        <v>#REF!</v>
      </c>
      <c r="BW31" t="str">
        <f>AND(#REF!,"AAAAAGfSzUo=")</f>
        <v>#REF!</v>
      </c>
      <c r="BX31" t="str">
        <f>AND(#REF!,"AAAAAGfSzUs=")</f>
        <v>#REF!</v>
      </c>
      <c r="BY31" t="str">
        <f>AND(#REF!,"AAAAAGfSzUw=")</f>
        <v>#REF!</v>
      </c>
      <c r="BZ31" t="str">
        <f>AND(#REF!,"AAAAAGfSzU0=")</f>
        <v>#REF!</v>
      </c>
      <c r="CA31" t="str">
        <f>AND(#REF!,"AAAAAGfSzU4=")</f>
        <v>#REF!</v>
      </c>
      <c r="CB31" t="str">
        <f>AND(#REF!,"AAAAAGfSzU8=")</f>
        <v>#REF!</v>
      </c>
      <c r="CC31" t="str">
        <f>AND(#REF!,"AAAAAGfSzVA=")</f>
        <v>#REF!</v>
      </c>
      <c r="CD31" t="str">
        <f>AND(#REF!,"AAAAAGfSzVE=")</f>
        <v>#REF!</v>
      </c>
      <c r="CE31" t="str">
        <f>AND(#REF!,"AAAAAGfSzVI=")</f>
        <v>#REF!</v>
      </c>
      <c r="CF31" t="str">
        <f>AND(#REF!,"AAAAAGfSzVM=")</f>
        <v>#REF!</v>
      </c>
      <c r="CG31" t="str">
        <f>AND(#REF!,"AAAAAGfSzVQ=")</f>
        <v>#REF!</v>
      </c>
      <c r="CH31" t="str">
        <f>AND(#REF!,"AAAAAGfSzVU=")</f>
        <v>#REF!</v>
      </c>
      <c r="CI31" t="str">
        <f>AND(#REF!,"AAAAAGfSzVY=")</f>
        <v>#REF!</v>
      </c>
      <c r="CJ31" t="str">
        <f>AND(#REF!,"AAAAAGfSzVc=")</f>
        <v>#REF!</v>
      </c>
      <c r="CK31" t="str">
        <f>AND(#REF!,"AAAAAGfSzVg=")</f>
        <v>#REF!</v>
      </c>
      <c r="CL31" t="str">
        <f>AND(#REF!,"AAAAAGfSzVk=")</f>
        <v>#REF!</v>
      </c>
      <c r="CM31" t="str">
        <f>AND(#REF!,"AAAAAGfSzVo=")</f>
        <v>#REF!</v>
      </c>
      <c r="CN31" t="str">
        <f>AND(#REF!,"AAAAAGfSzVs=")</f>
        <v>#REF!</v>
      </c>
      <c r="CO31" t="str">
        <f>AND(#REF!,"AAAAAGfSzVw=")</f>
        <v>#REF!</v>
      </c>
      <c r="CP31" t="str">
        <f>AND(#REF!,"AAAAAGfSzV0=")</f>
        <v>#REF!</v>
      </c>
      <c r="CQ31" t="str">
        <f>AND(#REF!,"AAAAAGfSzV4=")</f>
        <v>#REF!</v>
      </c>
      <c r="CR31" t="str">
        <f>AND(#REF!,"AAAAAGfSzV8=")</f>
        <v>#REF!</v>
      </c>
      <c r="CS31" t="str">
        <f>AND(#REF!,"AAAAAGfSzWA=")</f>
        <v>#REF!</v>
      </c>
      <c r="CT31" t="str">
        <f>AND(#REF!,"AAAAAGfSzWE=")</f>
        <v>#REF!</v>
      </c>
      <c r="CU31" t="str">
        <f>AND(#REF!,"AAAAAGfSzWI=")</f>
        <v>#REF!</v>
      </c>
      <c r="CV31" t="str">
        <f>AND(#REF!,"AAAAAGfSzWM=")</f>
        <v>#REF!</v>
      </c>
      <c r="CW31" t="str">
        <f>AND(#REF!,"AAAAAGfSzWQ=")</f>
        <v>#REF!</v>
      </c>
      <c r="CX31" t="str">
        <f>AND(#REF!,"AAAAAGfSzWU=")</f>
        <v>#REF!</v>
      </c>
      <c r="CY31" t="str">
        <f>AND(#REF!,"AAAAAGfSzWY=")</f>
        <v>#REF!</v>
      </c>
      <c r="CZ31" t="str">
        <f>AND(#REF!,"AAAAAGfSzWc=")</f>
        <v>#REF!</v>
      </c>
      <c r="DA31" t="str">
        <f>AND(#REF!,"AAAAAGfSzWg=")</f>
        <v>#REF!</v>
      </c>
      <c r="DB31" t="str">
        <f>AND(#REF!,"AAAAAGfSzWk=")</f>
        <v>#REF!</v>
      </c>
      <c r="DC31" t="str">
        <f>AND(#REF!,"AAAAAGfSzWo=")</f>
        <v>#REF!</v>
      </c>
      <c r="DD31" t="str">
        <f>AND(#REF!,"AAAAAGfSzWs=")</f>
        <v>#REF!</v>
      </c>
      <c r="DE31" t="str">
        <f>AND(#REF!,"AAAAAGfSzWw=")</f>
        <v>#REF!</v>
      </c>
      <c r="DF31" t="str">
        <f>AND(#REF!,"AAAAAGfSzW0=")</f>
        <v>#REF!</v>
      </c>
      <c r="DG31" t="str">
        <f>AND(#REF!,"AAAAAGfSzW4=")</f>
        <v>#REF!</v>
      </c>
      <c r="DH31" t="str">
        <f>AND(#REF!,"AAAAAGfSzW8=")</f>
        <v>#REF!</v>
      </c>
      <c r="DI31" t="str">
        <f>AND(#REF!,"AAAAAGfSzXA=")</f>
        <v>#REF!</v>
      </c>
      <c r="DJ31" t="str">
        <f>AND(#REF!,"AAAAAGfSzXE=")</f>
        <v>#REF!</v>
      </c>
      <c r="DK31" t="str">
        <f>AND(#REF!,"AAAAAGfSzXI=")</f>
        <v>#REF!</v>
      </c>
      <c r="DL31" t="str">
        <f>AND(#REF!,"AAAAAGfSzXM=")</f>
        <v>#REF!</v>
      </c>
      <c r="DM31" t="str">
        <f>AND(#REF!,"AAAAAGfSzXQ=")</f>
        <v>#REF!</v>
      </c>
      <c r="DN31" t="str">
        <f>AND(#REF!,"AAAAAGfSzXU=")</f>
        <v>#REF!</v>
      </c>
      <c r="DO31" t="str">
        <f>AND(#REF!,"AAAAAGfSzXY=")</f>
        <v>#REF!</v>
      </c>
      <c r="DP31" t="str">
        <f>AND(#REF!,"AAAAAGfSzXc=")</f>
        <v>#REF!</v>
      </c>
      <c r="DQ31" t="str">
        <f>AND(#REF!,"AAAAAGfSzXg=")</f>
        <v>#REF!</v>
      </c>
      <c r="DR31" t="str">
        <f>AND(#REF!,"AAAAAGfSzXk=")</f>
        <v>#REF!</v>
      </c>
      <c r="DS31" t="str">
        <f>IF(#REF!,"AAAAAGfSzXo=",0)</f>
        <v>#REF!</v>
      </c>
      <c r="DT31" t="str">
        <f>AND(#REF!,"AAAAAGfSzXs=")</f>
        <v>#REF!</v>
      </c>
      <c r="DU31" t="str">
        <f>AND(#REF!,"AAAAAGfSzXw=")</f>
        <v>#REF!</v>
      </c>
      <c r="DV31" t="str">
        <f>AND(#REF!,"AAAAAGfSzX0=")</f>
        <v>#REF!</v>
      </c>
      <c r="DW31" t="str">
        <f>AND(#REF!,"AAAAAGfSzX4=")</f>
        <v>#REF!</v>
      </c>
      <c r="DX31" t="str">
        <f>AND(#REF!,"AAAAAGfSzX8=")</f>
        <v>#REF!</v>
      </c>
      <c r="DY31" t="str">
        <f>AND(#REF!,"AAAAAGfSzYA=")</f>
        <v>#REF!</v>
      </c>
      <c r="DZ31" t="str">
        <f>AND(#REF!,"AAAAAGfSzYE=")</f>
        <v>#REF!</v>
      </c>
      <c r="EA31" t="str">
        <f>AND(#REF!,"AAAAAGfSzYI=")</f>
        <v>#REF!</v>
      </c>
      <c r="EB31" t="str">
        <f>AND(#REF!,"AAAAAGfSzYM=")</f>
        <v>#REF!</v>
      </c>
      <c r="EC31" t="str">
        <f>AND(#REF!,"AAAAAGfSzYQ=")</f>
        <v>#REF!</v>
      </c>
      <c r="ED31" t="str">
        <f>AND(#REF!,"AAAAAGfSzYU=")</f>
        <v>#REF!</v>
      </c>
      <c r="EE31" t="str">
        <f>AND(#REF!,"AAAAAGfSzYY=")</f>
        <v>#REF!</v>
      </c>
      <c r="EF31" t="str">
        <f>AND(#REF!,"AAAAAGfSzYc=")</f>
        <v>#REF!</v>
      </c>
      <c r="EG31" t="str">
        <f>AND(#REF!,"AAAAAGfSzYg=")</f>
        <v>#REF!</v>
      </c>
      <c r="EH31" t="str">
        <f>AND(#REF!,"AAAAAGfSzYk=")</f>
        <v>#REF!</v>
      </c>
      <c r="EI31" t="str">
        <f>AND(#REF!,"AAAAAGfSzYo=")</f>
        <v>#REF!</v>
      </c>
      <c r="EJ31" t="str">
        <f>AND(#REF!,"AAAAAGfSzYs=")</f>
        <v>#REF!</v>
      </c>
      <c r="EK31" t="str">
        <f>AND(#REF!,"AAAAAGfSzYw=")</f>
        <v>#REF!</v>
      </c>
      <c r="EL31" t="str">
        <f>AND(#REF!,"AAAAAGfSzY0=")</f>
        <v>#REF!</v>
      </c>
      <c r="EM31" t="str">
        <f>AND(#REF!,"AAAAAGfSzY4=")</f>
        <v>#REF!</v>
      </c>
      <c r="EN31" t="str">
        <f>AND(#REF!,"AAAAAGfSzY8=")</f>
        <v>#REF!</v>
      </c>
      <c r="EO31" t="str">
        <f>AND(#REF!,"AAAAAGfSzZA=")</f>
        <v>#REF!</v>
      </c>
      <c r="EP31" t="str">
        <f>AND(#REF!,"AAAAAGfSzZE=")</f>
        <v>#REF!</v>
      </c>
      <c r="EQ31" t="str">
        <f>AND(#REF!,"AAAAAGfSzZI=")</f>
        <v>#REF!</v>
      </c>
      <c r="ER31" t="str">
        <f>AND(#REF!,"AAAAAGfSzZM=")</f>
        <v>#REF!</v>
      </c>
      <c r="ES31" t="str">
        <f>AND(#REF!,"AAAAAGfSzZQ=")</f>
        <v>#REF!</v>
      </c>
      <c r="ET31" t="str">
        <f>AND(#REF!,"AAAAAGfSzZU=")</f>
        <v>#REF!</v>
      </c>
      <c r="EU31" t="str">
        <f>AND(#REF!,"AAAAAGfSzZY=")</f>
        <v>#REF!</v>
      </c>
      <c r="EV31" t="str">
        <f>AND(#REF!,"AAAAAGfSzZc=")</f>
        <v>#REF!</v>
      </c>
      <c r="EW31" t="str">
        <f>AND(#REF!,"AAAAAGfSzZg=")</f>
        <v>#REF!</v>
      </c>
      <c r="EX31" t="str">
        <f>AND(#REF!,"AAAAAGfSzZk=")</f>
        <v>#REF!</v>
      </c>
      <c r="EY31" t="str">
        <f>AND(#REF!,"AAAAAGfSzZo=")</f>
        <v>#REF!</v>
      </c>
      <c r="EZ31" t="str">
        <f>AND(#REF!,"AAAAAGfSzZs=")</f>
        <v>#REF!</v>
      </c>
      <c r="FA31" t="str">
        <f>AND(#REF!,"AAAAAGfSzZw=")</f>
        <v>#REF!</v>
      </c>
      <c r="FB31" t="str">
        <f>AND(#REF!,"AAAAAGfSzZ0=")</f>
        <v>#REF!</v>
      </c>
      <c r="FC31" t="str">
        <f>AND(#REF!,"AAAAAGfSzZ4=")</f>
        <v>#REF!</v>
      </c>
      <c r="FD31" t="str">
        <f>AND(#REF!,"AAAAAGfSzZ8=")</f>
        <v>#REF!</v>
      </c>
      <c r="FE31" t="str">
        <f>AND(#REF!,"AAAAAGfSzaA=")</f>
        <v>#REF!</v>
      </c>
      <c r="FF31" t="str">
        <f>AND(#REF!,"AAAAAGfSzaE=")</f>
        <v>#REF!</v>
      </c>
      <c r="FG31" t="str">
        <f>AND(#REF!,"AAAAAGfSzaI=")</f>
        <v>#REF!</v>
      </c>
      <c r="FH31" t="str">
        <f>AND(#REF!,"AAAAAGfSzaM=")</f>
        <v>#REF!</v>
      </c>
      <c r="FI31" t="str">
        <f>AND(#REF!,"AAAAAGfSzaQ=")</f>
        <v>#REF!</v>
      </c>
      <c r="FJ31" t="str">
        <f>AND(#REF!,"AAAAAGfSzaU=")</f>
        <v>#REF!</v>
      </c>
      <c r="FK31" t="str">
        <f>AND(#REF!,"AAAAAGfSzaY=")</f>
        <v>#REF!</v>
      </c>
      <c r="FL31" t="str">
        <f>AND(#REF!,"AAAAAGfSzac=")</f>
        <v>#REF!</v>
      </c>
      <c r="FM31" t="str">
        <f>AND(#REF!,"AAAAAGfSzag=")</f>
        <v>#REF!</v>
      </c>
      <c r="FN31" t="str">
        <f>AND(#REF!,"AAAAAGfSzak=")</f>
        <v>#REF!</v>
      </c>
      <c r="FO31" t="str">
        <f>AND(#REF!,"AAAAAGfSzao=")</f>
        <v>#REF!</v>
      </c>
      <c r="FP31" t="str">
        <f>AND(#REF!,"AAAAAGfSzas=")</f>
        <v>#REF!</v>
      </c>
      <c r="FQ31" t="str">
        <f>AND(#REF!,"AAAAAGfSzaw=")</f>
        <v>#REF!</v>
      </c>
      <c r="FR31" t="str">
        <f>AND(#REF!,"AAAAAGfSza0=")</f>
        <v>#REF!</v>
      </c>
      <c r="FS31" t="str">
        <f>AND(#REF!,"AAAAAGfSza4=")</f>
        <v>#REF!</v>
      </c>
      <c r="FT31" t="str">
        <f>AND(#REF!,"AAAAAGfSza8=")</f>
        <v>#REF!</v>
      </c>
      <c r="FU31" t="str">
        <f>AND(#REF!,"AAAAAGfSzbA=")</f>
        <v>#REF!</v>
      </c>
      <c r="FV31" t="str">
        <f>AND(#REF!,"AAAAAGfSzbE=")</f>
        <v>#REF!</v>
      </c>
      <c r="FW31" t="str">
        <f>AND(#REF!,"AAAAAGfSzbI=")</f>
        <v>#REF!</v>
      </c>
      <c r="FX31" t="str">
        <f>AND(#REF!,"AAAAAGfSzbM=")</f>
        <v>#REF!</v>
      </c>
      <c r="FY31" t="str">
        <f>AND(#REF!,"AAAAAGfSzbQ=")</f>
        <v>#REF!</v>
      </c>
      <c r="FZ31" t="str">
        <f>AND(#REF!,"AAAAAGfSzbU=")</f>
        <v>#REF!</v>
      </c>
      <c r="GA31" t="str">
        <f>AND(#REF!,"AAAAAGfSzbY=")</f>
        <v>#REF!</v>
      </c>
      <c r="GB31" t="str">
        <f>AND(#REF!,"AAAAAGfSzbc=")</f>
        <v>#REF!</v>
      </c>
      <c r="GC31" t="str">
        <f>AND(#REF!,"AAAAAGfSzbg=")</f>
        <v>#REF!</v>
      </c>
      <c r="GD31" t="str">
        <f>AND(#REF!,"AAAAAGfSzbk=")</f>
        <v>#REF!</v>
      </c>
      <c r="GE31" t="str">
        <f>AND(#REF!,"AAAAAGfSzbo=")</f>
        <v>#REF!</v>
      </c>
      <c r="GF31" t="str">
        <f>AND(#REF!,"AAAAAGfSzbs=")</f>
        <v>#REF!</v>
      </c>
      <c r="GG31" t="str">
        <f>AND(#REF!,"AAAAAGfSzbw=")</f>
        <v>#REF!</v>
      </c>
      <c r="GH31" t="str">
        <f>AND(#REF!,"AAAAAGfSzb0=")</f>
        <v>#REF!</v>
      </c>
      <c r="GI31" t="str">
        <f>AND(#REF!,"AAAAAGfSzb4=")</f>
        <v>#REF!</v>
      </c>
      <c r="GJ31" t="str">
        <f>AND(#REF!,"AAAAAGfSzb8=")</f>
        <v>#REF!</v>
      </c>
      <c r="GK31" t="str">
        <f>AND(#REF!,"AAAAAGfSzcA=")</f>
        <v>#REF!</v>
      </c>
      <c r="GL31" t="str">
        <f>AND(#REF!,"AAAAAGfSzcE=")</f>
        <v>#REF!</v>
      </c>
      <c r="GM31" t="str">
        <f>AND(#REF!,"AAAAAGfSzcI=")</f>
        <v>#REF!</v>
      </c>
      <c r="GN31" t="str">
        <f>AND(#REF!,"AAAAAGfSzcM=")</f>
        <v>#REF!</v>
      </c>
      <c r="GO31" t="str">
        <f>AND(#REF!,"AAAAAGfSzcQ=")</f>
        <v>#REF!</v>
      </c>
      <c r="GP31" t="str">
        <f>AND(#REF!,"AAAAAGfSzcU=")</f>
        <v>#REF!</v>
      </c>
      <c r="GQ31" t="str">
        <f>IF(#REF!,"AAAAAGfSzcY=",0)</f>
        <v>#REF!</v>
      </c>
      <c r="GR31" t="str">
        <f>AND(#REF!,"AAAAAGfSzcc=")</f>
        <v>#REF!</v>
      </c>
      <c r="GS31" t="str">
        <f>AND(#REF!,"AAAAAGfSzcg=")</f>
        <v>#REF!</v>
      </c>
      <c r="GT31" t="str">
        <f>AND(#REF!,"AAAAAGfSzck=")</f>
        <v>#REF!</v>
      </c>
      <c r="GU31" t="str">
        <f>AND(#REF!,"AAAAAGfSzco=")</f>
        <v>#REF!</v>
      </c>
      <c r="GV31" t="str">
        <f>AND(#REF!,"AAAAAGfSzcs=")</f>
        <v>#REF!</v>
      </c>
      <c r="GW31" t="str">
        <f>AND(#REF!,"AAAAAGfSzcw=")</f>
        <v>#REF!</v>
      </c>
      <c r="GX31" t="str">
        <f>AND(#REF!,"AAAAAGfSzc0=")</f>
        <v>#REF!</v>
      </c>
      <c r="GY31" t="str">
        <f>AND(#REF!,"AAAAAGfSzc4=")</f>
        <v>#REF!</v>
      </c>
      <c r="GZ31" t="str">
        <f>AND(#REF!,"AAAAAGfSzc8=")</f>
        <v>#REF!</v>
      </c>
      <c r="HA31" t="str">
        <f>AND(#REF!,"AAAAAGfSzdA=")</f>
        <v>#REF!</v>
      </c>
      <c r="HB31" t="str">
        <f>AND(#REF!,"AAAAAGfSzdE=")</f>
        <v>#REF!</v>
      </c>
      <c r="HC31" t="str">
        <f>AND(#REF!,"AAAAAGfSzdI=")</f>
        <v>#REF!</v>
      </c>
      <c r="HD31" t="str">
        <f>AND(#REF!,"AAAAAGfSzdM=")</f>
        <v>#REF!</v>
      </c>
      <c r="HE31" t="str">
        <f>AND(#REF!,"AAAAAGfSzdQ=")</f>
        <v>#REF!</v>
      </c>
      <c r="HF31" t="str">
        <f>AND(#REF!,"AAAAAGfSzdU=")</f>
        <v>#REF!</v>
      </c>
      <c r="HG31" t="str">
        <f>AND(#REF!,"AAAAAGfSzdY=")</f>
        <v>#REF!</v>
      </c>
      <c r="HH31" t="str">
        <f>AND(#REF!,"AAAAAGfSzdc=")</f>
        <v>#REF!</v>
      </c>
      <c r="HI31" t="str">
        <f>AND(#REF!,"AAAAAGfSzdg=")</f>
        <v>#REF!</v>
      </c>
      <c r="HJ31" t="str">
        <f>AND(#REF!,"AAAAAGfSzdk=")</f>
        <v>#REF!</v>
      </c>
      <c r="HK31" t="str">
        <f>AND(#REF!,"AAAAAGfSzdo=")</f>
        <v>#REF!</v>
      </c>
      <c r="HL31" t="str">
        <f>AND(#REF!,"AAAAAGfSzds=")</f>
        <v>#REF!</v>
      </c>
      <c r="HM31" t="str">
        <f>AND(#REF!,"AAAAAGfSzdw=")</f>
        <v>#REF!</v>
      </c>
      <c r="HN31" t="str">
        <f>AND(#REF!,"AAAAAGfSzd0=")</f>
        <v>#REF!</v>
      </c>
      <c r="HO31" t="str">
        <f>AND(#REF!,"AAAAAGfSzd4=")</f>
        <v>#REF!</v>
      </c>
      <c r="HP31" t="str">
        <f>AND(#REF!,"AAAAAGfSzd8=")</f>
        <v>#REF!</v>
      </c>
      <c r="HQ31" t="str">
        <f>AND(#REF!,"AAAAAGfSzeA=")</f>
        <v>#REF!</v>
      </c>
      <c r="HR31" t="str">
        <f>AND(#REF!,"AAAAAGfSzeE=")</f>
        <v>#REF!</v>
      </c>
      <c r="HS31" t="str">
        <f>AND(#REF!,"AAAAAGfSzeI=")</f>
        <v>#REF!</v>
      </c>
      <c r="HT31" t="str">
        <f>AND(#REF!,"AAAAAGfSzeM=")</f>
        <v>#REF!</v>
      </c>
      <c r="HU31" t="str">
        <f>AND(#REF!,"AAAAAGfSzeQ=")</f>
        <v>#REF!</v>
      </c>
      <c r="HV31" t="str">
        <f>AND(#REF!,"AAAAAGfSzeU=")</f>
        <v>#REF!</v>
      </c>
      <c r="HW31" t="str">
        <f>AND(#REF!,"AAAAAGfSzeY=")</f>
        <v>#REF!</v>
      </c>
      <c r="HX31" t="str">
        <f>AND(#REF!,"AAAAAGfSzec=")</f>
        <v>#REF!</v>
      </c>
      <c r="HY31" t="str">
        <f>AND(#REF!,"AAAAAGfSzeg=")</f>
        <v>#REF!</v>
      </c>
      <c r="HZ31" t="str">
        <f>AND(#REF!,"AAAAAGfSzek=")</f>
        <v>#REF!</v>
      </c>
      <c r="IA31" t="str">
        <f>AND(#REF!,"AAAAAGfSzeo=")</f>
        <v>#REF!</v>
      </c>
      <c r="IB31" t="str">
        <f>AND(#REF!,"AAAAAGfSzes=")</f>
        <v>#REF!</v>
      </c>
      <c r="IC31" t="str">
        <f>AND(#REF!,"AAAAAGfSzew=")</f>
        <v>#REF!</v>
      </c>
      <c r="ID31" t="str">
        <f>AND(#REF!,"AAAAAGfSze0=")</f>
        <v>#REF!</v>
      </c>
      <c r="IE31" t="str">
        <f>AND(#REF!,"AAAAAGfSze4=")</f>
        <v>#REF!</v>
      </c>
      <c r="IF31" t="str">
        <f>AND(#REF!,"AAAAAGfSze8=")</f>
        <v>#REF!</v>
      </c>
      <c r="IG31" t="str">
        <f>AND(#REF!,"AAAAAGfSzfA=")</f>
        <v>#REF!</v>
      </c>
      <c r="IH31" t="str">
        <f>AND(#REF!,"AAAAAGfSzfE=")</f>
        <v>#REF!</v>
      </c>
      <c r="II31" t="str">
        <f>AND(#REF!,"AAAAAGfSzfI=")</f>
        <v>#REF!</v>
      </c>
      <c r="IJ31" t="str">
        <f>AND(#REF!,"AAAAAGfSzfM=")</f>
        <v>#REF!</v>
      </c>
      <c r="IK31" t="str">
        <f>AND(#REF!,"AAAAAGfSzfQ=")</f>
        <v>#REF!</v>
      </c>
      <c r="IL31" t="str">
        <f>AND(#REF!,"AAAAAGfSzfU=")</f>
        <v>#REF!</v>
      </c>
      <c r="IM31" t="str">
        <f>AND(#REF!,"AAAAAGfSzfY=")</f>
        <v>#REF!</v>
      </c>
      <c r="IN31" t="str">
        <f>AND(#REF!,"AAAAAGfSzfc=")</f>
        <v>#REF!</v>
      </c>
      <c r="IO31" t="str">
        <f>AND(#REF!,"AAAAAGfSzfg=")</f>
        <v>#REF!</v>
      </c>
      <c r="IP31" t="str">
        <f>AND(#REF!,"AAAAAGfSzfk=")</f>
        <v>#REF!</v>
      </c>
      <c r="IQ31" t="str">
        <f>AND(#REF!,"AAAAAGfSzfo=")</f>
        <v>#REF!</v>
      </c>
      <c r="IR31" t="str">
        <f>AND(#REF!,"AAAAAGfSzfs=")</f>
        <v>#REF!</v>
      </c>
      <c r="IS31" t="str">
        <f>AND(#REF!,"AAAAAGfSzfw=")</f>
        <v>#REF!</v>
      </c>
      <c r="IT31" t="str">
        <f>AND(#REF!,"AAAAAGfSzf0=")</f>
        <v>#REF!</v>
      </c>
      <c r="IU31" t="str">
        <f>AND(#REF!,"AAAAAGfSzf4=")</f>
        <v>#REF!</v>
      </c>
      <c r="IV31" t="str">
        <f>AND(#REF!,"AAAAAGfSzf8=")</f>
        <v>#REF!</v>
      </c>
    </row>
    <row r="32" ht="15.75" customHeight="1">
      <c r="A32" t="str">
        <f>AND(#REF!,"AAAAAH/v+wA=")</f>
        <v>#REF!</v>
      </c>
      <c r="B32" t="str">
        <f>AND(#REF!,"AAAAAH/v+wE=")</f>
        <v>#REF!</v>
      </c>
      <c r="C32" t="str">
        <f>AND(#REF!,"AAAAAH/v+wI=")</f>
        <v>#REF!</v>
      </c>
      <c r="D32" t="str">
        <f>AND(#REF!,"AAAAAH/v+wM=")</f>
        <v>#REF!</v>
      </c>
      <c r="E32" t="str">
        <f>AND(#REF!,"AAAAAH/v+wQ=")</f>
        <v>#REF!</v>
      </c>
      <c r="F32" t="str">
        <f>AND(#REF!,"AAAAAH/v+wU=")</f>
        <v>#REF!</v>
      </c>
      <c r="G32" t="str">
        <f>AND(#REF!,"AAAAAH/v+wY=")</f>
        <v>#REF!</v>
      </c>
      <c r="H32" t="str">
        <f>AND(#REF!,"AAAAAH/v+wc=")</f>
        <v>#REF!</v>
      </c>
      <c r="I32" t="str">
        <f>AND(#REF!,"AAAAAH/v+wg=")</f>
        <v>#REF!</v>
      </c>
      <c r="J32" t="str">
        <f>AND(#REF!,"AAAAAH/v+wk=")</f>
        <v>#REF!</v>
      </c>
      <c r="K32" t="str">
        <f>AND(#REF!,"AAAAAH/v+wo=")</f>
        <v>#REF!</v>
      </c>
      <c r="L32" t="str">
        <f>AND(#REF!,"AAAAAH/v+ws=")</f>
        <v>#REF!</v>
      </c>
      <c r="M32" t="str">
        <f>AND(#REF!,"AAAAAH/v+ww=")</f>
        <v>#REF!</v>
      </c>
      <c r="N32" t="str">
        <f>AND(#REF!,"AAAAAH/v+w0=")</f>
        <v>#REF!</v>
      </c>
      <c r="O32" t="str">
        <f>AND(#REF!,"AAAAAH/v+w4=")</f>
        <v>#REF!</v>
      </c>
      <c r="P32" t="str">
        <f>AND(#REF!,"AAAAAH/v+w8=")</f>
        <v>#REF!</v>
      </c>
      <c r="Q32" t="str">
        <f>AND(#REF!,"AAAAAH/v+xA=")</f>
        <v>#REF!</v>
      </c>
      <c r="R32" t="str">
        <f>AND(#REF!,"AAAAAH/v+xE=")</f>
        <v>#REF!</v>
      </c>
      <c r="S32" t="str">
        <f>IF(#REF!,"AAAAAH/v+xI=",0)</f>
        <v>#REF!</v>
      </c>
      <c r="T32" t="str">
        <f>AND(#REF!,"AAAAAH/v+xM=")</f>
        <v>#REF!</v>
      </c>
      <c r="U32" t="str">
        <f>AND(#REF!,"AAAAAH/v+xQ=")</f>
        <v>#REF!</v>
      </c>
      <c r="V32" t="str">
        <f>AND(#REF!,"AAAAAH/v+xU=")</f>
        <v>#REF!</v>
      </c>
      <c r="W32" t="str">
        <f>AND(#REF!,"AAAAAH/v+xY=")</f>
        <v>#REF!</v>
      </c>
      <c r="X32" t="str">
        <f>AND(#REF!,"AAAAAH/v+xc=")</f>
        <v>#REF!</v>
      </c>
      <c r="Y32" t="str">
        <f>AND(#REF!,"AAAAAH/v+xg=")</f>
        <v>#REF!</v>
      </c>
      <c r="Z32" t="str">
        <f>AND(#REF!,"AAAAAH/v+xk=")</f>
        <v>#REF!</v>
      </c>
      <c r="AA32" t="str">
        <f>AND(#REF!,"AAAAAH/v+xo=")</f>
        <v>#REF!</v>
      </c>
      <c r="AB32" t="str">
        <f>AND(#REF!,"AAAAAH/v+xs=")</f>
        <v>#REF!</v>
      </c>
      <c r="AC32" t="str">
        <f>AND(#REF!,"AAAAAH/v+xw=")</f>
        <v>#REF!</v>
      </c>
      <c r="AD32" t="str">
        <f>AND(#REF!,"AAAAAH/v+x0=")</f>
        <v>#REF!</v>
      </c>
      <c r="AE32" t="str">
        <f>AND(#REF!,"AAAAAH/v+x4=")</f>
        <v>#REF!</v>
      </c>
      <c r="AF32" t="str">
        <f>AND(#REF!,"AAAAAH/v+x8=")</f>
        <v>#REF!</v>
      </c>
      <c r="AG32" t="str">
        <f>AND(#REF!,"AAAAAH/v+yA=")</f>
        <v>#REF!</v>
      </c>
      <c r="AH32" t="str">
        <f>AND(#REF!,"AAAAAH/v+yE=")</f>
        <v>#REF!</v>
      </c>
      <c r="AI32" t="str">
        <f>AND(#REF!,"AAAAAH/v+yI=")</f>
        <v>#REF!</v>
      </c>
      <c r="AJ32" t="str">
        <f>AND(#REF!,"AAAAAH/v+yM=")</f>
        <v>#REF!</v>
      </c>
      <c r="AK32" t="str">
        <f>AND(#REF!,"AAAAAH/v+yQ=")</f>
        <v>#REF!</v>
      </c>
      <c r="AL32" t="str">
        <f>AND(#REF!,"AAAAAH/v+yU=")</f>
        <v>#REF!</v>
      </c>
      <c r="AM32" t="str">
        <f>AND(#REF!,"AAAAAH/v+yY=")</f>
        <v>#REF!</v>
      </c>
      <c r="AN32" t="str">
        <f>AND(#REF!,"AAAAAH/v+yc=")</f>
        <v>#REF!</v>
      </c>
      <c r="AO32" t="str">
        <f>AND(#REF!,"AAAAAH/v+yg=")</f>
        <v>#REF!</v>
      </c>
      <c r="AP32" t="str">
        <f>AND(#REF!,"AAAAAH/v+yk=")</f>
        <v>#REF!</v>
      </c>
      <c r="AQ32" t="str">
        <f>AND(#REF!,"AAAAAH/v+yo=")</f>
        <v>#REF!</v>
      </c>
      <c r="AR32" t="str">
        <f>AND(#REF!,"AAAAAH/v+ys=")</f>
        <v>#REF!</v>
      </c>
      <c r="AS32" t="str">
        <f>AND(#REF!,"AAAAAH/v+yw=")</f>
        <v>#REF!</v>
      </c>
      <c r="AT32" t="str">
        <f>AND(#REF!,"AAAAAH/v+y0=")</f>
        <v>#REF!</v>
      </c>
      <c r="AU32" t="str">
        <f>AND(#REF!,"AAAAAH/v+y4=")</f>
        <v>#REF!</v>
      </c>
      <c r="AV32" t="str">
        <f>AND(#REF!,"AAAAAH/v+y8=")</f>
        <v>#REF!</v>
      </c>
      <c r="AW32" t="str">
        <f>AND(#REF!,"AAAAAH/v+zA=")</f>
        <v>#REF!</v>
      </c>
      <c r="AX32" t="str">
        <f>AND(#REF!,"AAAAAH/v+zE=")</f>
        <v>#REF!</v>
      </c>
      <c r="AY32" t="str">
        <f>AND(#REF!,"AAAAAH/v+zI=")</f>
        <v>#REF!</v>
      </c>
      <c r="AZ32" t="str">
        <f>AND(#REF!,"AAAAAH/v+zM=")</f>
        <v>#REF!</v>
      </c>
      <c r="BA32" t="str">
        <f>AND(#REF!,"AAAAAH/v+zQ=")</f>
        <v>#REF!</v>
      </c>
      <c r="BB32" t="str">
        <f>AND(#REF!,"AAAAAH/v+zU=")</f>
        <v>#REF!</v>
      </c>
      <c r="BC32" t="str">
        <f>AND(#REF!,"AAAAAH/v+zY=")</f>
        <v>#REF!</v>
      </c>
      <c r="BD32" t="str">
        <f>AND(#REF!,"AAAAAH/v+zc=")</f>
        <v>#REF!</v>
      </c>
      <c r="BE32" t="str">
        <f>AND(#REF!,"AAAAAH/v+zg=")</f>
        <v>#REF!</v>
      </c>
      <c r="BF32" t="str">
        <f>AND(#REF!,"AAAAAH/v+zk=")</f>
        <v>#REF!</v>
      </c>
      <c r="BG32" t="str">
        <f>AND(#REF!,"AAAAAH/v+zo=")</f>
        <v>#REF!</v>
      </c>
      <c r="BH32" t="str">
        <f>AND(#REF!,"AAAAAH/v+zs=")</f>
        <v>#REF!</v>
      </c>
      <c r="BI32" t="str">
        <f>AND(#REF!,"AAAAAH/v+zw=")</f>
        <v>#REF!</v>
      </c>
      <c r="BJ32" t="str">
        <f>AND(#REF!,"AAAAAH/v+z0=")</f>
        <v>#REF!</v>
      </c>
      <c r="BK32" t="str">
        <f>AND(#REF!,"AAAAAH/v+z4=")</f>
        <v>#REF!</v>
      </c>
      <c r="BL32" t="str">
        <f>AND(#REF!,"AAAAAH/v+z8=")</f>
        <v>#REF!</v>
      </c>
      <c r="BM32" t="str">
        <f>AND(#REF!,"AAAAAH/v+0A=")</f>
        <v>#REF!</v>
      </c>
      <c r="BN32" t="str">
        <f>AND(#REF!,"AAAAAH/v+0E=")</f>
        <v>#REF!</v>
      </c>
      <c r="BO32" t="str">
        <f>AND(#REF!,"AAAAAH/v+0I=")</f>
        <v>#REF!</v>
      </c>
      <c r="BP32" t="str">
        <f>AND(#REF!,"AAAAAH/v+0M=")</f>
        <v>#REF!</v>
      </c>
      <c r="BQ32" t="str">
        <f>AND(#REF!,"AAAAAH/v+0Q=")</f>
        <v>#REF!</v>
      </c>
      <c r="BR32" t="str">
        <f>AND(#REF!,"AAAAAH/v+0U=")</f>
        <v>#REF!</v>
      </c>
      <c r="BS32" t="str">
        <f>AND(#REF!,"AAAAAH/v+0Y=")</f>
        <v>#REF!</v>
      </c>
      <c r="BT32" t="str">
        <f>AND(#REF!,"AAAAAH/v+0c=")</f>
        <v>#REF!</v>
      </c>
      <c r="BU32" t="str">
        <f>AND(#REF!,"AAAAAH/v+0g=")</f>
        <v>#REF!</v>
      </c>
      <c r="BV32" t="str">
        <f>AND(#REF!,"AAAAAH/v+0k=")</f>
        <v>#REF!</v>
      </c>
      <c r="BW32" t="str">
        <f>AND(#REF!,"AAAAAH/v+0o=")</f>
        <v>#REF!</v>
      </c>
      <c r="BX32" t="str">
        <f>AND(#REF!,"AAAAAH/v+0s=")</f>
        <v>#REF!</v>
      </c>
      <c r="BY32" t="str">
        <f>AND(#REF!,"AAAAAH/v+0w=")</f>
        <v>#REF!</v>
      </c>
      <c r="BZ32" t="str">
        <f>AND(#REF!,"AAAAAH/v+00=")</f>
        <v>#REF!</v>
      </c>
      <c r="CA32" t="str">
        <f>AND(#REF!,"AAAAAH/v+04=")</f>
        <v>#REF!</v>
      </c>
      <c r="CB32" t="str">
        <f>AND(#REF!,"AAAAAH/v+08=")</f>
        <v>#REF!</v>
      </c>
      <c r="CC32" t="str">
        <f>AND(#REF!,"AAAAAH/v+1A=")</f>
        <v>#REF!</v>
      </c>
      <c r="CD32" t="str">
        <f>AND(#REF!,"AAAAAH/v+1E=")</f>
        <v>#REF!</v>
      </c>
      <c r="CE32" t="str">
        <f>AND(#REF!,"AAAAAH/v+1I=")</f>
        <v>#REF!</v>
      </c>
      <c r="CF32" t="str">
        <f>AND(#REF!,"AAAAAH/v+1M=")</f>
        <v>#REF!</v>
      </c>
      <c r="CG32" t="str">
        <f>AND(#REF!,"AAAAAH/v+1Q=")</f>
        <v>#REF!</v>
      </c>
      <c r="CH32" t="str">
        <f>AND(#REF!,"AAAAAH/v+1U=")</f>
        <v>#REF!</v>
      </c>
      <c r="CI32" t="str">
        <f>AND(#REF!,"AAAAAH/v+1Y=")</f>
        <v>#REF!</v>
      </c>
      <c r="CJ32" t="str">
        <f>AND(#REF!,"AAAAAH/v+1c=")</f>
        <v>#REF!</v>
      </c>
      <c r="CK32" t="str">
        <f>AND(#REF!,"AAAAAH/v+1g=")</f>
        <v>#REF!</v>
      </c>
      <c r="CL32" t="str">
        <f>AND(#REF!,"AAAAAH/v+1k=")</f>
        <v>#REF!</v>
      </c>
      <c r="CM32" t="str">
        <f>AND(#REF!,"AAAAAH/v+1o=")</f>
        <v>#REF!</v>
      </c>
      <c r="CN32" t="str">
        <f>AND(#REF!,"AAAAAH/v+1s=")</f>
        <v>#REF!</v>
      </c>
      <c r="CO32" t="str">
        <f>AND(#REF!,"AAAAAH/v+1w=")</f>
        <v>#REF!</v>
      </c>
      <c r="CP32" t="str">
        <f>AND(#REF!,"AAAAAH/v+10=")</f>
        <v>#REF!</v>
      </c>
      <c r="CQ32" t="str">
        <f>IF(#REF!,"AAAAAH/v+14=",0)</f>
        <v>#REF!</v>
      </c>
      <c r="CR32" t="str">
        <f>AND(#REF!,"AAAAAH/v+18=")</f>
        <v>#REF!</v>
      </c>
      <c r="CS32" t="str">
        <f>AND(#REF!,"AAAAAH/v+2A=")</f>
        <v>#REF!</v>
      </c>
      <c r="CT32" t="str">
        <f>AND(#REF!,"AAAAAH/v+2E=")</f>
        <v>#REF!</v>
      </c>
      <c r="CU32" t="str">
        <f>AND(#REF!,"AAAAAH/v+2I=")</f>
        <v>#REF!</v>
      </c>
      <c r="CV32" t="str">
        <f>AND(#REF!,"AAAAAH/v+2M=")</f>
        <v>#REF!</v>
      </c>
      <c r="CW32" t="str">
        <f>AND(#REF!,"AAAAAH/v+2Q=")</f>
        <v>#REF!</v>
      </c>
      <c r="CX32" t="str">
        <f>AND(#REF!,"AAAAAH/v+2U=")</f>
        <v>#REF!</v>
      </c>
      <c r="CY32" t="str">
        <f>AND(#REF!,"AAAAAH/v+2Y=")</f>
        <v>#REF!</v>
      </c>
      <c r="CZ32" t="str">
        <f>AND(#REF!,"AAAAAH/v+2c=")</f>
        <v>#REF!</v>
      </c>
      <c r="DA32" t="str">
        <f>AND(#REF!,"AAAAAH/v+2g=")</f>
        <v>#REF!</v>
      </c>
      <c r="DB32" t="str">
        <f>AND(#REF!,"AAAAAH/v+2k=")</f>
        <v>#REF!</v>
      </c>
      <c r="DC32" t="str">
        <f>AND(#REF!,"AAAAAH/v+2o=")</f>
        <v>#REF!</v>
      </c>
      <c r="DD32" t="str">
        <f>AND(#REF!,"AAAAAH/v+2s=")</f>
        <v>#REF!</v>
      </c>
      <c r="DE32" t="str">
        <f>AND(#REF!,"AAAAAH/v+2w=")</f>
        <v>#REF!</v>
      </c>
      <c r="DF32" t="str">
        <f>AND(#REF!,"AAAAAH/v+20=")</f>
        <v>#REF!</v>
      </c>
      <c r="DG32" t="str">
        <f>AND(#REF!,"AAAAAH/v+24=")</f>
        <v>#REF!</v>
      </c>
      <c r="DH32" t="str">
        <f>AND(#REF!,"AAAAAH/v+28=")</f>
        <v>#REF!</v>
      </c>
      <c r="DI32" t="str">
        <f>AND(#REF!,"AAAAAH/v+3A=")</f>
        <v>#REF!</v>
      </c>
      <c r="DJ32" t="str">
        <f>AND(#REF!,"AAAAAH/v+3E=")</f>
        <v>#REF!</v>
      </c>
      <c r="DK32" t="str">
        <f>AND(#REF!,"AAAAAH/v+3I=")</f>
        <v>#REF!</v>
      </c>
      <c r="DL32" t="str">
        <f>AND(#REF!,"AAAAAH/v+3M=")</f>
        <v>#REF!</v>
      </c>
      <c r="DM32" t="str">
        <f>AND(#REF!,"AAAAAH/v+3Q=")</f>
        <v>#REF!</v>
      </c>
      <c r="DN32" t="str">
        <f>AND(#REF!,"AAAAAH/v+3U=")</f>
        <v>#REF!</v>
      </c>
      <c r="DO32" t="str">
        <f>AND(#REF!,"AAAAAH/v+3Y=")</f>
        <v>#REF!</v>
      </c>
      <c r="DP32" t="str">
        <f>AND(#REF!,"AAAAAH/v+3c=")</f>
        <v>#REF!</v>
      </c>
      <c r="DQ32" t="str">
        <f>AND(#REF!,"AAAAAH/v+3g=")</f>
        <v>#REF!</v>
      </c>
      <c r="DR32" t="str">
        <f>AND(#REF!,"AAAAAH/v+3k=")</f>
        <v>#REF!</v>
      </c>
      <c r="DS32" t="str">
        <f>AND(#REF!,"AAAAAH/v+3o=")</f>
        <v>#REF!</v>
      </c>
      <c r="DT32" t="str">
        <f>AND(#REF!,"AAAAAH/v+3s=")</f>
        <v>#REF!</v>
      </c>
      <c r="DU32" t="str">
        <f>AND(#REF!,"AAAAAH/v+3w=")</f>
        <v>#REF!</v>
      </c>
      <c r="DV32" t="str">
        <f>AND(#REF!,"AAAAAH/v+30=")</f>
        <v>#REF!</v>
      </c>
      <c r="DW32" t="str">
        <f>AND(#REF!,"AAAAAH/v+34=")</f>
        <v>#REF!</v>
      </c>
      <c r="DX32" t="str">
        <f>AND(#REF!,"AAAAAH/v+38=")</f>
        <v>#REF!</v>
      </c>
      <c r="DY32" t="str">
        <f>AND(#REF!,"AAAAAH/v+4A=")</f>
        <v>#REF!</v>
      </c>
      <c r="DZ32" t="str">
        <f>AND(#REF!,"AAAAAH/v+4E=")</f>
        <v>#REF!</v>
      </c>
      <c r="EA32" t="str">
        <f>AND(#REF!,"AAAAAH/v+4I=")</f>
        <v>#REF!</v>
      </c>
      <c r="EB32" t="str">
        <f>AND(#REF!,"AAAAAH/v+4M=")</f>
        <v>#REF!</v>
      </c>
      <c r="EC32" t="str">
        <f>AND(#REF!,"AAAAAH/v+4Q=")</f>
        <v>#REF!</v>
      </c>
      <c r="ED32" t="str">
        <f>AND(#REF!,"AAAAAH/v+4U=")</f>
        <v>#REF!</v>
      </c>
      <c r="EE32" t="str">
        <f>AND(#REF!,"AAAAAH/v+4Y=")</f>
        <v>#REF!</v>
      </c>
      <c r="EF32" t="str">
        <f>AND(#REF!,"AAAAAH/v+4c=")</f>
        <v>#REF!</v>
      </c>
      <c r="EG32" t="str">
        <f>AND(#REF!,"AAAAAH/v+4g=")</f>
        <v>#REF!</v>
      </c>
      <c r="EH32" t="str">
        <f>AND(#REF!,"AAAAAH/v+4k=")</f>
        <v>#REF!</v>
      </c>
      <c r="EI32" t="str">
        <f>AND(#REF!,"AAAAAH/v+4o=")</f>
        <v>#REF!</v>
      </c>
      <c r="EJ32" t="str">
        <f>AND(#REF!,"AAAAAH/v+4s=")</f>
        <v>#REF!</v>
      </c>
      <c r="EK32" t="str">
        <f>AND(#REF!,"AAAAAH/v+4w=")</f>
        <v>#REF!</v>
      </c>
      <c r="EL32" t="str">
        <f>AND(#REF!,"AAAAAH/v+40=")</f>
        <v>#REF!</v>
      </c>
      <c r="EM32" t="str">
        <f>AND(#REF!,"AAAAAH/v+44=")</f>
        <v>#REF!</v>
      </c>
      <c r="EN32" t="str">
        <f>AND(#REF!,"AAAAAH/v+48=")</f>
        <v>#REF!</v>
      </c>
      <c r="EO32" t="str">
        <f>AND(#REF!,"AAAAAH/v+5A=")</f>
        <v>#REF!</v>
      </c>
      <c r="EP32" t="str">
        <f>AND(#REF!,"AAAAAH/v+5E=")</f>
        <v>#REF!</v>
      </c>
      <c r="EQ32" t="str">
        <f>AND(#REF!,"AAAAAH/v+5I=")</f>
        <v>#REF!</v>
      </c>
      <c r="ER32" t="str">
        <f>AND(#REF!,"AAAAAH/v+5M=")</f>
        <v>#REF!</v>
      </c>
      <c r="ES32" t="str">
        <f>AND(#REF!,"AAAAAH/v+5Q=")</f>
        <v>#REF!</v>
      </c>
      <c r="ET32" t="str">
        <f>AND(#REF!,"AAAAAH/v+5U=")</f>
        <v>#REF!</v>
      </c>
      <c r="EU32" t="str">
        <f>AND(#REF!,"AAAAAH/v+5Y=")</f>
        <v>#REF!</v>
      </c>
      <c r="EV32" t="str">
        <f>AND(#REF!,"AAAAAH/v+5c=")</f>
        <v>#REF!</v>
      </c>
      <c r="EW32" t="str">
        <f>AND(#REF!,"AAAAAH/v+5g=")</f>
        <v>#REF!</v>
      </c>
      <c r="EX32" t="str">
        <f>AND(#REF!,"AAAAAH/v+5k=")</f>
        <v>#REF!</v>
      </c>
      <c r="EY32" t="str">
        <f>AND(#REF!,"AAAAAH/v+5o=")</f>
        <v>#REF!</v>
      </c>
      <c r="EZ32" t="str">
        <f>AND(#REF!,"AAAAAH/v+5s=")</f>
        <v>#REF!</v>
      </c>
      <c r="FA32" t="str">
        <f>AND(#REF!,"AAAAAH/v+5w=")</f>
        <v>#REF!</v>
      </c>
      <c r="FB32" t="str">
        <f>AND(#REF!,"AAAAAH/v+50=")</f>
        <v>#REF!</v>
      </c>
      <c r="FC32" t="str">
        <f>AND(#REF!,"AAAAAH/v+54=")</f>
        <v>#REF!</v>
      </c>
      <c r="FD32" t="str">
        <f>AND(#REF!,"AAAAAH/v+58=")</f>
        <v>#REF!</v>
      </c>
      <c r="FE32" t="str">
        <f>AND(#REF!,"AAAAAH/v+6A=")</f>
        <v>#REF!</v>
      </c>
      <c r="FF32" t="str">
        <f>AND(#REF!,"AAAAAH/v+6E=")</f>
        <v>#REF!</v>
      </c>
      <c r="FG32" t="str">
        <f>AND(#REF!,"AAAAAH/v+6I=")</f>
        <v>#REF!</v>
      </c>
      <c r="FH32" t="str">
        <f>AND(#REF!,"AAAAAH/v+6M=")</f>
        <v>#REF!</v>
      </c>
      <c r="FI32" t="str">
        <f>AND(#REF!,"AAAAAH/v+6Q=")</f>
        <v>#REF!</v>
      </c>
      <c r="FJ32" t="str">
        <f>AND(#REF!,"AAAAAH/v+6U=")</f>
        <v>#REF!</v>
      </c>
      <c r="FK32" t="str">
        <f>AND(#REF!,"AAAAAH/v+6Y=")</f>
        <v>#REF!</v>
      </c>
      <c r="FL32" t="str">
        <f>AND(#REF!,"AAAAAH/v+6c=")</f>
        <v>#REF!</v>
      </c>
      <c r="FM32" t="str">
        <f>AND(#REF!,"AAAAAH/v+6g=")</f>
        <v>#REF!</v>
      </c>
      <c r="FN32" t="str">
        <f>AND(#REF!,"AAAAAH/v+6k=")</f>
        <v>#REF!</v>
      </c>
      <c r="FO32" t="str">
        <f>IF(#REF!,"AAAAAH/v+6o=",0)</f>
        <v>#REF!</v>
      </c>
      <c r="FP32" t="str">
        <f>AND(#REF!,"AAAAAH/v+6s=")</f>
        <v>#REF!</v>
      </c>
      <c r="FQ32" t="str">
        <f>AND(#REF!,"AAAAAH/v+6w=")</f>
        <v>#REF!</v>
      </c>
      <c r="FR32" t="str">
        <f>AND(#REF!,"AAAAAH/v+60=")</f>
        <v>#REF!</v>
      </c>
      <c r="FS32" t="str">
        <f>AND(#REF!,"AAAAAH/v+64=")</f>
        <v>#REF!</v>
      </c>
      <c r="FT32" t="str">
        <f>AND(#REF!,"AAAAAH/v+68=")</f>
        <v>#REF!</v>
      </c>
      <c r="FU32" t="str">
        <f>AND(#REF!,"AAAAAH/v+7A=")</f>
        <v>#REF!</v>
      </c>
      <c r="FV32" t="str">
        <f>AND(#REF!,"AAAAAH/v+7E=")</f>
        <v>#REF!</v>
      </c>
      <c r="FW32" t="str">
        <f>AND(#REF!,"AAAAAH/v+7I=")</f>
        <v>#REF!</v>
      </c>
      <c r="FX32" t="str">
        <f>AND(#REF!,"AAAAAH/v+7M=")</f>
        <v>#REF!</v>
      </c>
      <c r="FY32" t="str">
        <f>AND(#REF!,"AAAAAH/v+7Q=")</f>
        <v>#REF!</v>
      </c>
      <c r="FZ32" t="str">
        <f>AND(#REF!,"AAAAAH/v+7U=")</f>
        <v>#REF!</v>
      </c>
      <c r="GA32" t="str">
        <f>AND(#REF!,"AAAAAH/v+7Y=")</f>
        <v>#REF!</v>
      </c>
      <c r="GB32" t="str">
        <f>AND(#REF!,"AAAAAH/v+7c=")</f>
        <v>#REF!</v>
      </c>
      <c r="GC32" t="str">
        <f>AND(#REF!,"AAAAAH/v+7g=")</f>
        <v>#REF!</v>
      </c>
      <c r="GD32" t="str">
        <f>AND(#REF!,"AAAAAH/v+7k=")</f>
        <v>#REF!</v>
      </c>
      <c r="GE32" t="str">
        <f>AND(#REF!,"AAAAAH/v+7o=")</f>
        <v>#REF!</v>
      </c>
      <c r="GF32" t="str">
        <f>AND(#REF!,"AAAAAH/v+7s=")</f>
        <v>#REF!</v>
      </c>
      <c r="GG32" t="str">
        <f>AND(#REF!,"AAAAAH/v+7w=")</f>
        <v>#REF!</v>
      </c>
      <c r="GH32" t="str">
        <f>AND(#REF!,"AAAAAH/v+70=")</f>
        <v>#REF!</v>
      </c>
      <c r="GI32" t="str">
        <f>AND(#REF!,"AAAAAH/v+74=")</f>
        <v>#REF!</v>
      </c>
      <c r="GJ32" t="str">
        <f>AND(#REF!,"AAAAAH/v+78=")</f>
        <v>#REF!</v>
      </c>
      <c r="GK32" t="str">
        <f>AND(#REF!,"AAAAAH/v+8A=")</f>
        <v>#REF!</v>
      </c>
      <c r="GL32" t="str">
        <f>AND(#REF!,"AAAAAH/v+8E=")</f>
        <v>#REF!</v>
      </c>
      <c r="GM32" t="str">
        <f>AND(#REF!,"AAAAAH/v+8I=")</f>
        <v>#REF!</v>
      </c>
      <c r="GN32" t="str">
        <f>AND(#REF!,"AAAAAH/v+8M=")</f>
        <v>#REF!</v>
      </c>
      <c r="GO32" t="str">
        <f>AND(#REF!,"AAAAAH/v+8Q=")</f>
        <v>#REF!</v>
      </c>
      <c r="GP32" t="str">
        <f>AND(#REF!,"AAAAAH/v+8U=")</f>
        <v>#REF!</v>
      </c>
      <c r="GQ32" t="str">
        <f>AND(#REF!,"AAAAAH/v+8Y=")</f>
        <v>#REF!</v>
      </c>
      <c r="GR32" t="str">
        <f>AND(#REF!,"AAAAAH/v+8c=")</f>
        <v>#REF!</v>
      </c>
      <c r="GS32" t="str">
        <f>AND(#REF!,"AAAAAH/v+8g=")</f>
        <v>#REF!</v>
      </c>
      <c r="GT32" t="str">
        <f>AND(#REF!,"AAAAAH/v+8k=")</f>
        <v>#REF!</v>
      </c>
      <c r="GU32" t="str">
        <f>AND(#REF!,"AAAAAH/v+8o=")</f>
        <v>#REF!</v>
      </c>
      <c r="GV32" t="str">
        <f>AND(#REF!,"AAAAAH/v+8s=")</f>
        <v>#REF!</v>
      </c>
      <c r="GW32" t="str">
        <f>AND(#REF!,"AAAAAH/v+8w=")</f>
        <v>#REF!</v>
      </c>
      <c r="GX32" t="str">
        <f>AND(#REF!,"AAAAAH/v+80=")</f>
        <v>#REF!</v>
      </c>
      <c r="GY32" t="str">
        <f>AND(#REF!,"AAAAAH/v+84=")</f>
        <v>#REF!</v>
      </c>
      <c r="GZ32" t="str">
        <f>AND(#REF!,"AAAAAH/v+88=")</f>
        <v>#REF!</v>
      </c>
      <c r="HA32" t="str">
        <f>AND(#REF!,"AAAAAH/v+9A=")</f>
        <v>#REF!</v>
      </c>
      <c r="HB32" t="str">
        <f>AND(#REF!,"AAAAAH/v+9E=")</f>
        <v>#REF!</v>
      </c>
      <c r="HC32" t="str">
        <f>AND(#REF!,"AAAAAH/v+9I=")</f>
        <v>#REF!</v>
      </c>
      <c r="HD32" t="str">
        <f>AND(#REF!,"AAAAAH/v+9M=")</f>
        <v>#REF!</v>
      </c>
      <c r="HE32" t="str">
        <f>AND(#REF!,"AAAAAH/v+9Q=")</f>
        <v>#REF!</v>
      </c>
      <c r="HF32" t="str">
        <f>AND(#REF!,"AAAAAH/v+9U=")</f>
        <v>#REF!</v>
      </c>
      <c r="HG32" t="str">
        <f>AND(#REF!,"AAAAAH/v+9Y=")</f>
        <v>#REF!</v>
      </c>
      <c r="HH32" t="str">
        <f>AND(#REF!,"AAAAAH/v+9c=")</f>
        <v>#REF!</v>
      </c>
      <c r="HI32" t="str">
        <f>AND(#REF!,"AAAAAH/v+9g=")</f>
        <v>#REF!</v>
      </c>
      <c r="HJ32" t="str">
        <f>AND(#REF!,"AAAAAH/v+9k=")</f>
        <v>#REF!</v>
      </c>
      <c r="HK32" t="str">
        <f>AND(#REF!,"AAAAAH/v+9o=")</f>
        <v>#REF!</v>
      </c>
      <c r="HL32" t="str">
        <f>AND(#REF!,"AAAAAH/v+9s=")</f>
        <v>#REF!</v>
      </c>
      <c r="HM32" t="str">
        <f>AND(#REF!,"AAAAAH/v+9w=")</f>
        <v>#REF!</v>
      </c>
      <c r="HN32" t="str">
        <f>AND(#REF!,"AAAAAH/v+90=")</f>
        <v>#REF!</v>
      </c>
      <c r="HO32" t="str">
        <f>AND(#REF!,"AAAAAH/v+94=")</f>
        <v>#REF!</v>
      </c>
      <c r="HP32" t="str">
        <f>AND(#REF!,"AAAAAH/v+98=")</f>
        <v>#REF!</v>
      </c>
      <c r="HQ32" t="str">
        <f>AND(#REF!,"AAAAAH/v++A=")</f>
        <v>#REF!</v>
      </c>
      <c r="HR32" t="str">
        <f>AND(#REF!,"AAAAAH/v++E=")</f>
        <v>#REF!</v>
      </c>
      <c r="HS32" t="str">
        <f>AND(#REF!,"AAAAAH/v++I=")</f>
        <v>#REF!</v>
      </c>
      <c r="HT32" t="str">
        <f>AND(#REF!,"AAAAAH/v++M=")</f>
        <v>#REF!</v>
      </c>
      <c r="HU32" t="str">
        <f>AND(#REF!,"AAAAAH/v++Q=")</f>
        <v>#REF!</v>
      </c>
      <c r="HV32" t="str">
        <f>AND(#REF!,"AAAAAH/v++U=")</f>
        <v>#REF!</v>
      </c>
      <c r="HW32" t="str">
        <f>AND(#REF!,"AAAAAH/v++Y=")</f>
        <v>#REF!</v>
      </c>
      <c r="HX32" t="str">
        <f>AND(#REF!,"AAAAAH/v++c=")</f>
        <v>#REF!</v>
      </c>
      <c r="HY32" t="str">
        <f>AND(#REF!,"AAAAAH/v++g=")</f>
        <v>#REF!</v>
      </c>
      <c r="HZ32" t="str">
        <f>AND(#REF!,"AAAAAH/v++k=")</f>
        <v>#REF!</v>
      </c>
      <c r="IA32" t="str">
        <f>AND(#REF!,"AAAAAH/v++o=")</f>
        <v>#REF!</v>
      </c>
      <c r="IB32" t="str">
        <f>AND(#REF!,"AAAAAH/v++s=")</f>
        <v>#REF!</v>
      </c>
      <c r="IC32" t="str">
        <f>AND(#REF!,"AAAAAH/v++w=")</f>
        <v>#REF!</v>
      </c>
      <c r="ID32" t="str">
        <f>AND(#REF!,"AAAAAH/v++0=")</f>
        <v>#REF!</v>
      </c>
      <c r="IE32" t="str">
        <f>AND(#REF!,"AAAAAH/v++4=")</f>
        <v>#REF!</v>
      </c>
      <c r="IF32" t="str">
        <f>AND(#REF!,"AAAAAH/v++8=")</f>
        <v>#REF!</v>
      </c>
      <c r="IG32" t="str">
        <f>AND(#REF!,"AAAAAH/v+/A=")</f>
        <v>#REF!</v>
      </c>
      <c r="IH32" t="str">
        <f>AND(#REF!,"AAAAAH/v+/E=")</f>
        <v>#REF!</v>
      </c>
      <c r="II32" t="str">
        <f>AND(#REF!,"AAAAAH/v+/I=")</f>
        <v>#REF!</v>
      </c>
      <c r="IJ32" t="str">
        <f>AND(#REF!,"AAAAAH/v+/M=")</f>
        <v>#REF!</v>
      </c>
      <c r="IK32" t="str">
        <f>AND(#REF!,"AAAAAH/v+/Q=")</f>
        <v>#REF!</v>
      </c>
      <c r="IL32" t="str">
        <f>AND(#REF!,"AAAAAH/v+/U=")</f>
        <v>#REF!</v>
      </c>
      <c r="IM32" t="str">
        <f>IF(#REF!,"AAAAAH/v+/Y=",0)</f>
        <v>#REF!</v>
      </c>
      <c r="IN32" t="str">
        <f>AND(#REF!,"AAAAAH/v+/c=")</f>
        <v>#REF!</v>
      </c>
      <c r="IO32" t="str">
        <f>AND(#REF!,"AAAAAH/v+/g=")</f>
        <v>#REF!</v>
      </c>
      <c r="IP32" t="str">
        <f>AND(#REF!,"AAAAAH/v+/k=")</f>
        <v>#REF!</v>
      </c>
      <c r="IQ32" t="str">
        <f>AND(#REF!,"AAAAAH/v+/o=")</f>
        <v>#REF!</v>
      </c>
      <c r="IR32" t="str">
        <f>AND(#REF!,"AAAAAH/v+/s=")</f>
        <v>#REF!</v>
      </c>
      <c r="IS32" t="str">
        <f>AND(#REF!,"AAAAAH/v+/w=")</f>
        <v>#REF!</v>
      </c>
      <c r="IT32" t="str">
        <f>AND(#REF!,"AAAAAH/v+/0=")</f>
        <v>#REF!</v>
      </c>
      <c r="IU32" t="str">
        <f>AND(#REF!,"AAAAAH/v+/4=")</f>
        <v>#REF!</v>
      </c>
      <c r="IV32" t="str">
        <f>AND(#REF!,"AAAAAH/v+/8=")</f>
        <v>#REF!</v>
      </c>
    </row>
    <row r="33" ht="15.75" customHeight="1">
      <c r="A33" t="str">
        <f>AND(#REF!,"AAAAAFpV/gA=")</f>
        <v>#REF!</v>
      </c>
      <c r="B33" t="str">
        <f>AND(#REF!,"AAAAAFpV/gE=")</f>
        <v>#REF!</v>
      </c>
      <c r="C33" t="str">
        <f>AND(#REF!,"AAAAAFpV/gI=")</f>
        <v>#REF!</v>
      </c>
      <c r="D33" t="str">
        <f>AND(#REF!,"AAAAAFpV/gM=")</f>
        <v>#REF!</v>
      </c>
      <c r="E33" t="str">
        <f>AND(#REF!,"AAAAAFpV/gQ=")</f>
        <v>#REF!</v>
      </c>
      <c r="F33" t="str">
        <f>AND(#REF!,"AAAAAFpV/gU=")</f>
        <v>#REF!</v>
      </c>
      <c r="G33" t="str">
        <f>AND(#REF!,"AAAAAFpV/gY=")</f>
        <v>#REF!</v>
      </c>
      <c r="H33" t="str">
        <f>AND(#REF!,"AAAAAFpV/gc=")</f>
        <v>#REF!</v>
      </c>
      <c r="I33" t="str">
        <f>AND(#REF!,"AAAAAFpV/gg=")</f>
        <v>#REF!</v>
      </c>
      <c r="J33" t="str">
        <f>AND(#REF!,"AAAAAFpV/gk=")</f>
        <v>#REF!</v>
      </c>
      <c r="K33" t="str">
        <f>AND(#REF!,"AAAAAFpV/go=")</f>
        <v>#REF!</v>
      </c>
      <c r="L33" t="str">
        <f>AND(#REF!,"AAAAAFpV/gs=")</f>
        <v>#REF!</v>
      </c>
      <c r="M33" t="str">
        <f>AND(#REF!,"AAAAAFpV/gw=")</f>
        <v>#REF!</v>
      </c>
      <c r="N33" t="str">
        <f>AND(#REF!,"AAAAAFpV/g0=")</f>
        <v>#REF!</v>
      </c>
      <c r="O33" t="str">
        <f>AND(#REF!,"AAAAAFpV/g4=")</f>
        <v>#REF!</v>
      </c>
      <c r="P33" t="str">
        <f>AND(#REF!,"AAAAAFpV/g8=")</f>
        <v>#REF!</v>
      </c>
      <c r="Q33" t="str">
        <f>AND(#REF!,"AAAAAFpV/hA=")</f>
        <v>#REF!</v>
      </c>
      <c r="R33" t="str">
        <f>AND(#REF!,"AAAAAFpV/hE=")</f>
        <v>#REF!</v>
      </c>
      <c r="S33" t="str">
        <f>AND(#REF!,"AAAAAFpV/hI=")</f>
        <v>#REF!</v>
      </c>
      <c r="T33" t="str">
        <f>AND(#REF!,"AAAAAFpV/hM=")</f>
        <v>#REF!</v>
      </c>
      <c r="U33" t="str">
        <f>AND(#REF!,"AAAAAFpV/hQ=")</f>
        <v>#REF!</v>
      </c>
      <c r="V33" t="str">
        <f>AND(#REF!,"AAAAAFpV/hU=")</f>
        <v>#REF!</v>
      </c>
      <c r="W33" t="str">
        <f>AND(#REF!,"AAAAAFpV/hY=")</f>
        <v>#REF!</v>
      </c>
      <c r="X33" t="str">
        <f>AND(#REF!,"AAAAAFpV/hc=")</f>
        <v>#REF!</v>
      </c>
      <c r="Y33" t="str">
        <f>AND(#REF!,"AAAAAFpV/hg=")</f>
        <v>#REF!</v>
      </c>
      <c r="Z33" t="str">
        <f>AND(#REF!,"AAAAAFpV/hk=")</f>
        <v>#REF!</v>
      </c>
      <c r="AA33" t="str">
        <f>AND(#REF!,"AAAAAFpV/ho=")</f>
        <v>#REF!</v>
      </c>
      <c r="AB33" t="str">
        <f>AND(#REF!,"AAAAAFpV/hs=")</f>
        <v>#REF!</v>
      </c>
      <c r="AC33" t="str">
        <f>AND(#REF!,"AAAAAFpV/hw=")</f>
        <v>#REF!</v>
      </c>
      <c r="AD33" t="str">
        <f>AND(#REF!,"AAAAAFpV/h0=")</f>
        <v>#REF!</v>
      </c>
      <c r="AE33" t="str">
        <f>AND(#REF!,"AAAAAFpV/h4=")</f>
        <v>#REF!</v>
      </c>
      <c r="AF33" t="str">
        <f>AND(#REF!,"AAAAAFpV/h8=")</f>
        <v>#REF!</v>
      </c>
      <c r="AG33" t="str">
        <f>AND(#REF!,"AAAAAFpV/iA=")</f>
        <v>#REF!</v>
      </c>
      <c r="AH33" t="str">
        <f>AND(#REF!,"AAAAAFpV/iE=")</f>
        <v>#REF!</v>
      </c>
      <c r="AI33" t="str">
        <f>AND(#REF!,"AAAAAFpV/iI=")</f>
        <v>#REF!</v>
      </c>
      <c r="AJ33" t="str">
        <f>AND(#REF!,"AAAAAFpV/iM=")</f>
        <v>#REF!</v>
      </c>
      <c r="AK33" t="str">
        <f>AND(#REF!,"AAAAAFpV/iQ=")</f>
        <v>#REF!</v>
      </c>
      <c r="AL33" t="str">
        <f>AND(#REF!,"AAAAAFpV/iU=")</f>
        <v>#REF!</v>
      </c>
      <c r="AM33" t="str">
        <f>AND(#REF!,"AAAAAFpV/iY=")</f>
        <v>#REF!</v>
      </c>
      <c r="AN33" t="str">
        <f>AND(#REF!,"AAAAAFpV/ic=")</f>
        <v>#REF!</v>
      </c>
      <c r="AO33" t="str">
        <f>AND(#REF!,"AAAAAFpV/ig=")</f>
        <v>#REF!</v>
      </c>
      <c r="AP33" t="str">
        <f>AND(#REF!,"AAAAAFpV/ik=")</f>
        <v>#REF!</v>
      </c>
      <c r="AQ33" t="str">
        <f>AND(#REF!,"AAAAAFpV/io=")</f>
        <v>#REF!</v>
      </c>
      <c r="AR33" t="str">
        <f>AND(#REF!,"AAAAAFpV/is=")</f>
        <v>#REF!</v>
      </c>
      <c r="AS33" t="str">
        <f>AND(#REF!,"AAAAAFpV/iw=")</f>
        <v>#REF!</v>
      </c>
      <c r="AT33" t="str">
        <f>AND(#REF!,"AAAAAFpV/i0=")</f>
        <v>#REF!</v>
      </c>
      <c r="AU33" t="str">
        <f>AND(#REF!,"AAAAAFpV/i4=")</f>
        <v>#REF!</v>
      </c>
      <c r="AV33" t="str">
        <f>AND(#REF!,"AAAAAFpV/i8=")</f>
        <v>#REF!</v>
      </c>
      <c r="AW33" t="str">
        <f>AND(#REF!,"AAAAAFpV/jA=")</f>
        <v>#REF!</v>
      </c>
      <c r="AX33" t="str">
        <f>AND(#REF!,"AAAAAFpV/jE=")</f>
        <v>#REF!</v>
      </c>
      <c r="AY33" t="str">
        <f>AND(#REF!,"AAAAAFpV/jI=")</f>
        <v>#REF!</v>
      </c>
      <c r="AZ33" t="str">
        <f>AND(#REF!,"AAAAAFpV/jM=")</f>
        <v>#REF!</v>
      </c>
      <c r="BA33" t="str">
        <f>AND(#REF!,"AAAAAFpV/jQ=")</f>
        <v>#REF!</v>
      </c>
      <c r="BB33" t="str">
        <f>AND(#REF!,"AAAAAFpV/jU=")</f>
        <v>#REF!</v>
      </c>
      <c r="BC33" t="str">
        <f>AND(#REF!,"AAAAAFpV/jY=")</f>
        <v>#REF!</v>
      </c>
      <c r="BD33" t="str">
        <f>AND(#REF!,"AAAAAFpV/jc=")</f>
        <v>#REF!</v>
      </c>
      <c r="BE33" t="str">
        <f>AND(#REF!,"AAAAAFpV/jg=")</f>
        <v>#REF!</v>
      </c>
      <c r="BF33" t="str">
        <f>AND(#REF!,"AAAAAFpV/jk=")</f>
        <v>#REF!</v>
      </c>
      <c r="BG33" t="str">
        <f>AND(#REF!,"AAAAAFpV/jo=")</f>
        <v>#REF!</v>
      </c>
      <c r="BH33" t="str">
        <f>AND(#REF!,"AAAAAFpV/js=")</f>
        <v>#REF!</v>
      </c>
      <c r="BI33" t="str">
        <f>AND(#REF!,"AAAAAFpV/jw=")</f>
        <v>#REF!</v>
      </c>
      <c r="BJ33" t="str">
        <f>AND(#REF!,"AAAAAFpV/j0=")</f>
        <v>#REF!</v>
      </c>
      <c r="BK33" t="str">
        <f>AND(#REF!,"AAAAAFpV/j4=")</f>
        <v>#REF!</v>
      </c>
      <c r="BL33" t="str">
        <f>AND(#REF!,"AAAAAFpV/j8=")</f>
        <v>#REF!</v>
      </c>
      <c r="BM33" t="str">
        <f>AND(#REF!,"AAAAAFpV/kA=")</f>
        <v>#REF!</v>
      </c>
      <c r="BN33" t="str">
        <f>AND(#REF!,"AAAAAFpV/kE=")</f>
        <v>#REF!</v>
      </c>
      <c r="BO33" t="str">
        <f>IF(#REF!,"AAAAAFpV/kI=",0)</f>
        <v>#REF!</v>
      </c>
      <c r="BP33" t="str">
        <f>AND(#REF!,"AAAAAFpV/kM=")</f>
        <v>#REF!</v>
      </c>
      <c r="BQ33" t="str">
        <f>AND(#REF!,"AAAAAFpV/kQ=")</f>
        <v>#REF!</v>
      </c>
      <c r="BR33" t="str">
        <f>AND(#REF!,"AAAAAFpV/kU=")</f>
        <v>#REF!</v>
      </c>
      <c r="BS33" t="str">
        <f>AND(#REF!,"AAAAAFpV/kY=")</f>
        <v>#REF!</v>
      </c>
      <c r="BT33" t="str">
        <f>AND(#REF!,"AAAAAFpV/kc=")</f>
        <v>#REF!</v>
      </c>
      <c r="BU33" t="str">
        <f>AND(#REF!,"AAAAAFpV/kg=")</f>
        <v>#REF!</v>
      </c>
      <c r="BV33" t="str">
        <f>AND(#REF!,"AAAAAFpV/kk=")</f>
        <v>#REF!</v>
      </c>
      <c r="BW33" t="str">
        <f>AND(#REF!,"AAAAAFpV/ko=")</f>
        <v>#REF!</v>
      </c>
      <c r="BX33" t="str">
        <f>AND(#REF!,"AAAAAFpV/ks=")</f>
        <v>#REF!</v>
      </c>
      <c r="BY33" t="str">
        <f>AND(#REF!,"AAAAAFpV/kw=")</f>
        <v>#REF!</v>
      </c>
      <c r="BZ33" t="str">
        <f>AND(#REF!,"AAAAAFpV/k0=")</f>
        <v>#REF!</v>
      </c>
      <c r="CA33" t="str">
        <f>AND(#REF!,"AAAAAFpV/k4=")</f>
        <v>#REF!</v>
      </c>
      <c r="CB33" t="str">
        <f>AND(#REF!,"AAAAAFpV/k8=")</f>
        <v>#REF!</v>
      </c>
      <c r="CC33" t="str">
        <f>AND(#REF!,"AAAAAFpV/lA=")</f>
        <v>#REF!</v>
      </c>
      <c r="CD33" t="str">
        <f>AND(#REF!,"AAAAAFpV/lE=")</f>
        <v>#REF!</v>
      </c>
      <c r="CE33" t="str">
        <f>AND(#REF!,"AAAAAFpV/lI=")</f>
        <v>#REF!</v>
      </c>
      <c r="CF33" t="str">
        <f>AND(#REF!,"AAAAAFpV/lM=")</f>
        <v>#REF!</v>
      </c>
      <c r="CG33" t="str">
        <f>AND(#REF!,"AAAAAFpV/lQ=")</f>
        <v>#REF!</v>
      </c>
      <c r="CH33" t="str">
        <f>AND(#REF!,"AAAAAFpV/lU=")</f>
        <v>#REF!</v>
      </c>
      <c r="CI33" t="str">
        <f>AND(#REF!,"AAAAAFpV/lY=")</f>
        <v>#REF!</v>
      </c>
      <c r="CJ33" t="str">
        <f>AND(#REF!,"AAAAAFpV/lc=")</f>
        <v>#REF!</v>
      </c>
      <c r="CK33" t="str">
        <f>AND(#REF!,"AAAAAFpV/lg=")</f>
        <v>#REF!</v>
      </c>
      <c r="CL33" t="str">
        <f>AND(#REF!,"AAAAAFpV/lk=")</f>
        <v>#REF!</v>
      </c>
      <c r="CM33" t="str">
        <f>AND(#REF!,"AAAAAFpV/lo=")</f>
        <v>#REF!</v>
      </c>
      <c r="CN33" t="str">
        <f>AND(#REF!,"AAAAAFpV/ls=")</f>
        <v>#REF!</v>
      </c>
      <c r="CO33" t="str">
        <f>AND(#REF!,"AAAAAFpV/lw=")</f>
        <v>#REF!</v>
      </c>
      <c r="CP33" t="str">
        <f>AND(#REF!,"AAAAAFpV/l0=")</f>
        <v>#REF!</v>
      </c>
      <c r="CQ33" t="str">
        <f>AND(#REF!,"AAAAAFpV/l4=")</f>
        <v>#REF!</v>
      </c>
      <c r="CR33" t="str">
        <f>AND(#REF!,"AAAAAFpV/l8=")</f>
        <v>#REF!</v>
      </c>
      <c r="CS33" t="str">
        <f>AND(#REF!,"AAAAAFpV/mA=")</f>
        <v>#REF!</v>
      </c>
      <c r="CT33" t="str">
        <f>AND(#REF!,"AAAAAFpV/mE=")</f>
        <v>#REF!</v>
      </c>
      <c r="CU33" t="str">
        <f>AND(#REF!,"AAAAAFpV/mI=")</f>
        <v>#REF!</v>
      </c>
      <c r="CV33" t="str">
        <f>AND(#REF!,"AAAAAFpV/mM=")</f>
        <v>#REF!</v>
      </c>
      <c r="CW33" t="str">
        <f>AND(#REF!,"AAAAAFpV/mQ=")</f>
        <v>#REF!</v>
      </c>
      <c r="CX33" t="str">
        <f>AND(#REF!,"AAAAAFpV/mU=")</f>
        <v>#REF!</v>
      </c>
      <c r="CY33" t="str">
        <f>AND(#REF!,"AAAAAFpV/mY=")</f>
        <v>#REF!</v>
      </c>
      <c r="CZ33" t="str">
        <f>AND(#REF!,"AAAAAFpV/mc=")</f>
        <v>#REF!</v>
      </c>
      <c r="DA33" t="str">
        <f>AND(#REF!,"AAAAAFpV/mg=")</f>
        <v>#REF!</v>
      </c>
      <c r="DB33" t="str">
        <f>AND(#REF!,"AAAAAFpV/mk=")</f>
        <v>#REF!</v>
      </c>
      <c r="DC33" t="str">
        <f>AND(#REF!,"AAAAAFpV/mo=")</f>
        <v>#REF!</v>
      </c>
      <c r="DD33" t="str">
        <f>AND(#REF!,"AAAAAFpV/ms=")</f>
        <v>#REF!</v>
      </c>
      <c r="DE33" t="str">
        <f>AND(#REF!,"AAAAAFpV/mw=")</f>
        <v>#REF!</v>
      </c>
      <c r="DF33" t="str">
        <f>AND(#REF!,"AAAAAFpV/m0=")</f>
        <v>#REF!</v>
      </c>
      <c r="DG33" t="str">
        <f>AND(#REF!,"AAAAAFpV/m4=")</f>
        <v>#REF!</v>
      </c>
      <c r="DH33" t="str">
        <f>AND(#REF!,"AAAAAFpV/m8=")</f>
        <v>#REF!</v>
      </c>
      <c r="DI33" t="str">
        <f>AND(#REF!,"AAAAAFpV/nA=")</f>
        <v>#REF!</v>
      </c>
      <c r="DJ33" t="str">
        <f>AND(#REF!,"AAAAAFpV/nE=")</f>
        <v>#REF!</v>
      </c>
      <c r="DK33" t="str">
        <f>AND(#REF!,"AAAAAFpV/nI=")</f>
        <v>#REF!</v>
      </c>
      <c r="DL33" t="str">
        <f>AND(#REF!,"AAAAAFpV/nM=")</f>
        <v>#REF!</v>
      </c>
      <c r="DM33" t="str">
        <f>AND(#REF!,"AAAAAFpV/nQ=")</f>
        <v>#REF!</v>
      </c>
      <c r="DN33" t="str">
        <f>AND(#REF!,"AAAAAFpV/nU=")</f>
        <v>#REF!</v>
      </c>
      <c r="DO33" t="str">
        <f>AND(#REF!,"AAAAAFpV/nY=")</f>
        <v>#REF!</v>
      </c>
      <c r="DP33" t="str">
        <f>AND(#REF!,"AAAAAFpV/nc=")</f>
        <v>#REF!</v>
      </c>
      <c r="DQ33" t="str">
        <f>AND(#REF!,"AAAAAFpV/ng=")</f>
        <v>#REF!</v>
      </c>
      <c r="DR33" t="str">
        <f>AND(#REF!,"AAAAAFpV/nk=")</f>
        <v>#REF!</v>
      </c>
      <c r="DS33" t="str">
        <f>AND(#REF!,"AAAAAFpV/no=")</f>
        <v>#REF!</v>
      </c>
      <c r="DT33" t="str">
        <f>AND(#REF!,"AAAAAFpV/ns=")</f>
        <v>#REF!</v>
      </c>
      <c r="DU33" t="str">
        <f>AND(#REF!,"AAAAAFpV/nw=")</f>
        <v>#REF!</v>
      </c>
      <c r="DV33" t="str">
        <f>AND(#REF!,"AAAAAFpV/n0=")</f>
        <v>#REF!</v>
      </c>
      <c r="DW33" t="str">
        <f>AND(#REF!,"AAAAAFpV/n4=")</f>
        <v>#REF!</v>
      </c>
      <c r="DX33" t="str">
        <f>AND(#REF!,"AAAAAFpV/n8=")</f>
        <v>#REF!</v>
      </c>
      <c r="DY33" t="str">
        <f>AND(#REF!,"AAAAAFpV/oA=")</f>
        <v>#REF!</v>
      </c>
      <c r="DZ33" t="str">
        <f>AND(#REF!,"AAAAAFpV/oE=")</f>
        <v>#REF!</v>
      </c>
      <c r="EA33" t="str">
        <f>AND(#REF!,"AAAAAFpV/oI=")</f>
        <v>#REF!</v>
      </c>
      <c r="EB33" t="str">
        <f>AND(#REF!,"AAAAAFpV/oM=")</f>
        <v>#REF!</v>
      </c>
      <c r="EC33" t="str">
        <f>AND(#REF!,"AAAAAFpV/oQ=")</f>
        <v>#REF!</v>
      </c>
      <c r="ED33" t="str">
        <f>AND(#REF!,"AAAAAFpV/oU=")</f>
        <v>#REF!</v>
      </c>
      <c r="EE33" t="str">
        <f>AND(#REF!,"AAAAAFpV/oY=")</f>
        <v>#REF!</v>
      </c>
      <c r="EF33" t="str">
        <f>AND(#REF!,"AAAAAFpV/oc=")</f>
        <v>#REF!</v>
      </c>
      <c r="EG33" t="str">
        <f>AND(#REF!,"AAAAAFpV/og=")</f>
        <v>#REF!</v>
      </c>
      <c r="EH33" t="str">
        <f>AND(#REF!,"AAAAAFpV/ok=")</f>
        <v>#REF!</v>
      </c>
      <c r="EI33" t="str">
        <f>AND(#REF!,"AAAAAFpV/oo=")</f>
        <v>#REF!</v>
      </c>
      <c r="EJ33" t="str">
        <f>AND(#REF!,"AAAAAFpV/os=")</f>
        <v>#REF!</v>
      </c>
      <c r="EK33" t="str">
        <f>AND(#REF!,"AAAAAFpV/ow=")</f>
        <v>#REF!</v>
      </c>
      <c r="EL33" t="str">
        <f>AND(#REF!,"AAAAAFpV/o0=")</f>
        <v>#REF!</v>
      </c>
      <c r="EM33" t="str">
        <f>IF(#REF!,"AAAAAFpV/o4=",0)</f>
        <v>#REF!</v>
      </c>
      <c r="EN33" t="str">
        <f>AND(#REF!,"AAAAAFpV/o8=")</f>
        <v>#REF!</v>
      </c>
      <c r="EO33" t="str">
        <f>AND(#REF!,"AAAAAFpV/pA=")</f>
        <v>#REF!</v>
      </c>
      <c r="EP33" t="str">
        <f>AND(#REF!,"AAAAAFpV/pE=")</f>
        <v>#REF!</v>
      </c>
      <c r="EQ33" t="str">
        <f>AND(#REF!,"AAAAAFpV/pI=")</f>
        <v>#REF!</v>
      </c>
      <c r="ER33" t="str">
        <f>AND(#REF!,"AAAAAFpV/pM=")</f>
        <v>#REF!</v>
      </c>
      <c r="ES33" t="str">
        <f>AND(#REF!,"AAAAAFpV/pQ=")</f>
        <v>#REF!</v>
      </c>
      <c r="ET33" t="str">
        <f>AND(#REF!,"AAAAAFpV/pU=")</f>
        <v>#REF!</v>
      </c>
      <c r="EU33" t="str">
        <f>AND(#REF!,"AAAAAFpV/pY=")</f>
        <v>#REF!</v>
      </c>
      <c r="EV33" t="str">
        <f>AND(#REF!,"AAAAAFpV/pc=")</f>
        <v>#REF!</v>
      </c>
      <c r="EW33" t="str">
        <f>AND(#REF!,"AAAAAFpV/pg=")</f>
        <v>#REF!</v>
      </c>
      <c r="EX33" t="str">
        <f>AND(#REF!,"AAAAAFpV/pk=")</f>
        <v>#REF!</v>
      </c>
      <c r="EY33" t="str">
        <f>AND(#REF!,"AAAAAFpV/po=")</f>
        <v>#REF!</v>
      </c>
      <c r="EZ33" t="str">
        <f>AND(#REF!,"AAAAAFpV/ps=")</f>
        <v>#REF!</v>
      </c>
      <c r="FA33" t="str">
        <f>AND(#REF!,"AAAAAFpV/pw=")</f>
        <v>#REF!</v>
      </c>
      <c r="FB33" t="str">
        <f>AND(#REF!,"AAAAAFpV/p0=")</f>
        <v>#REF!</v>
      </c>
      <c r="FC33" t="str">
        <f>AND(#REF!,"AAAAAFpV/p4=")</f>
        <v>#REF!</v>
      </c>
      <c r="FD33" t="str">
        <f>AND(#REF!,"AAAAAFpV/p8=")</f>
        <v>#REF!</v>
      </c>
      <c r="FE33" t="str">
        <f>AND(#REF!,"AAAAAFpV/qA=")</f>
        <v>#REF!</v>
      </c>
      <c r="FF33" t="str">
        <f>AND(#REF!,"AAAAAFpV/qE=")</f>
        <v>#REF!</v>
      </c>
      <c r="FG33" t="str">
        <f>AND(#REF!,"AAAAAFpV/qI=")</f>
        <v>#REF!</v>
      </c>
      <c r="FH33" t="str">
        <f>AND(#REF!,"AAAAAFpV/qM=")</f>
        <v>#REF!</v>
      </c>
      <c r="FI33" t="str">
        <f>AND(#REF!,"AAAAAFpV/qQ=")</f>
        <v>#REF!</v>
      </c>
      <c r="FJ33" t="str">
        <f>AND(#REF!,"AAAAAFpV/qU=")</f>
        <v>#REF!</v>
      </c>
      <c r="FK33" t="str">
        <f>AND(#REF!,"AAAAAFpV/qY=")</f>
        <v>#REF!</v>
      </c>
      <c r="FL33" t="str">
        <f>AND(#REF!,"AAAAAFpV/qc=")</f>
        <v>#REF!</v>
      </c>
      <c r="FM33" t="str">
        <f>AND(#REF!,"AAAAAFpV/qg=")</f>
        <v>#REF!</v>
      </c>
      <c r="FN33" t="str">
        <f>AND(#REF!,"AAAAAFpV/qk=")</f>
        <v>#REF!</v>
      </c>
      <c r="FO33" t="str">
        <f>AND(#REF!,"AAAAAFpV/qo=")</f>
        <v>#REF!</v>
      </c>
      <c r="FP33" t="str">
        <f>AND(#REF!,"AAAAAFpV/qs=")</f>
        <v>#REF!</v>
      </c>
      <c r="FQ33" t="str">
        <f>AND(#REF!,"AAAAAFpV/qw=")</f>
        <v>#REF!</v>
      </c>
      <c r="FR33" t="str">
        <f>AND(#REF!,"AAAAAFpV/q0=")</f>
        <v>#REF!</v>
      </c>
      <c r="FS33" t="str">
        <f>AND(#REF!,"AAAAAFpV/q4=")</f>
        <v>#REF!</v>
      </c>
      <c r="FT33" t="str">
        <f>AND(#REF!,"AAAAAFpV/q8=")</f>
        <v>#REF!</v>
      </c>
      <c r="FU33" t="str">
        <f>AND(#REF!,"AAAAAFpV/rA=")</f>
        <v>#REF!</v>
      </c>
      <c r="FV33" t="str">
        <f>AND(#REF!,"AAAAAFpV/rE=")</f>
        <v>#REF!</v>
      </c>
      <c r="FW33" t="str">
        <f>AND(#REF!,"AAAAAFpV/rI=")</f>
        <v>#REF!</v>
      </c>
      <c r="FX33" t="str">
        <f>AND(#REF!,"AAAAAFpV/rM=")</f>
        <v>#REF!</v>
      </c>
      <c r="FY33" t="str">
        <f>AND(#REF!,"AAAAAFpV/rQ=")</f>
        <v>#REF!</v>
      </c>
      <c r="FZ33" t="str">
        <f>AND(#REF!,"AAAAAFpV/rU=")</f>
        <v>#REF!</v>
      </c>
      <c r="GA33" t="str">
        <f>AND(#REF!,"AAAAAFpV/rY=")</f>
        <v>#REF!</v>
      </c>
      <c r="GB33" t="str">
        <f>AND(#REF!,"AAAAAFpV/rc=")</f>
        <v>#REF!</v>
      </c>
      <c r="GC33" t="str">
        <f>AND(#REF!,"AAAAAFpV/rg=")</f>
        <v>#REF!</v>
      </c>
      <c r="GD33" t="str">
        <f>AND(#REF!,"AAAAAFpV/rk=")</f>
        <v>#REF!</v>
      </c>
      <c r="GE33" t="str">
        <f>AND(#REF!,"AAAAAFpV/ro=")</f>
        <v>#REF!</v>
      </c>
      <c r="GF33" t="str">
        <f>AND(#REF!,"AAAAAFpV/rs=")</f>
        <v>#REF!</v>
      </c>
      <c r="GG33" t="str">
        <f>AND(#REF!,"AAAAAFpV/rw=")</f>
        <v>#REF!</v>
      </c>
      <c r="GH33" t="str">
        <f>AND(#REF!,"AAAAAFpV/r0=")</f>
        <v>#REF!</v>
      </c>
      <c r="GI33" t="str">
        <f>AND(#REF!,"AAAAAFpV/r4=")</f>
        <v>#REF!</v>
      </c>
      <c r="GJ33" t="str">
        <f>AND(#REF!,"AAAAAFpV/r8=")</f>
        <v>#REF!</v>
      </c>
      <c r="GK33" t="str">
        <f>AND(#REF!,"AAAAAFpV/sA=")</f>
        <v>#REF!</v>
      </c>
      <c r="GL33" t="str">
        <f>AND(#REF!,"AAAAAFpV/sE=")</f>
        <v>#REF!</v>
      </c>
      <c r="GM33" t="str">
        <f>AND(#REF!,"AAAAAFpV/sI=")</f>
        <v>#REF!</v>
      </c>
      <c r="GN33" t="str">
        <f>AND(#REF!,"AAAAAFpV/sM=")</f>
        <v>#REF!</v>
      </c>
      <c r="GO33" t="str">
        <f>AND(#REF!,"AAAAAFpV/sQ=")</f>
        <v>#REF!</v>
      </c>
      <c r="GP33" t="str">
        <f>AND(#REF!,"AAAAAFpV/sU=")</f>
        <v>#REF!</v>
      </c>
      <c r="GQ33" t="str">
        <f>AND(#REF!,"AAAAAFpV/sY=")</f>
        <v>#REF!</v>
      </c>
      <c r="GR33" t="str">
        <f>AND(#REF!,"AAAAAFpV/sc=")</f>
        <v>#REF!</v>
      </c>
      <c r="GS33" t="str">
        <f>AND(#REF!,"AAAAAFpV/sg=")</f>
        <v>#REF!</v>
      </c>
      <c r="GT33" t="str">
        <f>AND(#REF!,"AAAAAFpV/sk=")</f>
        <v>#REF!</v>
      </c>
      <c r="GU33" t="str">
        <f>AND(#REF!,"AAAAAFpV/so=")</f>
        <v>#REF!</v>
      </c>
      <c r="GV33" t="str">
        <f>AND(#REF!,"AAAAAFpV/ss=")</f>
        <v>#REF!</v>
      </c>
      <c r="GW33" t="str">
        <f>AND(#REF!,"AAAAAFpV/sw=")</f>
        <v>#REF!</v>
      </c>
      <c r="GX33" t="str">
        <f>AND(#REF!,"AAAAAFpV/s0=")</f>
        <v>#REF!</v>
      </c>
      <c r="GY33" t="str">
        <f>AND(#REF!,"AAAAAFpV/s4=")</f>
        <v>#REF!</v>
      </c>
      <c r="GZ33" t="str">
        <f>AND(#REF!,"AAAAAFpV/s8=")</f>
        <v>#REF!</v>
      </c>
      <c r="HA33" t="str">
        <f>AND(#REF!,"AAAAAFpV/tA=")</f>
        <v>#REF!</v>
      </c>
      <c r="HB33" t="str">
        <f>AND(#REF!,"AAAAAFpV/tE=")</f>
        <v>#REF!</v>
      </c>
      <c r="HC33" t="str">
        <f>AND(#REF!,"AAAAAFpV/tI=")</f>
        <v>#REF!</v>
      </c>
      <c r="HD33" t="str">
        <f>AND(#REF!,"AAAAAFpV/tM=")</f>
        <v>#REF!</v>
      </c>
      <c r="HE33" t="str">
        <f>AND(#REF!,"AAAAAFpV/tQ=")</f>
        <v>#REF!</v>
      </c>
      <c r="HF33" t="str">
        <f>AND(#REF!,"AAAAAFpV/tU=")</f>
        <v>#REF!</v>
      </c>
      <c r="HG33" t="str">
        <f>AND(#REF!,"AAAAAFpV/tY=")</f>
        <v>#REF!</v>
      </c>
      <c r="HH33" t="str">
        <f>AND(#REF!,"AAAAAFpV/tc=")</f>
        <v>#REF!</v>
      </c>
      <c r="HI33" t="str">
        <f>AND(#REF!,"AAAAAFpV/tg=")</f>
        <v>#REF!</v>
      </c>
      <c r="HJ33" t="str">
        <f>AND(#REF!,"AAAAAFpV/tk=")</f>
        <v>#REF!</v>
      </c>
      <c r="HK33" t="str">
        <f>IF(#REF!,"AAAAAFpV/to=",0)</f>
        <v>#REF!</v>
      </c>
      <c r="HL33" t="str">
        <f>AND(#REF!,"AAAAAFpV/ts=")</f>
        <v>#REF!</v>
      </c>
      <c r="HM33" t="str">
        <f>AND(#REF!,"AAAAAFpV/tw=")</f>
        <v>#REF!</v>
      </c>
      <c r="HN33" t="str">
        <f>AND(#REF!,"AAAAAFpV/t0=")</f>
        <v>#REF!</v>
      </c>
      <c r="HO33" t="str">
        <f>AND(#REF!,"AAAAAFpV/t4=")</f>
        <v>#REF!</v>
      </c>
      <c r="HP33" t="str">
        <f>AND(#REF!,"AAAAAFpV/t8=")</f>
        <v>#REF!</v>
      </c>
      <c r="HQ33" t="str">
        <f>AND(#REF!,"AAAAAFpV/uA=")</f>
        <v>#REF!</v>
      </c>
      <c r="HR33" t="str">
        <f>AND(#REF!,"AAAAAFpV/uE=")</f>
        <v>#REF!</v>
      </c>
      <c r="HS33" t="str">
        <f>AND(#REF!,"AAAAAFpV/uI=")</f>
        <v>#REF!</v>
      </c>
      <c r="HT33" t="str">
        <f>AND(#REF!,"AAAAAFpV/uM=")</f>
        <v>#REF!</v>
      </c>
      <c r="HU33" t="str">
        <f>AND(#REF!,"AAAAAFpV/uQ=")</f>
        <v>#REF!</v>
      </c>
      <c r="HV33" t="str">
        <f>AND(#REF!,"AAAAAFpV/uU=")</f>
        <v>#REF!</v>
      </c>
      <c r="HW33" t="str">
        <f>AND(#REF!,"AAAAAFpV/uY=")</f>
        <v>#REF!</v>
      </c>
      <c r="HX33" t="str">
        <f>AND(#REF!,"AAAAAFpV/uc=")</f>
        <v>#REF!</v>
      </c>
      <c r="HY33" t="str">
        <f>AND(#REF!,"AAAAAFpV/ug=")</f>
        <v>#REF!</v>
      </c>
      <c r="HZ33" t="str">
        <f>AND(#REF!,"AAAAAFpV/uk=")</f>
        <v>#REF!</v>
      </c>
      <c r="IA33" t="str">
        <f>AND(#REF!,"AAAAAFpV/uo=")</f>
        <v>#REF!</v>
      </c>
      <c r="IB33" t="str">
        <f>AND(#REF!,"AAAAAFpV/us=")</f>
        <v>#REF!</v>
      </c>
      <c r="IC33" t="str">
        <f>AND(#REF!,"AAAAAFpV/uw=")</f>
        <v>#REF!</v>
      </c>
      <c r="ID33" t="str">
        <f>AND(#REF!,"AAAAAFpV/u0=")</f>
        <v>#REF!</v>
      </c>
      <c r="IE33" t="str">
        <f>AND(#REF!,"AAAAAFpV/u4=")</f>
        <v>#REF!</v>
      </c>
      <c r="IF33" t="str">
        <f>AND(#REF!,"AAAAAFpV/u8=")</f>
        <v>#REF!</v>
      </c>
      <c r="IG33" t="str">
        <f>AND(#REF!,"AAAAAFpV/vA=")</f>
        <v>#REF!</v>
      </c>
      <c r="IH33" t="str">
        <f>AND(#REF!,"AAAAAFpV/vE=")</f>
        <v>#REF!</v>
      </c>
      <c r="II33" t="str">
        <f>AND(#REF!,"AAAAAFpV/vI=")</f>
        <v>#REF!</v>
      </c>
      <c r="IJ33" t="str">
        <f>AND(#REF!,"AAAAAFpV/vM=")</f>
        <v>#REF!</v>
      </c>
      <c r="IK33" t="str">
        <f>AND(#REF!,"AAAAAFpV/vQ=")</f>
        <v>#REF!</v>
      </c>
      <c r="IL33" t="str">
        <f>AND(#REF!,"AAAAAFpV/vU=")</f>
        <v>#REF!</v>
      </c>
      <c r="IM33" t="str">
        <f>AND(#REF!,"AAAAAFpV/vY=")</f>
        <v>#REF!</v>
      </c>
      <c r="IN33" t="str">
        <f>AND(#REF!,"AAAAAFpV/vc=")</f>
        <v>#REF!</v>
      </c>
      <c r="IO33" t="str">
        <f>AND(#REF!,"AAAAAFpV/vg=")</f>
        <v>#REF!</v>
      </c>
      <c r="IP33" t="str">
        <f>AND(#REF!,"AAAAAFpV/vk=")</f>
        <v>#REF!</v>
      </c>
      <c r="IQ33" t="str">
        <f>AND(#REF!,"AAAAAFpV/vo=")</f>
        <v>#REF!</v>
      </c>
      <c r="IR33" t="str">
        <f>AND(#REF!,"AAAAAFpV/vs=")</f>
        <v>#REF!</v>
      </c>
      <c r="IS33" t="str">
        <f>AND(#REF!,"AAAAAFpV/vw=")</f>
        <v>#REF!</v>
      </c>
      <c r="IT33" t="str">
        <f>AND(#REF!,"AAAAAFpV/v0=")</f>
        <v>#REF!</v>
      </c>
      <c r="IU33" t="str">
        <f>AND(#REF!,"AAAAAFpV/v4=")</f>
        <v>#REF!</v>
      </c>
      <c r="IV33" t="str">
        <f>AND(#REF!,"AAAAAFpV/v8=")</f>
        <v>#REF!</v>
      </c>
    </row>
    <row r="34" ht="15.75" customHeight="1">
      <c r="A34" t="str">
        <f>AND(#REF!,"AAAAAFf1/wA=")</f>
        <v>#REF!</v>
      </c>
      <c r="B34" t="str">
        <f>AND(#REF!,"AAAAAFf1/wE=")</f>
        <v>#REF!</v>
      </c>
      <c r="C34" t="str">
        <f>AND(#REF!,"AAAAAFf1/wI=")</f>
        <v>#REF!</v>
      </c>
      <c r="D34" t="str">
        <f>AND(#REF!,"AAAAAFf1/wM=")</f>
        <v>#REF!</v>
      </c>
      <c r="E34" t="str">
        <f>AND(#REF!,"AAAAAFf1/wQ=")</f>
        <v>#REF!</v>
      </c>
      <c r="F34" t="str">
        <f>AND(#REF!,"AAAAAFf1/wU=")</f>
        <v>#REF!</v>
      </c>
      <c r="G34" t="str">
        <f>AND(#REF!,"AAAAAFf1/wY=")</f>
        <v>#REF!</v>
      </c>
      <c r="H34" t="str">
        <f>AND(#REF!,"AAAAAFf1/wc=")</f>
        <v>#REF!</v>
      </c>
      <c r="I34" t="str">
        <f>AND(#REF!,"AAAAAFf1/wg=")</f>
        <v>#REF!</v>
      </c>
      <c r="J34" t="str">
        <f>AND(#REF!,"AAAAAFf1/wk=")</f>
        <v>#REF!</v>
      </c>
      <c r="K34" t="str">
        <f>AND(#REF!,"AAAAAFf1/wo=")</f>
        <v>#REF!</v>
      </c>
      <c r="L34" t="str">
        <f>AND(#REF!,"AAAAAFf1/ws=")</f>
        <v>#REF!</v>
      </c>
      <c r="M34" t="str">
        <f>AND(#REF!,"AAAAAFf1/ww=")</f>
        <v>#REF!</v>
      </c>
      <c r="N34" t="str">
        <f>AND(#REF!,"AAAAAFf1/w0=")</f>
        <v>#REF!</v>
      </c>
      <c r="O34" t="str">
        <f>AND(#REF!,"AAAAAFf1/w4=")</f>
        <v>#REF!</v>
      </c>
      <c r="P34" t="str">
        <f>AND(#REF!,"AAAAAFf1/w8=")</f>
        <v>#REF!</v>
      </c>
      <c r="Q34" t="str">
        <f>AND(#REF!,"AAAAAFf1/xA=")</f>
        <v>#REF!</v>
      </c>
      <c r="R34" t="str">
        <f>AND(#REF!,"AAAAAFf1/xE=")</f>
        <v>#REF!</v>
      </c>
      <c r="S34" t="str">
        <f>AND(#REF!,"AAAAAFf1/xI=")</f>
        <v>#REF!</v>
      </c>
      <c r="T34" t="str">
        <f>AND(#REF!,"AAAAAFf1/xM=")</f>
        <v>#REF!</v>
      </c>
      <c r="U34" t="str">
        <f>AND(#REF!,"AAAAAFf1/xQ=")</f>
        <v>#REF!</v>
      </c>
      <c r="V34" t="str">
        <f>AND(#REF!,"AAAAAFf1/xU=")</f>
        <v>#REF!</v>
      </c>
      <c r="W34" t="str">
        <f>AND(#REF!,"AAAAAFf1/xY=")</f>
        <v>#REF!</v>
      </c>
      <c r="X34" t="str">
        <f>AND(#REF!,"AAAAAFf1/xc=")</f>
        <v>#REF!</v>
      </c>
      <c r="Y34" t="str">
        <f>AND(#REF!,"AAAAAFf1/xg=")</f>
        <v>#REF!</v>
      </c>
      <c r="Z34" t="str">
        <f>AND(#REF!,"AAAAAFf1/xk=")</f>
        <v>#REF!</v>
      </c>
      <c r="AA34" t="str">
        <f>AND(#REF!,"AAAAAFf1/xo=")</f>
        <v>#REF!</v>
      </c>
      <c r="AB34" t="str">
        <f>AND(#REF!,"AAAAAFf1/xs=")</f>
        <v>#REF!</v>
      </c>
      <c r="AC34" t="str">
        <f>AND(#REF!,"AAAAAFf1/xw=")</f>
        <v>#REF!</v>
      </c>
      <c r="AD34" t="str">
        <f>AND(#REF!,"AAAAAFf1/x0=")</f>
        <v>#REF!</v>
      </c>
      <c r="AE34" t="str">
        <f>AND(#REF!,"AAAAAFf1/x4=")</f>
        <v>#REF!</v>
      </c>
      <c r="AF34" t="str">
        <f>AND(#REF!,"AAAAAFf1/x8=")</f>
        <v>#REF!</v>
      </c>
      <c r="AG34" t="str">
        <f>AND(#REF!,"AAAAAFf1/yA=")</f>
        <v>#REF!</v>
      </c>
      <c r="AH34" t="str">
        <f>AND(#REF!,"AAAAAFf1/yE=")</f>
        <v>#REF!</v>
      </c>
      <c r="AI34" t="str">
        <f>AND(#REF!,"AAAAAFf1/yI=")</f>
        <v>#REF!</v>
      </c>
      <c r="AJ34" t="str">
        <f>AND(#REF!,"AAAAAFf1/yM=")</f>
        <v>#REF!</v>
      </c>
      <c r="AK34" t="str">
        <f>AND(#REF!,"AAAAAFf1/yQ=")</f>
        <v>#REF!</v>
      </c>
      <c r="AL34" t="str">
        <f>AND(#REF!,"AAAAAFf1/yU=")</f>
        <v>#REF!</v>
      </c>
      <c r="AM34" t="str">
        <f>IF(#REF!,"AAAAAFf1/yY=",0)</f>
        <v>#REF!</v>
      </c>
      <c r="AN34" t="str">
        <f>AND(#REF!,"AAAAAFf1/yc=")</f>
        <v>#REF!</v>
      </c>
      <c r="AO34" t="str">
        <f>AND(#REF!,"AAAAAFf1/yg=")</f>
        <v>#REF!</v>
      </c>
      <c r="AP34" t="str">
        <f>AND(#REF!,"AAAAAFf1/yk=")</f>
        <v>#REF!</v>
      </c>
      <c r="AQ34" t="str">
        <f>AND(#REF!,"AAAAAFf1/yo=")</f>
        <v>#REF!</v>
      </c>
      <c r="AR34" t="str">
        <f>AND(#REF!,"AAAAAFf1/ys=")</f>
        <v>#REF!</v>
      </c>
      <c r="AS34" t="str">
        <f>AND(#REF!,"AAAAAFf1/yw=")</f>
        <v>#REF!</v>
      </c>
      <c r="AT34" t="str">
        <f>AND(#REF!,"AAAAAFf1/y0=")</f>
        <v>#REF!</v>
      </c>
      <c r="AU34" t="str">
        <f>AND(#REF!,"AAAAAFf1/y4=")</f>
        <v>#REF!</v>
      </c>
      <c r="AV34" t="str">
        <f>AND(#REF!,"AAAAAFf1/y8=")</f>
        <v>#REF!</v>
      </c>
      <c r="AW34" t="str">
        <f>AND(#REF!,"AAAAAFf1/zA=")</f>
        <v>#REF!</v>
      </c>
      <c r="AX34" t="str">
        <f>AND(#REF!,"AAAAAFf1/zE=")</f>
        <v>#REF!</v>
      </c>
      <c r="AY34" t="str">
        <f>AND(#REF!,"AAAAAFf1/zI=")</f>
        <v>#REF!</v>
      </c>
      <c r="AZ34" t="str">
        <f>AND(#REF!,"AAAAAFf1/zM=")</f>
        <v>#REF!</v>
      </c>
      <c r="BA34" t="str">
        <f>AND(#REF!,"AAAAAFf1/zQ=")</f>
        <v>#REF!</v>
      </c>
      <c r="BB34" t="str">
        <f>AND(#REF!,"AAAAAFf1/zU=")</f>
        <v>#REF!</v>
      </c>
      <c r="BC34" t="str">
        <f>AND(#REF!,"AAAAAFf1/zY=")</f>
        <v>#REF!</v>
      </c>
      <c r="BD34" t="str">
        <f>AND(#REF!,"AAAAAFf1/zc=")</f>
        <v>#REF!</v>
      </c>
      <c r="BE34" t="str">
        <f>AND(#REF!,"AAAAAFf1/zg=")</f>
        <v>#REF!</v>
      </c>
      <c r="BF34" t="str">
        <f>AND(#REF!,"AAAAAFf1/zk=")</f>
        <v>#REF!</v>
      </c>
      <c r="BG34" t="str">
        <f>AND(#REF!,"AAAAAFf1/zo=")</f>
        <v>#REF!</v>
      </c>
      <c r="BH34" t="str">
        <f>AND(#REF!,"AAAAAFf1/zs=")</f>
        <v>#REF!</v>
      </c>
      <c r="BI34" t="str">
        <f>AND(#REF!,"AAAAAFf1/zw=")</f>
        <v>#REF!</v>
      </c>
      <c r="BJ34" t="str">
        <f>AND(#REF!,"AAAAAFf1/z0=")</f>
        <v>#REF!</v>
      </c>
      <c r="BK34" t="str">
        <f>AND(#REF!,"AAAAAFf1/z4=")</f>
        <v>#REF!</v>
      </c>
      <c r="BL34" t="str">
        <f>AND(#REF!,"AAAAAFf1/z8=")</f>
        <v>#REF!</v>
      </c>
      <c r="BM34" t="str">
        <f>AND(#REF!,"AAAAAFf1/0A=")</f>
        <v>#REF!</v>
      </c>
      <c r="BN34" t="str">
        <f>AND(#REF!,"AAAAAFf1/0E=")</f>
        <v>#REF!</v>
      </c>
      <c r="BO34" t="str">
        <f>AND(#REF!,"AAAAAFf1/0I=")</f>
        <v>#REF!</v>
      </c>
      <c r="BP34" t="str">
        <f>AND(#REF!,"AAAAAFf1/0M=")</f>
        <v>#REF!</v>
      </c>
      <c r="BQ34" t="str">
        <f>AND(#REF!,"AAAAAFf1/0Q=")</f>
        <v>#REF!</v>
      </c>
      <c r="BR34" t="str">
        <f>AND(#REF!,"AAAAAFf1/0U=")</f>
        <v>#REF!</v>
      </c>
      <c r="BS34" t="str">
        <f>AND(#REF!,"AAAAAFf1/0Y=")</f>
        <v>#REF!</v>
      </c>
      <c r="BT34" t="str">
        <f>AND(#REF!,"AAAAAFf1/0c=")</f>
        <v>#REF!</v>
      </c>
      <c r="BU34" t="str">
        <f>AND(#REF!,"AAAAAFf1/0g=")</f>
        <v>#REF!</v>
      </c>
      <c r="BV34" t="str">
        <f>AND(#REF!,"AAAAAFf1/0k=")</f>
        <v>#REF!</v>
      </c>
      <c r="BW34" t="str">
        <f>AND(#REF!,"AAAAAFf1/0o=")</f>
        <v>#REF!</v>
      </c>
      <c r="BX34" t="str">
        <f>AND(#REF!,"AAAAAFf1/0s=")</f>
        <v>#REF!</v>
      </c>
      <c r="BY34" t="str">
        <f>AND(#REF!,"AAAAAFf1/0w=")</f>
        <v>#REF!</v>
      </c>
      <c r="BZ34" t="str">
        <f>AND(#REF!,"AAAAAFf1/00=")</f>
        <v>#REF!</v>
      </c>
      <c r="CA34" t="str">
        <f>AND(#REF!,"AAAAAFf1/04=")</f>
        <v>#REF!</v>
      </c>
      <c r="CB34" t="str">
        <f>AND(#REF!,"AAAAAFf1/08=")</f>
        <v>#REF!</v>
      </c>
      <c r="CC34" t="str">
        <f>AND(#REF!,"AAAAAFf1/1A=")</f>
        <v>#REF!</v>
      </c>
      <c r="CD34" t="str">
        <f>AND(#REF!,"AAAAAFf1/1E=")</f>
        <v>#REF!</v>
      </c>
      <c r="CE34" t="str">
        <f>AND(#REF!,"AAAAAFf1/1I=")</f>
        <v>#REF!</v>
      </c>
      <c r="CF34" t="str">
        <f>AND(#REF!,"AAAAAFf1/1M=")</f>
        <v>#REF!</v>
      </c>
      <c r="CG34" t="str">
        <f>AND(#REF!,"AAAAAFf1/1Q=")</f>
        <v>#REF!</v>
      </c>
      <c r="CH34" t="str">
        <f>AND(#REF!,"AAAAAFf1/1U=")</f>
        <v>#REF!</v>
      </c>
      <c r="CI34" t="str">
        <f>AND(#REF!,"AAAAAFf1/1Y=")</f>
        <v>#REF!</v>
      </c>
      <c r="CJ34" t="str">
        <f>AND(#REF!,"AAAAAFf1/1c=")</f>
        <v>#REF!</v>
      </c>
      <c r="CK34" t="str">
        <f>AND(#REF!,"AAAAAFf1/1g=")</f>
        <v>#REF!</v>
      </c>
      <c r="CL34" t="str">
        <f>AND(#REF!,"AAAAAFf1/1k=")</f>
        <v>#REF!</v>
      </c>
      <c r="CM34" t="str">
        <f>AND(#REF!,"AAAAAFf1/1o=")</f>
        <v>#REF!</v>
      </c>
      <c r="CN34" t="str">
        <f>AND(#REF!,"AAAAAFf1/1s=")</f>
        <v>#REF!</v>
      </c>
      <c r="CO34" t="str">
        <f>AND(#REF!,"AAAAAFf1/1w=")</f>
        <v>#REF!</v>
      </c>
      <c r="CP34" t="str">
        <f>AND(#REF!,"AAAAAFf1/10=")</f>
        <v>#REF!</v>
      </c>
      <c r="CQ34" t="str">
        <f>AND(#REF!,"AAAAAFf1/14=")</f>
        <v>#REF!</v>
      </c>
      <c r="CR34" t="str">
        <f>AND(#REF!,"AAAAAFf1/18=")</f>
        <v>#REF!</v>
      </c>
      <c r="CS34" t="str">
        <f>AND(#REF!,"AAAAAFf1/2A=")</f>
        <v>#REF!</v>
      </c>
      <c r="CT34" t="str">
        <f>AND(#REF!,"AAAAAFf1/2E=")</f>
        <v>#REF!</v>
      </c>
      <c r="CU34" t="str">
        <f>AND(#REF!,"AAAAAFf1/2I=")</f>
        <v>#REF!</v>
      </c>
      <c r="CV34" t="str">
        <f>AND(#REF!,"AAAAAFf1/2M=")</f>
        <v>#REF!</v>
      </c>
      <c r="CW34" t="str">
        <f>AND(#REF!,"AAAAAFf1/2Q=")</f>
        <v>#REF!</v>
      </c>
      <c r="CX34" t="str">
        <f>AND(#REF!,"AAAAAFf1/2U=")</f>
        <v>#REF!</v>
      </c>
      <c r="CY34" t="str">
        <f>AND(#REF!,"AAAAAFf1/2Y=")</f>
        <v>#REF!</v>
      </c>
      <c r="CZ34" t="str">
        <f>AND(#REF!,"AAAAAFf1/2c=")</f>
        <v>#REF!</v>
      </c>
      <c r="DA34" t="str">
        <f>AND(#REF!,"AAAAAFf1/2g=")</f>
        <v>#REF!</v>
      </c>
      <c r="DB34" t="str">
        <f>AND(#REF!,"AAAAAFf1/2k=")</f>
        <v>#REF!</v>
      </c>
      <c r="DC34" t="str">
        <f>AND(#REF!,"AAAAAFf1/2o=")</f>
        <v>#REF!</v>
      </c>
      <c r="DD34" t="str">
        <f>AND(#REF!,"AAAAAFf1/2s=")</f>
        <v>#REF!</v>
      </c>
      <c r="DE34" t="str">
        <f>AND(#REF!,"AAAAAFf1/2w=")</f>
        <v>#REF!</v>
      </c>
      <c r="DF34" t="str">
        <f>AND(#REF!,"AAAAAFf1/20=")</f>
        <v>#REF!</v>
      </c>
      <c r="DG34" t="str">
        <f>AND(#REF!,"AAAAAFf1/24=")</f>
        <v>#REF!</v>
      </c>
      <c r="DH34" t="str">
        <f>AND(#REF!,"AAAAAFf1/28=")</f>
        <v>#REF!</v>
      </c>
      <c r="DI34" t="str">
        <f>AND(#REF!,"AAAAAFf1/3A=")</f>
        <v>#REF!</v>
      </c>
      <c r="DJ34" t="str">
        <f>AND(#REF!,"AAAAAFf1/3E=")</f>
        <v>#REF!</v>
      </c>
      <c r="DK34" t="str">
        <f>IF(#REF!,"AAAAAFf1/3I=",0)</f>
        <v>#REF!</v>
      </c>
      <c r="DL34" t="str">
        <f>AND(#REF!,"AAAAAFf1/3M=")</f>
        <v>#REF!</v>
      </c>
      <c r="DM34" t="str">
        <f>AND(#REF!,"AAAAAFf1/3Q=")</f>
        <v>#REF!</v>
      </c>
      <c r="DN34" t="str">
        <f>AND(#REF!,"AAAAAFf1/3U=")</f>
        <v>#REF!</v>
      </c>
      <c r="DO34" t="str">
        <f>AND(#REF!,"AAAAAFf1/3Y=")</f>
        <v>#REF!</v>
      </c>
      <c r="DP34" t="str">
        <f>AND(#REF!,"AAAAAFf1/3c=")</f>
        <v>#REF!</v>
      </c>
      <c r="DQ34" t="str">
        <f>AND(#REF!,"AAAAAFf1/3g=")</f>
        <v>#REF!</v>
      </c>
      <c r="DR34" t="str">
        <f>AND(#REF!,"AAAAAFf1/3k=")</f>
        <v>#REF!</v>
      </c>
      <c r="DS34" t="str">
        <f>AND(#REF!,"AAAAAFf1/3o=")</f>
        <v>#REF!</v>
      </c>
      <c r="DT34" t="str">
        <f>AND(#REF!,"AAAAAFf1/3s=")</f>
        <v>#REF!</v>
      </c>
      <c r="DU34" t="str">
        <f>AND(#REF!,"AAAAAFf1/3w=")</f>
        <v>#REF!</v>
      </c>
      <c r="DV34" t="str">
        <f>AND(#REF!,"AAAAAFf1/30=")</f>
        <v>#REF!</v>
      </c>
      <c r="DW34" t="str">
        <f>AND(#REF!,"AAAAAFf1/34=")</f>
        <v>#REF!</v>
      </c>
      <c r="DX34" t="str">
        <f>AND(#REF!,"AAAAAFf1/38=")</f>
        <v>#REF!</v>
      </c>
      <c r="DY34" t="str">
        <f>AND(#REF!,"AAAAAFf1/4A=")</f>
        <v>#REF!</v>
      </c>
      <c r="DZ34" t="str">
        <f>AND(#REF!,"AAAAAFf1/4E=")</f>
        <v>#REF!</v>
      </c>
      <c r="EA34" t="str">
        <f>AND(#REF!,"AAAAAFf1/4I=")</f>
        <v>#REF!</v>
      </c>
      <c r="EB34" t="str">
        <f>AND(#REF!,"AAAAAFf1/4M=")</f>
        <v>#REF!</v>
      </c>
      <c r="EC34" t="str">
        <f>AND(#REF!,"AAAAAFf1/4Q=")</f>
        <v>#REF!</v>
      </c>
      <c r="ED34" t="str">
        <f>AND(#REF!,"AAAAAFf1/4U=")</f>
        <v>#REF!</v>
      </c>
      <c r="EE34" t="str">
        <f>AND(#REF!,"AAAAAFf1/4Y=")</f>
        <v>#REF!</v>
      </c>
      <c r="EF34" t="str">
        <f>AND(#REF!,"AAAAAFf1/4c=")</f>
        <v>#REF!</v>
      </c>
      <c r="EG34" t="str">
        <f>AND(#REF!,"AAAAAFf1/4g=")</f>
        <v>#REF!</v>
      </c>
      <c r="EH34" t="str">
        <f>AND(#REF!,"AAAAAFf1/4k=")</f>
        <v>#REF!</v>
      </c>
      <c r="EI34" t="str">
        <f>AND(#REF!,"AAAAAFf1/4o=")</f>
        <v>#REF!</v>
      </c>
      <c r="EJ34" t="str">
        <f>AND(#REF!,"AAAAAFf1/4s=")</f>
        <v>#REF!</v>
      </c>
      <c r="EK34" t="str">
        <f>AND(#REF!,"AAAAAFf1/4w=")</f>
        <v>#REF!</v>
      </c>
      <c r="EL34" t="str">
        <f>AND(#REF!,"AAAAAFf1/40=")</f>
        <v>#REF!</v>
      </c>
      <c r="EM34" t="str">
        <f>AND(#REF!,"AAAAAFf1/44=")</f>
        <v>#REF!</v>
      </c>
      <c r="EN34" t="str">
        <f>AND(#REF!,"AAAAAFf1/48=")</f>
        <v>#REF!</v>
      </c>
      <c r="EO34" t="str">
        <f>AND(#REF!,"AAAAAFf1/5A=")</f>
        <v>#REF!</v>
      </c>
      <c r="EP34" t="str">
        <f>AND(#REF!,"AAAAAFf1/5E=")</f>
        <v>#REF!</v>
      </c>
      <c r="EQ34" t="str">
        <f>AND(#REF!,"AAAAAFf1/5I=")</f>
        <v>#REF!</v>
      </c>
      <c r="ER34" t="str">
        <f>AND(#REF!,"AAAAAFf1/5M=")</f>
        <v>#REF!</v>
      </c>
      <c r="ES34" t="str">
        <f>AND(#REF!,"AAAAAFf1/5Q=")</f>
        <v>#REF!</v>
      </c>
      <c r="ET34" t="str">
        <f>AND(#REF!,"AAAAAFf1/5U=")</f>
        <v>#REF!</v>
      </c>
      <c r="EU34" t="str">
        <f>AND(#REF!,"AAAAAFf1/5Y=")</f>
        <v>#REF!</v>
      </c>
      <c r="EV34" t="str">
        <f>AND(#REF!,"AAAAAFf1/5c=")</f>
        <v>#REF!</v>
      </c>
      <c r="EW34" t="str">
        <f>AND(#REF!,"AAAAAFf1/5g=")</f>
        <v>#REF!</v>
      </c>
      <c r="EX34" t="str">
        <f>AND(#REF!,"AAAAAFf1/5k=")</f>
        <v>#REF!</v>
      </c>
      <c r="EY34" t="str">
        <f>AND(#REF!,"AAAAAFf1/5o=")</f>
        <v>#REF!</v>
      </c>
      <c r="EZ34" t="str">
        <f>AND(#REF!,"AAAAAFf1/5s=")</f>
        <v>#REF!</v>
      </c>
      <c r="FA34" t="str">
        <f>AND(#REF!,"AAAAAFf1/5w=")</f>
        <v>#REF!</v>
      </c>
      <c r="FB34" t="str">
        <f>AND(#REF!,"AAAAAFf1/50=")</f>
        <v>#REF!</v>
      </c>
      <c r="FC34" t="str">
        <f>AND(#REF!,"AAAAAFf1/54=")</f>
        <v>#REF!</v>
      </c>
      <c r="FD34" t="str">
        <f>AND(#REF!,"AAAAAFf1/58=")</f>
        <v>#REF!</v>
      </c>
      <c r="FE34" t="str">
        <f>AND(#REF!,"AAAAAFf1/6A=")</f>
        <v>#REF!</v>
      </c>
      <c r="FF34" t="str">
        <f>AND(#REF!,"AAAAAFf1/6E=")</f>
        <v>#REF!</v>
      </c>
      <c r="FG34" t="str">
        <f>AND(#REF!,"AAAAAFf1/6I=")</f>
        <v>#REF!</v>
      </c>
      <c r="FH34" t="str">
        <f>AND(#REF!,"AAAAAFf1/6M=")</f>
        <v>#REF!</v>
      </c>
      <c r="FI34" t="str">
        <f>AND(#REF!,"AAAAAFf1/6Q=")</f>
        <v>#REF!</v>
      </c>
      <c r="FJ34" t="str">
        <f>AND(#REF!,"AAAAAFf1/6U=")</f>
        <v>#REF!</v>
      </c>
      <c r="FK34" t="str">
        <f>AND(#REF!,"AAAAAFf1/6Y=")</f>
        <v>#REF!</v>
      </c>
      <c r="FL34" t="str">
        <f>AND(#REF!,"AAAAAFf1/6c=")</f>
        <v>#REF!</v>
      </c>
      <c r="FM34" t="str">
        <f>AND(#REF!,"AAAAAFf1/6g=")</f>
        <v>#REF!</v>
      </c>
      <c r="FN34" t="str">
        <f>AND(#REF!,"AAAAAFf1/6k=")</f>
        <v>#REF!</v>
      </c>
      <c r="FO34" t="str">
        <f>AND(#REF!,"AAAAAFf1/6o=")</f>
        <v>#REF!</v>
      </c>
      <c r="FP34" t="str">
        <f>AND(#REF!,"AAAAAFf1/6s=")</f>
        <v>#REF!</v>
      </c>
      <c r="FQ34" t="str">
        <f>AND(#REF!,"AAAAAFf1/6w=")</f>
        <v>#REF!</v>
      </c>
      <c r="FR34" t="str">
        <f>AND(#REF!,"AAAAAFf1/60=")</f>
        <v>#REF!</v>
      </c>
      <c r="FS34" t="str">
        <f>AND(#REF!,"AAAAAFf1/64=")</f>
        <v>#REF!</v>
      </c>
      <c r="FT34" t="str">
        <f>AND(#REF!,"AAAAAFf1/68=")</f>
        <v>#REF!</v>
      </c>
      <c r="FU34" t="str">
        <f>AND(#REF!,"AAAAAFf1/7A=")</f>
        <v>#REF!</v>
      </c>
      <c r="FV34" t="str">
        <f>AND(#REF!,"AAAAAFf1/7E=")</f>
        <v>#REF!</v>
      </c>
      <c r="FW34" t="str">
        <f>AND(#REF!,"AAAAAFf1/7I=")</f>
        <v>#REF!</v>
      </c>
      <c r="FX34" t="str">
        <f>AND(#REF!,"AAAAAFf1/7M=")</f>
        <v>#REF!</v>
      </c>
      <c r="FY34" t="str">
        <f>AND(#REF!,"AAAAAFf1/7Q=")</f>
        <v>#REF!</v>
      </c>
      <c r="FZ34" t="str">
        <f>AND(#REF!,"AAAAAFf1/7U=")</f>
        <v>#REF!</v>
      </c>
      <c r="GA34" t="str">
        <f>AND(#REF!,"AAAAAFf1/7Y=")</f>
        <v>#REF!</v>
      </c>
      <c r="GB34" t="str">
        <f>AND(#REF!,"AAAAAFf1/7c=")</f>
        <v>#REF!</v>
      </c>
      <c r="GC34" t="str">
        <f>AND(#REF!,"AAAAAFf1/7g=")</f>
        <v>#REF!</v>
      </c>
      <c r="GD34" t="str">
        <f>AND(#REF!,"AAAAAFf1/7k=")</f>
        <v>#REF!</v>
      </c>
      <c r="GE34" t="str">
        <f>AND(#REF!,"AAAAAFf1/7o=")</f>
        <v>#REF!</v>
      </c>
      <c r="GF34" t="str">
        <f>AND(#REF!,"AAAAAFf1/7s=")</f>
        <v>#REF!</v>
      </c>
      <c r="GG34" t="str">
        <f>AND(#REF!,"AAAAAFf1/7w=")</f>
        <v>#REF!</v>
      </c>
      <c r="GH34" t="str">
        <f>AND(#REF!,"AAAAAFf1/70=")</f>
        <v>#REF!</v>
      </c>
      <c r="GI34" t="str">
        <f>IF(#REF!,"AAAAAFf1/74=",0)</f>
        <v>#REF!</v>
      </c>
      <c r="GJ34" t="str">
        <f>AND(#REF!,"AAAAAFf1/78=")</f>
        <v>#REF!</v>
      </c>
      <c r="GK34" t="str">
        <f>AND(#REF!,"AAAAAFf1/8A=")</f>
        <v>#REF!</v>
      </c>
      <c r="GL34" t="str">
        <f>AND(#REF!,"AAAAAFf1/8E=")</f>
        <v>#REF!</v>
      </c>
      <c r="GM34" t="str">
        <f>AND(#REF!,"AAAAAFf1/8I=")</f>
        <v>#REF!</v>
      </c>
      <c r="GN34" t="str">
        <f>AND(#REF!,"AAAAAFf1/8M=")</f>
        <v>#REF!</v>
      </c>
      <c r="GO34" t="str">
        <f>AND(#REF!,"AAAAAFf1/8Q=")</f>
        <v>#REF!</v>
      </c>
      <c r="GP34" t="str">
        <f>AND(#REF!,"AAAAAFf1/8U=")</f>
        <v>#REF!</v>
      </c>
      <c r="GQ34" t="str">
        <f>AND(#REF!,"AAAAAFf1/8Y=")</f>
        <v>#REF!</v>
      </c>
      <c r="GR34" t="str">
        <f>AND(#REF!,"AAAAAFf1/8c=")</f>
        <v>#REF!</v>
      </c>
      <c r="GS34" t="str">
        <f>AND(#REF!,"AAAAAFf1/8g=")</f>
        <v>#REF!</v>
      </c>
      <c r="GT34" t="str">
        <f>AND(#REF!,"AAAAAFf1/8k=")</f>
        <v>#REF!</v>
      </c>
      <c r="GU34" t="str">
        <f>AND(#REF!,"AAAAAFf1/8o=")</f>
        <v>#REF!</v>
      </c>
      <c r="GV34" t="str">
        <f>AND(#REF!,"AAAAAFf1/8s=")</f>
        <v>#REF!</v>
      </c>
      <c r="GW34" t="str">
        <f>AND(#REF!,"AAAAAFf1/8w=")</f>
        <v>#REF!</v>
      </c>
      <c r="GX34" t="str">
        <f>AND(#REF!,"AAAAAFf1/80=")</f>
        <v>#REF!</v>
      </c>
      <c r="GY34" t="str">
        <f>AND(#REF!,"AAAAAFf1/84=")</f>
        <v>#REF!</v>
      </c>
      <c r="GZ34" t="str">
        <f>AND(#REF!,"AAAAAFf1/88=")</f>
        <v>#REF!</v>
      </c>
      <c r="HA34" t="str">
        <f>AND(#REF!,"AAAAAFf1/9A=")</f>
        <v>#REF!</v>
      </c>
      <c r="HB34" t="str">
        <f>AND(#REF!,"AAAAAFf1/9E=")</f>
        <v>#REF!</v>
      </c>
      <c r="HC34" t="str">
        <f>AND(#REF!,"AAAAAFf1/9I=")</f>
        <v>#REF!</v>
      </c>
      <c r="HD34" t="str">
        <f>AND(#REF!,"AAAAAFf1/9M=")</f>
        <v>#REF!</v>
      </c>
      <c r="HE34" t="str">
        <f>AND(#REF!,"AAAAAFf1/9Q=")</f>
        <v>#REF!</v>
      </c>
      <c r="HF34" t="str">
        <f>AND(#REF!,"AAAAAFf1/9U=")</f>
        <v>#REF!</v>
      </c>
      <c r="HG34" t="str">
        <f>AND(#REF!,"AAAAAFf1/9Y=")</f>
        <v>#REF!</v>
      </c>
      <c r="HH34" t="str">
        <f>AND(#REF!,"AAAAAFf1/9c=")</f>
        <v>#REF!</v>
      </c>
      <c r="HI34" t="str">
        <f>AND(#REF!,"AAAAAFf1/9g=")</f>
        <v>#REF!</v>
      </c>
      <c r="HJ34" t="str">
        <f>AND(#REF!,"AAAAAFf1/9k=")</f>
        <v>#REF!</v>
      </c>
      <c r="HK34" t="str">
        <f>AND(#REF!,"AAAAAFf1/9o=")</f>
        <v>#REF!</v>
      </c>
      <c r="HL34" t="str">
        <f>AND(#REF!,"AAAAAFf1/9s=")</f>
        <v>#REF!</v>
      </c>
      <c r="HM34" t="str">
        <f>AND(#REF!,"AAAAAFf1/9w=")</f>
        <v>#REF!</v>
      </c>
      <c r="HN34" t="str">
        <f>AND(#REF!,"AAAAAFf1/90=")</f>
        <v>#REF!</v>
      </c>
      <c r="HO34" t="str">
        <f>AND(#REF!,"AAAAAFf1/94=")</f>
        <v>#REF!</v>
      </c>
      <c r="HP34" t="str">
        <f>AND(#REF!,"AAAAAFf1/98=")</f>
        <v>#REF!</v>
      </c>
      <c r="HQ34" t="str">
        <f>AND(#REF!,"AAAAAFf1/+A=")</f>
        <v>#REF!</v>
      </c>
      <c r="HR34" t="str">
        <f>AND(#REF!,"AAAAAFf1/+E=")</f>
        <v>#REF!</v>
      </c>
      <c r="HS34" t="str">
        <f>AND(#REF!,"AAAAAFf1/+I=")</f>
        <v>#REF!</v>
      </c>
      <c r="HT34" t="str">
        <f>AND(#REF!,"AAAAAFf1/+M=")</f>
        <v>#REF!</v>
      </c>
      <c r="HU34" t="str">
        <f>AND(#REF!,"AAAAAFf1/+Q=")</f>
        <v>#REF!</v>
      </c>
      <c r="HV34" t="str">
        <f>AND(#REF!,"AAAAAFf1/+U=")</f>
        <v>#REF!</v>
      </c>
      <c r="HW34" t="str">
        <f>AND(#REF!,"AAAAAFf1/+Y=")</f>
        <v>#REF!</v>
      </c>
      <c r="HX34" t="str">
        <f>AND(#REF!,"AAAAAFf1/+c=")</f>
        <v>#REF!</v>
      </c>
      <c r="HY34" t="str">
        <f>AND(#REF!,"AAAAAFf1/+g=")</f>
        <v>#REF!</v>
      </c>
      <c r="HZ34" t="str">
        <f>AND(#REF!,"AAAAAFf1/+k=")</f>
        <v>#REF!</v>
      </c>
      <c r="IA34" t="str">
        <f>AND(#REF!,"AAAAAFf1/+o=")</f>
        <v>#REF!</v>
      </c>
      <c r="IB34" t="str">
        <f>AND(#REF!,"AAAAAFf1/+s=")</f>
        <v>#REF!</v>
      </c>
      <c r="IC34" t="str">
        <f>AND(#REF!,"AAAAAFf1/+w=")</f>
        <v>#REF!</v>
      </c>
      <c r="ID34" t="str">
        <f>AND(#REF!,"AAAAAFf1/+0=")</f>
        <v>#REF!</v>
      </c>
      <c r="IE34" t="str">
        <f>AND(#REF!,"AAAAAFf1/+4=")</f>
        <v>#REF!</v>
      </c>
      <c r="IF34" t="str">
        <f>AND(#REF!,"AAAAAFf1/+8=")</f>
        <v>#REF!</v>
      </c>
      <c r="IG34" t="str">
        <f>AND(#REF!,"AAAAAFf1//A=")</f>
        <v>#REF!</v>
      </c>
      <c r="IH34" t="str">
        <f>AND(#REF!,"AAAAAFf1//E=")</f>
        <v>#REF!</v>
      </c>
      <c r="II34" t="str">
        <f>AND(#REF!,"AAAAAFf1//I=")</f>
        <v>#REF!</v>
      </c>
      <c r="IJ34" t="str">
        <f>AND(#REF!,"AAAAAFf1//M=")</f>
        <v>#REF!</v>
      </c>
      <c r="IK34" t="str">
        <f>AND(#REF!,"AAAAAFf1//Q=")</f>
        <v>#REF!</v>
      </c>
      <c r="IL34" t="str">
        <f>AND(#REF!,"AAAAAFf1//U=")</f>
        <v>#REF!</v>
      </c>
      <c r="IM34" t="str">
        <f>AND(#REF!,"AAAAAFf1//Y=")</f>
        <v>#REF!</v>
      </c>
      <c r="IN34" t="str">
        <f>AND(#REF!,"AAAAAFf1//c=")</f>
        <v>#REF!</v>
      </c>
      <c r="IO34" t="str">
        <f>AND(#REF!,"AAAAAFf1//g=")</f>
        <v>#REF!</v>
      </c>
      <c r="IP34" t="str">
        <f>AND(#REF!,"AAAAAFf1//k=")</f>
        <v>#REF!</v>
      </c>
      <c r="IQ34" t="str">
        <f>AND(#REF!,"AAAAAFf1//o=")</f>
        <v>#REF!</v>
      </c>
      <c r="IR34" t="str">
        <f>AND(#REF!,"AAAAAFf1//s=")</f>
        <v>#REF!</v>
      </c>
      <c r="IS34" t="str">
        <f>AND(#REF!,"AAAAAFf1//w=")</f>
        <v>#REF!</v>
      </c>
      <c r="IT34" t="str">
        <f>AND(#REF!,"AAAAAFf1//0=")</f>
        <v>#REF!</v>
      </c>
      <c r="IU34" t="str">
        <f>AND(#REF!,"AAAAAFf1//4=")</f>
        <v>#REF!</v>
      </c>
      <c r="IV34" t="str">
        <f>AND(#REF!,"AAAAAFf1//8=")</f>
        <v>#REF!</v>
      </c>
    </row>
    <row r="35" ht="15.75" customHeight="1">
      <c r="A35" t="str">
        <f>AND(#REF!,"AAAAAFPrewA=")</f>
        <v>#REF!</v>
      </c>
      <c r="B35" t="str">
        <f>AND(#REF!,"AAAAAFPrewE=")</f>
        <v>#REF!</v>
      </c>
      <c r="C35" t="str">
        <f>AND(#REF!,"AAAAAFPrewI=")</f>
        <v>#REF!</v>
      </c>
      <c r="D35" t="str">
        <f>AND(#REF!,"AAAAAFPrewM=")</f>
        <v>#REF!</v>
      </c>
      <c r="E35" t="str">
        <f>AND(#REF!,"AAAAAFPrewQ=")</f>
        <v>#REF!</v>
      </c>
      <c r="F35" t="str">
        <f>AND(#REF!,"AAAAAFPrewU=")</f>
        <v>#REF!</v>
      </c>
      <c r="G35" t="str">
        <f>AND(#REF!,"AAAAAFPrewY=")</f>
        <v>#REF!</v>
      </c>
      <c r="H35" t="str">
        <f>AND(#REF!,"AAAAAFPrewc=")</f>
        <v>#REF!</v>
      </c>
      <c r="I35" t="str">
        <f>AND(#REF!,"AAAAAFPrewg=")</f>
        <v>#REF!</v>
      </c>
      <c r="J35" t="str">
        <f>AND(#REF!,"AAAAAFPrewk=")</f>
        <v>#REF!</v>
      </c>
      <c r="K35" t="str">
        <f>IF(#REF!,"AAAAAFPrewo=",0)</f>
        <v>#REF!</v>
      </c>
      <c r="L35" t="str">
        <f>AND(#REF!,"AAAAAFPrews=")</f>
        <v>#REF!</v>
      </c>
      <c r="M35" t="str">
        <f>AND(#REF!,"AAAAAFPreww=")</f>
        <v>#REF!</v>
      </c>
      <c r="N35" t="str">
        <f>AND(#REF!,"AAAAAFPrew0=")</f>
        <v>#REF!</v>
      </c>
      <c r="O35" t="str">
        <f>AND(#REF!,"AAAAAFPrew4=")</f>
        <v>#REF!</v>
      </c>
      <c r="P35" t="str">
        <f>AND(#REF!,"AAAAAFPrew8=")</f>
        <v>#REF!</v>
      </c>
      <c r="Q35" t="str">
        <f>AND(#REF!,"AAAAAFPrexA=")</f>
        <v>#REF!</v>
      </c>
      <c r="R35" t="str">
        <f>AND(#REF!,"AAAAAFPrexE=")</f>
        <v>#REF!</v>
      </c>
      <c r="S35" t="str">
        <f>AND(#REF!,"AAAAAFPrexI=")</f>
        <v>#REF!</v>
      </c>
      <c r="T35" t="str">
        <f>AND(#REF!,"AAAAAFPrexM=")</f>
        <v>#REF!</v>
      </c>
      <c r="U35" t="str">
        <f>AND(#REF!,"AAAAAFPrexQ=")</f>
        <v>#REF!</v>
      </c>
      <c r="V35" t="str">
        <f>AND(#REF!,"AAAAAFPrexU=")</f>
        <v>#REF!</v>
      </c>
      <c r="W35" t="str">
        <f>AND(#REF!,"AAAAAFPrexY=")</f>
        <v>#REF!</v>
      </c>
      <c r="X35" t="str">
        <f>AND(#REF!,"AAAAAFPrexc=")</f>
        <v>#REF!</v>
      </c>
      <c r="Y35" t="str">
        <f>AND(#REF!,"AAAAAFPrexg=")</f>
        <v>#REF!</v>
      </c>
      <c r="Z35" t="str">
        <f>AND(#REF!,"AAAAAFPrexk=")</f>
        <v>#REF!</v>
      </c>
      <c r="AA35" t="str">
        <f>AND(#REF!,"AAAAAFPrexo=")</f>
        <v>#REF!</v>
      </c>
      <c r="AB35" t="str">
        <f>AND(#REF!,"AAAAAFPrexs=")</f>
        <v>#REF!</v>
      </c>
      <c r="AC35" t="str">
        <f>AND(#REF!,"AAAAAFPrexw=")</f>
        <v>#REF!</v>
      </c>
      <c r="AD35" t="str">
        <f>AND(#REF!,"AAAAAFPrex0=")</f>
        <v>#REF!</v>
      </c>
      <c r="AE35" t="str">
        <f>AND(#REF!,"AAAAAFPrex4=")</f>
        <v>#REF!</v>
      </c>
      <c r="AF35" t="str">
        <f>AND(#REF!,"AAAAAFPrex8=")</f>
        <v>#REF!</v>
      </c>
      <c r="AG35" t="str">
        <f>AND(#REF!,"AAAAAFPreyA=")</f>
        <v>#REF!</v>
      </c>
      <c r="AH35" t="str">
        <f>AND(#REF!,"AAAAAFPreyE=")</f>
        <v>#REF!</v>
      </c>
      <c r="AI35" t="str">
        <f>AND(#REF!,"AAAAAFPreyI=")</f>
        <v>#REF!</v>
      </c>
      <c r="AJ35" t="str">
        <f>AND(#REF!,"AAAAAFPreyM=")</f>
        <v>#REF!</v>
      </c>
      <c r="AK35" t="str">
        <f>AND(#REF!,"AAAAAFPreyQ=")</f>
        <v>#REF!</v>
      </c>
      <c r="AL35" t="str">
        <f>AND(#REF!,"AAAAAFPreyU=")</f>
        <v>#REF!</v>
      </c>
      <c r="AM35" t="str">
        <f>AND(#REF!,"AAAAAFPreyY=")</f>
        <v>#REF!</v>
      </c>
      <c r="AN35" t="str">
        <f>AND(#REF!,"AAAAAFPreyc=")</f>
        <v>#REF!</v>
      </c>
      <c r="AO35" t="str">
        <f>AND(#REF!,"AAAAAFPreyg=")</f>
        <v>#REF!</v>
      </c>
      <c r="AP35" t="str">
        <f>AND(#REF!,"AAAAAFPreyk=")</f>
        <v>#REF!</v>
      </c>
      <c r="AQ35" t="str">
        <f>AND(#REF!,"AAAAAFPreyo=")</f>
        <v>#REF!</v>
      </c>
      <c r="AR35" t="str">
        <f>AND(#REF!,"AAAAAFPreys=")</f>
        <v>#REF!</v>
      </c>
      <c r="AS35" t="str">
        <f>AND(#REF!,"AAAAAFPreyw=")</f>
        <v>#REF!</v>
      </c>
      <c r="AT35" t="str">
        <f>AND(#REF!,"AAAAAFPrey0=")</f>
        <v>#REF!</v>
      </c>
      <c r="AU35" t="str">
        <f>AND(#REF!,"AAAAAFPrey4=")</f>
        <v>#REF!</v>
      </c>
      <c r="AV35" t="str">
        <f>AND(#REF!,"AAAAAFPrey8=")</f>
        <v>#REF!</v>
      </c>
      <c r="AW35" t="str">
        <f>AND(#REF!,"AAAAAFPrezA=")</f>
        <v>#REF!</v>
      </c>
      <c r="AX35" t="str">
        <f>AND(#REF!,"AAAAAFPrezE=")</f>
        <v>#REF!</v>
      </c>
      <c r="AY35" t="str">
        <f>AND(#REF!,"AAAAAFPrezI=")</f>
        <v>#REF!</v>
      </c>
      <c r="AZ35" t="str">
        <f>AND(#REF!,"AAAAAFPrezM=")</f>
        <v>#REF!</v>
      </c>
      <c r="BA35" t="str">
        <f>AND(#REF!,"AAAAAFPrezQ=")</f>
        <v>#REF!</v>
      </c>
      <c r="BB35" t="str">
        <f>AND(#REF!,"AAAAAFPrezU=")</f>
        <v>#REF!</v>
      </c>
      <c r="BC35" t="str">
        <f>AND(#REF!,"AAAAAFPrezY=")</f>
        <v>#REF!</v>
      </c>
      <c r="BD35" t="str">
        <f>AND(#REF!,"AAAAAFPrezc=")</f>
        <v>#REF!</v>
      </c>
      <c r="BE35" t="str">
        <f>AND(#REF!,"AAAAAFPrezg=")</f>
        <v>#REF!</v>
      </c>
      <c r="BF35" t="str">
        <f>AND(#REF!,"AAAAAFPrezk=")</f>
        <v>#REF!</v>
      </c>
      <c r="BG35" t="str">
        <f>AND(#REF!,"AAAAAFPrezo=")</f>
        <v>#REF!</v>
      </c>
      <c r="BH35" t="str">
        <f>AND(#REF!,"AAAAAFPrezs=")</f>
        <v>#REF!</v>
      </c>
      <c r="BI35" t="str">
        <f>AND(#REF!,"AAAAAFPrezw=")</f>
        <v>#REF!</v>
      </c>
      <c r="BJ35" t="str">
        <f>AND(#REF!,"AAAAAFPrez0=")</f>
        <v>#REF!</v>
      </c>
      <c r="BK35" t="str">
        <f>AND(#REF!,"AAAAAFPrez4=")</f>
        <v>#REF!</v>
      </c>
      <c r="BL35" t="str">
        <f>AND(#REF!,"AAAAAFPrez8=")</f>
        <v>#REF!</v>
      </c>
      <c r="BM35" t="str">
        <f>AND(#REF!,"AAAAAFPre0A=")</f>
        <v>#REF!</v>
      </c>
      <c r="BN35" t="str">
        <f>AND(#REF!,"AAAAAFPre0E=")</f>
        <v>#REF!</v>
      </c>
      <c r="BO35" t="str">
        <f>AND(#REF!,"AAAAAFPre0I=")</f>
        <v>#REF!</v>
      </c>
      <c r="BP35" t="str">
        <f>AND(#REF!,"AAAAAFPre0M=")</f>
        <v>#REF!</v>
      </c>
      <c r="BQ35" t="str">
        <f>AND(#REF!,"AAAAAFPre0Q=")</f>
        <v>#REF!</v>
      </c>
      <c r="BR35" t="str">
        <f>AND(#REF!,"AAAAAFPre0U=")</f>
        <v>#REF!</v>
      </c>
      <c r="BS35" t="str">
        <f>AND(#REF!,"AAAAAFPre0Y=")</f>
        <v>#REF!</v>
      </c>
      <c r="BT35" t="str">
        <f>AND(#REF!,"AAAAAFPre0c=")</f>
        <v>#REF!</v>
      </c>
      <c r="BU35" t="str">
        <f>AND(#REF!,"AAAAAFPre0g=")</f>
        <v>#REF!</v>
      </c>
      <c r="BV35" t="str">
        <f>AND(#REF!,"AAAAAFPre0k=")</f>
        <v>#REF!</v>
      </c>
      <c r="BW35" t="str">
        <f>AND(#REF!,"AAAAAFPre0o=")</f>
        <v>#REF!</v>
      </c>
      <c r="BX35" t="str">
        <f>AND(#REF!,"AAAAAFPre0s=")</f>
        <v>#REF!</v>
      </c>
      <c r="BY35" t="str">
        <f>AND(#REF!,"AAAAAFPre0w=")</f>
        <v>#REF!</v>
      </c>
      <c r="BZ35" t="str">
        <f>AND(#REF!,"AAAAAFPre00=")</f>
        <v>#REF!</v>
      </c>
      <c r="CA35" t="str">
        <f>AND(#REF!,"AAAAAFPre04=")</f>
        <v>#REF!</v>
      </c>
      <c r="CB35" t="str">
        <f>AND(#REF!,"AAAAAFPre08=")</f>
        <v>#REF!</v>
      </c>
      <c r="CC35" t="str">
        <f>AND(#REF!,"AAAAAFPre1A=")</f>
        <v>#REF!</v>
      </c>
      <c r="CD35" t="str">
        <f>AND(#REF!,"AAAAAFPre1E=")</f>
        <v>#REF!</v>
      </c>
      <c r="CE35" t="str">
        <f>AND(#REF!,"AAAAAFPre1I=")</f>
        <v>#REF!</v>
      </c>
      <c r="CF35" t="str">
        <f>AND(#REF!,"AAAAAFPre1M=")</f>
        <v>#REF!</v>
      </c>
      <c r="CG35" t="str">
        <f>AND(#REF!,"AAAAAFPre1Q=")</f>
        <v>#REF!</v>
      </c>
      <c r="CH35" t="str">
        <f>AND(#REF!,"AAAAAFPre1U=")</f>
        <v>#REF!</v>
      </c>
      <c r="CI35" t="str">
        <f>IF(#REF!,"AAAAAFPre1Y=",0)</f>
        <v>#REF!</v>
      </c>
      <c r="CJ35" t="str">
        <f>AND(#REF!,"AAAAAFPre1c=")</f>
        <v>#REF!</v>
      </c>
      <c r="CK35" t="str">
        <f>AND(#REF!,"AAAAAFPre1g=")</f>
        <v>#REF!</v>
      </c>
      <c r="CL35" t="str">
        <f>AND(#REF!,"AAAAAFPre1k=")</f>
        <v>#REF!</v>
      </c>
      <c r="CM35" t="str">
        <f>AND(#REF!,"AAAAAFPre1o=")</f>
        <v>#REF!</v>
      </c>
      <c r="CN35" t="str">
        <f>AND(#REF!,"AAAAAFPre1s=")</f>
        <v>#REF!</v>
      </c>
      <c r="CO35" t="str">
        <f>AND(#REF!,"AAAAAFPre1w=")</f>
        <v>#REF!</v>
      </c>
      <c r="CP35" t="str">
        <f>AND(#REF!,"AAAAAFPre10=")</f>
        <v>#REF!</v>
      </c>
      <c r="CQ35" t="str">
        <f>AND(#REF!,"AAAAAFPre14=")</f>
        <v>#REF!</v>
      </c>
      <c r="CR35" t="str">
        <f>AND(#REF!,"AAAAAFPre18=")</f>
        <v>#REF!</v>
      </c>
      <c r="CS35" t="str">
        <f>AND(#REF!,"AAAAAFPre2A=")</f>
        <v>#REF!</v>
      </c>
      <c r="CT35" t="str">
        <f>AND(#REF!,"AAAAAFPre2E=")</f>
        <v>#REF!</v>
      </c>
      <c r="CU35" t="str">
        <f>AND(#REF!,"AAAAAFPre2I=")</f>
        <v>#REF!</v>
      </c>
      <c r="CV35" t="str">
        <f>AND(#REF!,"AAAAAFPre2M=")</f>
        <v>#REF!</v>
      </c>
      <c r="CW35" t="str">
        <f>AND(#REF!,"AAAAAFPre2Q=")</f>
        <v>#REF!</v>
      </c>
      <c r="CX35" t="str">
        <f>AND(#REF!,"AAAAAFPre2U=")</f>
        <v>#REF!</v>
      </c>
      <c r="CY35" t="str">
        <f>AND(#REF!,"AAAAAFPre2Y=")</f>
        <v>#REF!</v>
      </c>
      <c r="CZ35" t="str">
        <f>AND(#REF!,"AAAAAFPre2c=")</f>
        <v>#REF!</v>
      </c>
      <c r="DA35" t="str">
        <f>AND(#REF!,"AAAAAFPre2g=")</f>
        <v>#REF!</v>
      </c>
      <c r="DB35" t="str">
        <f>AND(#REF!,"AAAAAFPre2k=")</f>
        <v>#REF!</v>
      </c>
      <c r="DC35" t="str">
        <f>AND(#REF!,"AAAAAFPre2o=")</f>
        <v>#REF!</v>
      </c>
      <c r="DD35" t="str">
        <f>AND(#REF!,"AAAAAFPre2s=")</f>
        <v>#REF!</v>
      </c>
      <c r="DE35" t="str">
        <f>AND(#REF!,"AAAAAFPre2w=")</f>
        <v>#REF!</v>
      </c>
      <c r="DF35" t="str">
        <f>AND(#REF!,"AAAAAFPre20=")</f>
        <v>#REF!</v>
      </c>
      <c r="DG35" t="str">
        <f>AND(#REF!,"AAAAAFPre24=")</f>
        <v>#REF!</v>
      </c>
      <c r="DH35" t="str">
        <f>AND(#REF!,"AAAAAFPre28=")</f>
        <v>#REF!</v>
      </c>
      <c r="DI35" t="str">
        <f>AND(#REF!,"AAAAAFPre3A=")</f>
        <v>#REF!</v>
      </c>
      <c r="DJ35" t="str">
        <f>AND(#REF!,"AAAAAFPre3E=")</f>
        <v>#REF!</v>
      </c>
      <c r="DK35" t="str">
        <f>AND(#REF!,"AAAAAFPre3I=")</f>
        <v>#REF!</v>
      </c>
      <c r="DL35" t="str">
        <f>AND(#REF!,"AAAAAFPre3M=")</f>
        <v>#REF!</v>
      </c>
      <c r="DM35" t="str">
        <f>AND(#REF!,"AAAAAFPre3Q=")</f>
        <v>#REF!</v>
      </c>
      <c r="DN35" t="str">
        <f>AND(#REF!,"AAAAAFPre3U=")</f>
        <v>#REF!</v>
      </c>
      <c r="DO35" t="str">
        <f>AND(#REF!,"AAAAAFPre3Y=")</f>
        <v>#REF!</v>
      </c>
      <c r="DP35" t="str">
        <f>AND(#REF!,"AAAAAFPre3c=")</f>
        <v>#REF!</v>
      </c>
      <c r="DQ35" t="str">
        <f>AND(#REF!,"AAAAAFPre3g=")</f>
        <v>#REF!</v>
      </c>
      <c r="DR35" t="str">
        <f>AND(#REF!,"AAAAAFPre3k=")</f>
        <v>#REF!</v>
      </c>
      <c r="DS35" t="str">
        <f>AND(#REF!,"AAAAAFPre3o=")</f>
        <v>#REF!</v>
      </c>
      <c r="DT35" t="str">
        <f>AND(#REF!,"AAAAAFPre3s=")</f>
        <v>#REF!</v>
      </c>
      <c r="DU35" t="str">
        <f>AND(#REF!,"AAAAAFPre3w=")</f>
        <v>#REF!</v>
      </c>
      <c r="DV35" t="str">
        <f>AND(#REF!,"AAAAAFPre30=")</f>
        <v>#REF!</v>
      </c>
      <c r="DW35" t="str">
        <f>AND(#REF!,"AAAAAFPre34=")</f>
        <v>#REF!</v>
      </c>
      <c r="DX35" t="str">
        <f>AND(#REF!,"AAAAAFPre38=")</f>
        <v>#REF!</v>
      </c>
      <c r="DY35" t="str">
        <f>AND(#REF!,"AAAAAFPre4A=")</f>
        <v>#REF!</v>
      </c>
      <c r="DZ35" t="str">
        <f>AND(#REF!,"AAAAAFPre4E=")</f>
        <v>#REF!</v>
      </c>
      <c r="EA35" t="str">
        <f>AND(#REF!,"AAAAAFPre4I=")</f>
        <v>#REF!</v>
      </c>
      <c r="EB35" t="str">
        <f>AND(#REF!,"AAAAAFPre4M=")</f>
        <v>#REF!</v>
      </c>
      <c r="EC35" t="str">
        <f>AND(#REF!,"AAAAAFPre4Q=")</f>
        <v>#REF!</v>
      </c>
      <c r="ED35" t="str">
        <f>AND(#REF!,"AAAAAFPre4U=")</f>
        <v>#REF!</v>
      </c>
      <c r="EE35" t="str">
        <f>AND(#REF!,"AAAAAFPre4Y=")</f>
        <v>#REF!</v>
      </c>
      <c r="EF35" t="str">
        <f>AND(#REF!,"AAAAAFPre4c=")</f>
        <v>#REF!</v>
      </c>
      <c r="EG35" t="str">
        <f>AND(#REF!,"AAAAAFPre4g=")</f>
        <v>#REF!</v>
      </c>
      <c r="EH35" t="str">
        <f>AND(#REF!,"AAAAAFPre4k=")</f>
        <v>#REF!</v>
      </c>
      <c r="EI35" t="str">
        <f>AND(#REF!,"AAAAAFPre4o=")</f>
        <v>#REF!</v>
      </c>
      <c r="EJ35" t="str">
        <f>AND(#REF!,"AAAAAFPre4s=")</f>
        <v>#REF!</v>
      </c>
      <c r="EK35" t="str">
        <f>AND(#REF!,"AAAAAFPre4w=")</f>
        <v>#REF!</v>
      </c>
      <c r="EL35" t="str">
        <f>AND(#REF!,"AAAAAFPre40=")</f>
        <v>#REF!</v>
      </c>
      <c r="EM35" t="str">
        <f>AND(#REF!,"AAAAAFPre44=")</f>
        <v>#REF!</v>
      </c>
      <c r="EN35" t="str">
        <f>AND(#REF!,"AAAAAFPre48=")</f>
        <v>#REF!</v>
      </c>
      <c r="EO35" t="str">
        <f>AND(#REF!,"AAAAAFPre5A=")</f>
        <v>#REF!</v>
      </c>
      <c r="EP35" t="str">
        <f>AND(#REF!,"AAAAAFPre5E=")</f>
        <v>#REF!</v>
      </c>
      <c r="EQ35" t="str">
        <f>AND(#REF!,"AAAAAFPre5I=")</f>
        <v>#REF!</v>
      </c>
      <c r="ER35" t="str">
        <f>AND(#REF!,"AAAAAFPre5M=")</f>
        <v>#REF!</v>
      </c>
      <c r="ES35" t="str">
        <f>AND(#REF!,"AAAAAFPre5Q=")</f>
        <v>#REF!</v>
      </c>
      <c r="ET35" t="str">
        <f>AND(#REF!,"AAAAAFPre5U=")</f>
        <v>#REF!</v>
      </c>
      <c r="EU35" t="str">
        <f>AND(#REF!,"AAAAAFPre5Y=")</f>
        <v>#REF!</v>
      </c>
      <c r="EV35" t="str">
        <f>AND(#REF!,"AAAAAFPre5c=")</f>
        <v>#REF!</v>
      </c>
      <c r="EW35" t="str">
        <f>AND(#REF!,"AAAAAFPre5g=")</f>
        <v>#REF!</v>
      </c>
      <c r="EX35" t="str">
        <f>AND(#REF!,"AAAAAFPre5k=")</f>
        <v>#REF!</v>
      </c>
      <c r="EY35" t="str">
        <f>AND(#REF!,"AAAAAFPre5o=")</f>
        <v>#REF!</v>
      </c>
      <c r="EZ35" t="str">
        <f>AND(#REF!,"AAAAAFPre5s=")</f>
        <v>#REF!</v>
      </c>
      <c r="FA35" t="str">
        <f>AND(#REF!,"AAAAAFPre5w=")</f>
        <v>#REF!</v>
      </c>
      <c r="FB35" t="str">
        <f>AND(#REF!,"AAAAAFPre50=")</f>
        <v>#REF!</v>
      </c>
      <c r="FC35" t="str">
        <f>AND(#REF!,"AAAAAFPre54=")</f>
        <v>#REF!</v>
      </c>
      <c r="FD35" t="str">
        <f>AND(#REF!,"AAAAAFPre58=")</f>
        <v>#REF!</v>
      </c>
      <c r="FE35" t="str">
        <f>AND(#REF!,"AAAAAFPre6A=")</f>
        <v>#REF!</v>
      </c>
      <c r="FF35" t="str">
        <f>AND(#REF!,"AAAAAFPre6E=")</f>
        <v>#REF!</v>
      </c>
      <c r="FG35" t="str">
        <f>IF(#REF!,"AAAAAFPre6I=",0)</f>
        <v>#REF!</v>
      </c>
      <c r="FH35" t="str">
        <f>AND(#REF!,"AAAAAFPre6M=")</f>
        <v>#REF!</v>
      </c>
      <c r="FI35" t="str">
        <f>AND(#REF!,"AAAAAFPre6Q=")</f>
        <v>#REF!</v>
      </c>
      <c r="FJ35" t="str">
        <f>AND(#REF!,"AAAAAFPre6U=")</f>
        <v>#REF!</v>
      </c>
      <c r="FK35" t="str">
        <f>AND(#REF!,"AAAAAFPre6Y=")</f>
        <v>#REF!</v>
      </c>
      <c r="FL35" t="str">
        <f>AND(#REF!,"AAAAAFPre6c=")</f>
        <v>#REF!</v>
      </c>
      <c r="FM35" t="str">
        <f>AND(#REF!,"AAAAAFPre6g=")</f>
        <v>#REF!</v>
      </c>
      <c r="FN35" t="str">
        <f>AND(#REF!,"AAAAAFPre6k=")</f>
        <v>#REF!</v>
      </c>
      <c r="FO35" t="str">
        <f>AND(#REF!,"AAAAAFPre6o=")</f>
        <v>#REF!</v>
      </c>
      <c r="FP35" t="str">
        <f>AND(#REF!,"AAAAAFPre6s=")</f>
        <v>#REF!</v>
      </c>
      <c r="FQ35" t="str">
        <f>AND(#REF!,"AAAAAFPre6w=")</f>
        <v>#REF!</v>
      </c>
      <c r="FR35" t="str">
        <f>AND(#REF!,"AAAAAFPre60=")</f>
        <v>#REF!</v>
      </c>
      <c r="FS35" t="str">
        <f>AND(#REF!,"AAAAAFPre64=")</f>
        <v>#REF!</v>
      </c>
      <c r="FT35" t="str">
        <f>AND(#REF!,"AAAAAFPre68=")</f>
        <v>#REF!</v>
      </c>
      <c r="FU35" t="str">
        <f>AND(#REF!,"AAAAAFPre7A=")</f>
        <v>#REF!</v>
      </c>
      <c r="FV35" t="str">
        <f>AND(#REF!,"AAAAAFPre7E=")</f>
        <v>#REF!</v>
      </c>
      <c r="FW35" t="str">
        <f>AND(#REF!,"AAAAAFPre7I=")</f>
        <v>#REF!</v>
      </c>
      <c r="FX35" t="str">
        <f>AND(#REF!,"AAAAAFPre7M=")</f>
        <v>#REF!</v>
      </c>
      <c r="FY35" t="str">
        <f>AND(#REF!,"AAAAAFPre7Q=")</f>
        <v>#REF!</v>
      </c>
      <c r="FZ35" t="str">
        <f>AND(#REF!,"AAAAAFPre7U=")</f>
        <v>#REF!</v>
      </c>
      <c r="GA35" t="str">
        <f>AND(#REF!,"AAAAAFPre7Y=")</f>
        <v>#REF!</v>
      </c>
      <c r="GB35" t="str">
        <f>AND(#REF!,"AAAAAFPre7c=")</f>
        <v>#REF!</v>
      </c>
      <c r="GC35" t="str">
        <f>AND(#REF!,"AAAAAFPre7g=")</f>
        <v>#REF!</v>
      </c>
      <c r="GD35" t="str">
        <f>AND(#REF!,"AAAAAFPre7k=")</f>
        <v>#REF!</v>
      </c>
      <c r="GE35" t="str">
        <f>AND(#REF!,"AAAAAFPre7o=")</f>
        <v>#REF!</v>
      </c>
      <c r="GF35" t="str">
        <f>AND(#REF!,"AAAAAFPre7s=")</f>
        <v>#REF!</v>
      </c>
      <c r="GG35" t="str">
        <f>AND(#REF!,"AAAAAFPre7w=")</f>
        <v>#REF!</v>
      </c>
      <c r="GH35" t="str">
        <f>AND(#REF!,"AAAAAFPre70=")</f>
        <v>#REF!</v>
      </c>
      <c r="GI35" t="str">
        <f>AND(#REF!,"AAAAAFPre74=")</f>
        <v>#REF!</v>
      </c>
      <c r="GJ35" t="str">
        <f>AND(#REF!,"AAAAAFPre78=")</f>
        <v>#REF!</v>
      </c>
      <c r="GK35" t="str">
        <f>AND(#REF!,"AAAAAFPre8A=")</f>
        <v>#REF!</v>
      </c>
      <c r="GL35" t="str">
        <f>AND(#REF!,"AAAAAFPre8E=")</f>
        <v>#REF!</v>
      </c>
      <c r="GM35" t="str">
        <f>AND(#REF!,"AAAAAFPre8I=")</f>
        <v>#REF!</v>
      </c>
      <c r="GN35" t="str">
        <f>AND(#REF!,"AAAAAFPre8M=")</f>
        <v>#REF!</v>
      </c>
      <c r="GO35" t="str">
        <f>AND(#REF!,"AAAAAFPre8Q=")</f>
        <v>#REF!</v>
      </c>
      <c r="GP35" t="str">
        <f>AND(#REF!,"AAAAAFPre8U=")</f>
        <v>#REF!</v>
      </c>
      <c r="GQ35" t="str">
        <f>AND(#REF!,"AAAAAFPre8Y=")</f>
        <v>#REF!</v>
      </c>
      <c r="GR35" t="str">
        <f>AND(#REF!,"AAAAAFPre8c=")</f>
        <v>#REF!</v>
      </c>
      <c r="GS35" t="str">
        <f>AND(#REF!,"AAAAAFPre8g=")</f>
        <v>#REF!</v>
      </c>
      <c r="GT35" t="str">
        <f>AND(#REF!,"AAAAAFPre8k=")</f>
        <v>#REF!</v>
      </c>
      <c r="GU35" t="str">
        <f>AND(#REF!,"AAAAAFPre8o=")</f>
        <v>#REF!</v>
      </c>
      <c r="GV35" t="str">
        <f>AND(#REF!,"AAAAAFPre8s=")</f>
        <v>#REF!</v>
      </c>
      <c r="GW35" t="str">
        <f>AND(#REF!,"AAAAAFPre8w=")</f>
        <v>#REF!</v>
      </c>
      <c r="GX35" t="str">
        <f>AND(#REF!,"AAAAAFPre80=")</f>
        <v>#REF!</v>
      </c>
      <c r="GY35" t="str">
        <f>AND(#REF!,"AAAAAFPre84=")</f>
        <v>#REF!</v>
      </c>
      <c r="GZ35" t="str">
        <f>AND(#REF!,"AAAAAFPre88=")</f>
        <v>#REF!</v>
      </c>
      <c r="HA35" t="str">
        <f>AND(#REF!,"AAAAAFPre9A=")</f>
        <v>#REF!</v>
      </c>
      <c r="HB35" t="str">
        <f>AND(#REF!,"AAAAAFPre9E=")</f>
        <v>#REF!</v>
      </c>
      <c r="HC35" t="str">
        <f>AND(#REF!,"AAAAAFPre9I=")</f>
        <v>#REF!</v>
      </c>
      <c r="HD35" t="str">
        <f>AND(#REF!,"AAAAAFPre9M=")</f>
        <v>#REF!</v>
      </c>
      <c r="HE35" t="str">
        <f>AND(#REF!,"AAAAAFPre9Q=")</f>
        <v>#REF!</v>
      </c>
      <c r="HF35" t="str">
        <f>AND(#REF!,"AAAAAFPre9U=")</f>
        <v>#REF!</v>
      </c>
      <c r="HG35" t="str">
        <f>AND(#REF!,"AAAAAFPre9Y=")</f>
        <v>#REF!</v>
      </c>
      <c r="HH35" t="str">
        <f>AND(#REF!,"AAAAAFPre9c=")</f>
        <v>#REF!</v>
      </c>
      <c r="HI35" t="str">
        <f>AND(#REF!,"AAAAAFPre9g=")</f>
        <v>#REF!</v>
      </c>
      <c r="HJ35" t="str">
        <f>AND(#REF!,"AAAAAFPre9k=")</f>
        <v>#REF!</v>
      </c>
      <c r="HK35" t="str">
        <f>AND(#REF!,"AAAAAFPre9o=")</f>
        <v>#REF!</v>
      </c>
      <c r="HL35" t="str">
        <f>AND(#REF!,"AAAAAFPre9s=")</f>
        <v>#REF!</v>
      </c>
      <c r="HM35" t="str">
        <f>AND(#REF!,"AAAAAFPre9w=")</f>
        <v>#REF!</v>
      </c>
      <c r="HN35" t="str">
        <f>AND(#REF!,"AAAAAFPre90=")</f>
        <v>#REF!</v>
      </c>
      <c r="HO35" t="str">
        <f>AND(#REF!,"AAAAAFPre94=")</f>
        <v>#REF!</v>
      </c>
      <c r="HP35" t="str">
        <f>AND(#REF!,"AAAAAFPre98=")</f>
        <v>#REF!</v>
      </c>
      <c r="HQ35" t="str">
        <f>AND(#REF!,"AAAAAFPre+A=")</f>
        <v>#REF!</v>
      </c>
      <c r="HR35" t="str">
        <f>AND(#REF!,"AAAAAFPre+E=")</f>
        <v>#REF!</v>
      </c>
      <c r="HS35" t="str">
        <f>AND(#REF!,"AAAAAFPre+I=")</f>
        <v>#REF!</v>
      </c>
      <c r="HT35" t="str">
        <f>AND(#REF!,"AAAAAFPre+M=")</f>
        <v>#REF!</v>
      </c>
      <c r="HU35" t="str">
        <f>AND(#REF!,"AAAAAFPre+Q=")</f>
        <v>#REF!</v>
      </c>
      <c r="HV35" t="str">
        <f>AND(#REF!,"AAAAAFPre+U=")</f>
        <v>#REF!</v>
      </c>
      <c r="HW35" t="str">
        <f>AND(#REF!,"AAAAAFPre+Y=")</f>
        <v>#REF!</v>
      </c>
      <c r="HX35" t="str">
        <f>AND(#REF!,"AAAAAFPre+c=")</f>
        <v>#REF!</v>
      </c>
      <c r="HY35" t="str">
        <f>AND(#REF!,"AAAAAFPre+g=")</f>
        <v>#REF!</v>
      </c>
      <c r="HZ35" t="str">
        <f>AND(#REF!,"AAAAAFPre+k=")</f>
        <v>#REF!</v>
      </c>
      <c r="IA35" t="str">
        <f>AND(#REF!,"AAAAAFPre+o=")</f>
        <v>#REF!</v>
      </c>
      <c r="IB35" t="str">
        <f>AND(#REF!,"AAAAAFPre+s=")</f>
        <v>#REF!</v>
      </c>
      <c r="IC35" t="str">
        <f>AND(#REF!,"AAAAAFPre+w=")</f>
        <v>#REF!</v>
      </c>
      <c r="ID35" t="str">
        <f>AND(#REF!,"AAAAAFPre+0=")</f>
        <v>#REF!</v>
      </c>
      <c r="IE35" t="str">
        <f>IF(#REF!,"AAAAAFPre+4=",0)</f>
        <v>#REF!</v>
      </c>
      <c r="IF35" t="str">
        <f>AND(#REF!,"AAAAAFPre+8=")</f>
        <v>#REF!</v>
      </c>
      <c r="IG35" t="str">
        <f>AND(#REF!,"AAAAAFPre/A=")</f>
        <v>#REF!</v>
      </c>
      <c r="IH35" t="str">
        <f>AND(#REF!,"AAAAAFPre/E=")</f>
        <v>#REF!</v>
      </c>
      <c r="II35" t="str">
        <f>AND(#REF!,"AAAAAFPre/I=")</f>
        <v>#REF!</v>
      </c>
      <c r="IJ35" t="str">
        <f>AND(#REF!,"AAAAAFPre/M=")</f>
        <v>#REF!</v>
      </c>
      <c r="IK35" t="str">
        <f>AND(#REF!,"AAAAAFPre/Q=")</f>
        <v>#REF!</v>
      </c>
      <c r="IL35" t="str">
        <f>AND(#REF!,"AAAAAFPre/U=")</f>
        <v>#REF!</v>
      </c>
      <c r="IM35" t="str">
        <f>AND(#REF!,"AAAAAFPre/Y=")</f>
        <v>#REF!</v>
      </c>
      <c r="IN35" t="str">
        <f>AND(#REF!,"AAAAAFPre/c=")</f>
        <v>#REF!</v>
      </c>
      <c r="IO35" t="str">
        <f>AND(#REF!,"AAAAAFPre/g=")</f>
        <v>#REF!</v>
      </c>
      <c r="IP35" t="str">
        <f>AND(#REF!,"AAAAAFPre/k=")</f>
        <v>#REF!</v>
      </c>
      <c r="IQ35" t="str">
        <f>AND(#REF!,"AAAAAFPre/o=")</f>
        <v>#REF!</v>
      </c>
      <c r="IR35" t="str">
        <f>AND(#REF!,"AAAAAFPre/s=")</f>
        <v>#REF!</v>
      </c>
      <c r="IS35" t="str">
        <f>AND(#REF!,"AAAAAFPre/w=")</f>
        <v>#REF!</v>
      </c>
      <c r="IT35" t="str">
        <f>AND(#REF!,"AAAAAFPre/0=")</f>
        <v>#REF!</v>
      </c>
      <c r="IU35" t="str">
        <f>AND(#REF!,"AAAAAFPre/4=")</f>
        <v>#REF!</v>
      </c>
      <c r="IV35" t="str">
        <f>AND(#REF!,"AAAAAFPre/8=")</f>
        <v>#REF!</v>
      </c>
    </row>
    <row r="36" ht="15.75" customHeight="1">
      <c r="A36" t="str">
        <f>AND(#REF!,"AAAAAFs9dwA=")</f>
        <v>#REF!</v>
      </c>
      <c r="B36" t="str">
        <f>AND(#REF!,"AAAAAFs9dwE=")</f>
        <v>#REF!</v>
      </c>
      <c r="C36" t="str">
        <f>AND(#REF!,"AAAAAFs9dwI=")</f>
        <v>#REF!</v>
      </c>
      <c r="D36" t="str">
        <f>AND(#REF!,"AAAAAFs9dwM=")</f>
        <v>#REF!</v>
      </c>
      <c r="E36" t="str">
        <f>AND(#REF!,"AAAAAFs9dwQ=")</f>
        <v>#REF!</v>
      </c>
      <c r="F36" t="str">
        <f>AND(#REF!,"AAAAAFs9dwU=")</f>
        <v>#REF!</v>
      </c>
      <c r="G36" t="str">
        <f>AND(#REF!,"AAAAAFs9dwY=")</f>
        <v>#REF!</v>
      </c>
      <c r="H36" t="str">
        <f>AND(#REF!,"AAAAAFs9dwc=")</f>
        <v>#REF!</v>
      </c>
      <c r="I36" t="str">
        <f>AND(#REF!,"AAAAAFs9dwg=")</f>
        <v>#REF!</v>
      </c>
      <c r="J36" t="str">
        <f>AND(#REF!,"AAAAAFs9dwk=")</f>
        <v>#REF!</v>
      </c>
      <c r="K36" t="str">
        <f>AND(#REF!,"AAAAAFs9dwo=")</f>
        <v>#REF!</v>
      </c>
      <c r="L36" t="str">
        <f>AND(#REF!,"AAAAAFs9dws=")</f>
        <v>#REF!</v>
      </c>
      <c r="M36" t="str">
        <f>AND(#REF!,"AAAAAFs9dww=")</f>
        <v>#REF!</v>
      </c>
      <c r="N36" t="str">
        <f>AND(#REF!,"AAAAAFs9dw0=")</f>
        <v>#REF!</v>
      </c>
      <c r="O36" t="str">
        <f>AND(#REF!,"AAAAAFs9dw4=")</f>
        <v>#REF!</v>
      </c>
      <c r="P36" t="str">
        <f>AND(#REF!,"AAAAAFs9dw8=")</f>
        <v>#REF!</v>
      </c>
      <c r="Q36" t="str">
        <f>AND(#REF!,"AAAAAFs9dxA=")</f>
        <v>#REF!</v>
      </c>
      <c r="R36" t="str">
        <f>AND(#REF!,"AAAAAFs9dxE=")</f>
        <v>#REF!</v>
      </c>
      <c r="S36" t="str">
        <f>AND(#REF!,"AAAAAFs9dxI=")</f>
        <v>#REF!</v>
      </c>
      <c r="T36" t="str">
        <f>AND(#REF!,"AAAAAFs9dxM=")</f>
        <v>#REF!</v>
      </c>
      <c r="U36" t="str">
        <f>AND(#REF!,"AAAAAFs9dxQ=")</f>
        <v>#REF!</v>
      </c>
      <c r="V36" t="str">
        <f>AND(#REF!,"AAAAAFs9dxU=")</f>
        <v>#REF!</v>
      </c>
      <c r="W36" t="str">
        <f>AND(#REF!,"AAAAAFs9dxY=")</f>
        <v>#REF!</v>
      </c>
      <c r="X36" t="str">
        <f>AND(#REF!,"AAAAAFs9dxc=")</f>
        <v>#REF!</v>
      </c>
      <c r="Y36" t="str">
        <f>AND(#REF!,"AAAAAFs9dxg=")</f>
        <v>#REF!</v>
      </c>
      <c r="Z36" t="str">
        <f>AND(#REF!,"AAAAAFs9dxk=")</f>
        <v>#REF!</v>
      </c>
      <c r="AA36" t="str">
        <f>AND(#REF!,"AAAAAFs9dxo=")</f>
        <v>#REF!</v>
      </c>
      <c r="AB36" t="str">
        <f>AND(#REF!,"AAAAAFs9dxs=")</f>
        <v>#REF!</v>
      </c>
      <c r="AC36" t="str">
        <f>AND(#REF!,"AAAAAFs9dxw=")</f>
        <v>#REF!</v>
      </c>
      <c r="AD36" t="str">
        <f>AND(#REF!,"AAAAAFs9dx0=")</f>
        <v>#REF!</v>
      </c>
      <c r="AE36" t="str">
        <f>AND(#REF!,"AAAAAFs9dx4=")</f>
        <v>#REF!</v>
      </c>
      <c r="AF36" t="str">
        <f>AND(#REF!,"AAAAAFs9dx8=")</f>
        <v>#REF!</v>
      </c>
      <c r="AG36" t="str">
        <f>AND(#REF!,"AAAAAFs9dyA=")</f>
        <v>#REF!</v>
      </c>
      <c r="AH36" t="str">
        <f>AND(#REF!,"AAAAAFs9dyE=")</f>
        <v>#REF!</v>
      </c>
      <c r="AI36" t="str">
        <f>AND(#REF!,"AAAAAFs9dyI=")</f>
        <v>#REF!</v>
      </c>
      <c r="AJ36" t="str">
        <f>AND(#REF!,"AAAAAFs9dyM=")</f>
        <v>#REF!</v>
      </c>
      <c r="AK36" t="str">
        <f>AND(#REF!,"AAAAAFs9dyQ=")</f>
        <v>#REF!</v>
      </c>
      <c r="AL36" t="str">
        <f>AND(#REF!,"AAAAAFs9dyU=")</f>
        <v>#REF!</v>
      </c>
      <c r="AM36" t="str">
        <f>AND(#REF!,"AAAAAFs9dyY=")</f>
        <v>#REF!</v>
      </c>
      <c r="AN36" t="str">
        <f>AND(#REF!,"AAAAAFs9dyc=")</f>
        <v>#REF!</v>
      </c>
      <c r="AO36" t="str">
        <f>AND(#REF!,"AAAAAFs9dyg=")</f>
        <v>#REF!</v>
      </c>
      <c r="AP36" t="str">
        <f>AND(#REF!,"AAAAAFs9dyk=")</f>
        <v>#REF!</v>
      </c>
      <c r="AQ36" t="str">
        <f>AND(#REF!,"AAAAAFs9dyo=")</f>
        <v>#REF!</v>
      </c>
      <c r="AR36" t="str">
        <f>AND(#REF!,"AAAAAFs9dys=")</f>
        <v>#REF!</v>
      </c>
      <c r="AS36" t="str">
        <f>AND(#REF!,"AAAAAFs9dyw=")</f>
        <v>#REF!</v>
      </c>
      <c r="AT36" t="str">
        <f>AND(#REF!,"AAAAAFs9dy0=")</f>
        <v>#REF!</v>
      </c>
      <c r="AU36" t="str">
        <f>AND(#REF!,"AAAAAFs9dy4=")</f>
        <v>#REF!</v>
      </c>
      <c r="AV36" t="str">
        <f>AND(#REF!,"AAAAAFs9dy8=")</f>
        <v>#REF!</v>
      </c>
      <c r="AW36" t="str">
        <f>AND(#REF!,"AAAAAFs9dzA=")</f>
        <v>#REF!</v>
      </c>
      <c r="AX36" t="str">
        <f>AND(#REF!,"AAAAAFs9dzE=")</f>
        <v>#REF!</v>
      </c>
      <c r="AY36" t="str">
        <f>AND(#REF!,"AAAAAFs9dzI=")</f>
        <v>#REF!</v>
      </c>
      <c r="AZ36" t="str">
        <f>AND(#REF!,"AAAAAFs9dzM=")</f>
        <v>#REF!</v>
      </c>
      <c r="BA36" t="str">
        <f>AND(#REF!,"AAAAAFs9dzQ=")</f>
        <v>#REF!</v>
      </c>
      <c r="BB36" t="str">
        <f>AND(#REF!,"AAAAAFs9dzU=")</f>
        <v>#REF!</v>
      </c>
      <c r="BC36" t="str">
        <f>AND(#REF!,"AAAAAFs9dzY=")</f>
        <v>#REF!</v>
      </c>
      <c r="BD36" t="str">
        <f>AND(#REF!,"AAAAAFs9dzc=")</f>
        <v>#REF!</v>
      </c>
      <c r="BE36" t="str">
        <f>AND(#REF!,"AAAAAFs9dzg=")</f>
        <v>#REF!</v>
      </c>
      <c r="BF36" t="str">
        <f>AND(#REF!,"AAAAAFs9dzk=")</f>
        <v>#REF!</v>
      </c>
      <c r="BG36" t="str">
        <f>IF(#REF!,"AAAAAFs9dzo=",0)</f>
        <v>#REF!</v>
      </c>
      <c r="BH36" t="str">
        <f>AND(#REF!,"AAAAAFs9dzs=")</f>
        <v>#REF!</v>
      </c>
      <c r="BI36" t="str">
        <f>AND(#REF!,"AAAAAFs9dzw=")</f>
        <v>#REF!</v>
      </c>
      <c r="BJ36" t="str">
        <f>AND(#REF!,"AAAAAFs9dz0=")</f>
        <v>#REF!</v>
      </c>
      <c r="BK36" t="str">
        <f>AND(#REF!,"AAAAAFs9dz4=")</f>
        <v>#REF!</v>
      </c>
      <c r="BL36" t="str">
        <f>AND(#REF!,"AAAAAFs9dz8=")</f>
        <v>#REF!</v>
      </c>
      <c r="BM36" t="str">
        <f>AND(#REF!,"AAAAAFs9d0A=")</f>
        <v>#REF!</v>
      </c>
      <c r="BN36" t="str">
        <f>AND(#REF!,"AAAAAFs9d0E=")</f>
        <v>#REF!</v>
      </c>
      <c r="BO36" t="str">
        <f>AND(#REF!,"AAAAAFs9d0I=")</f>
        <v>#REF!</v>
      </c>
      <c r="BP36" t="str">
        <f>AND(#REF!,"AAAAAFs9d0M=")</f>
        <v>#REF!</v>
      </c>
      <c r="BQ36" t="str">
        <f>AND(#REF!,"AAAAAFs9d0Q=")</f>
        <v>#REF!</v>
      </c>
      <c r="BR36" t="str">
        <f>AND(#REF!,"AAAAAFs9d0U=")</f>
        <v>#REF!</v>
      </c>
      <c r="BS36" t="str">
        <f>AND(#REF!,"AAAAAFs9d0Y=")</f>
        <v>#REF!</v>
      </c>
      <c r="BT36" t="str">
        <f>AND(#REF!,"AAAAAFs9d0c=")</f>
        <v>#REF!</v>
      </c>
      <c r="BU36" t="str">
        <f>AND(#REF!,"AAAAAFs9d0g=")</f>
        <v>#REF!</v>
      </c>
      <c r="BV36" t="str">
        <f>AND(#REF!,"AAAAAFs9d0k=")</f>
        <v>#REF!</v>
      </c>
      <c r="BW36" t="str">
        <f>AND(#REF!,"AAAAAFs9d0o=")</f>
        <v>#REF!</v>
      </c>
      <c r="BX36" t="str">
        <f>AND(#REF!,"AAAAAFs9d0s=")</f>
        <v>#REF!</v>
      </c>
      <c r="BY36" t="str">
        <f>AND(#REF!,"AAAAAFs9d0w=")</f>
        <v>#REF!</v>
      </c>
      <c r="BZ36" t="str">
        <f>AND(#REF!,"AAAAAFs9d00=")</f>
        <v>#REF!</v>
      </c>
      <c r="CA36" t="str">
        <f>AND(#REF!,"AAAAAFs9d04=")</f>
        <v>#REF!</v>
      </c>
      <c r="CB36" t="str">
        <f>AND(#REF!,"AAAAAFs9d08=")</f>
        <v>#REF!</v>
      </c>
      <c r="CC36" t="str">
        <f>AND(#REF!,"AAAAAFs9d1A=")</f>
        <v>#REF!</v>
      </c>
      <c r="CD36" t="str">
        <f>AND(#REF!,"AAAAAFs9d1E=")</f>
        <v>#REF!</v>
      </c>
      <c r="CE36" t="str">
        <f>AND(#REF!,"AAAAAFs9d1I=")</f>
        <v>#REF!</v>
      </c>
      <c r="CF36" t="str">
        <f>AND(#REF!,"AAAAAFs9d1M=")</f>
        <v>#REF!</v>
      </c>
      <c r="CG36" t="str">
        <f>AND(#REF!,"AAAAAFs9d1Q=")</f>
        <v>#REF!</v>
      </c>
      <c r="CH36" t="str">
        <f>AND(#REF!,"AAAAAFs9d1U=")</f>
        <v>#REF!</v>
      </c>
      <c r="CI36" t="str">
        <f>AND(#REF!,"AAAAAFs9d1Y=")</f>
        <v>#REF!</v>
      </c>
      <c r="CJ36" t="str">
        <f>AND(#REF!,"AAAAAFs9d1c=")</f>
        <v>#REF!</v>
      </c>
      <c r="CK36" t="str">
        <f>AND(#REF!,"AAAAAFs9d1g=")</f>
        <v>#REF!</v>
      </c>
      <c r="CL36" t="str">
        <f>AND(#REF!,"AAAAAFs9d1k=")</f>
        <v>#REF!</v>
      </c>
      <c r="CM36" t="str">
        <f>AND(#REF!,"AAAAAFs9d1o=")</f>
        <v>#REF!</v>
      </c>
      <c r="CN36" t="str">
        <f>AND(#REF!,"AAAAAFs9d1s=")</f>
        <v>#REF!</v>
      </c>
      <c r="CO36" t="str">
        <f>AND(#REF!,"AAAAAFs9d1w=")</f>
        <v>#REF!</v>
      </c>
      <c r="CP36" t="str">
        <f>AND(#REF!,"AAAAAFs9d10=")</f>
        <v>#REF!</v>
      </c>
      <c r="CQ36" t="str">
        <f>AND(#REF!,"AAAAAFs9d14=")</f>
        <v>#REF!</v>
      </c>
      <c r="CR36" t="str">
        <f>AND(#REF!,"AAAAAFs9d18=")</f>
        <v>#REF!</v>
      </c>
      <c r="CS36" t="str">
        <f>AND(#REF!,"AAAAAFs9d2A=")</f>
        <v>#REF!</v>
      </c>
      <c r="CT36" t="str">
        <f>AND(#REF!,"AAAAAFs9d2E=")</f>
        <v>#REF!</v>
      </c>
      <c r="CU36" t="str">
        <f>AND(#REF!,"AAAAAFs9d2I=")</f>
        <v>#REF!</v>
      </c>
      <c r="CV36" t="str">
        <f>AND(#REF!,"AAAAAFs9d2M=")</f>
        <v>#REF!</v>
      </c>
      <c r="CW36" t="str">
        <f>AND(#REF!,"AAAAAFs9d2Q=")</f>
        <v>#REF!</v>
      </c>
      <c r="CX36" t="str">
        <f>AND(#REF!,"AAAAAFs9d2U=")</f>
        <v>#REF!</v>
      </c>
      <c r="CY36" t="str">
        <f>AND(#REF!,"AAAAAFs9d2Y=")</f>
        <v>#REF!</v>
      </c>
      <c r="CZ36" t="str">
        <f>AND(#REF!,"AAAAAFs9d2c=")</f>
        <v>#REF!</v>
      </c>
      <c r="DA36" t="str">
        <f>AND(#REF!,"AAAAAFs9d2g=")</f>
        <v>#REF!</v>
      </c>
      <c r="DB36" t="str">
        <f>AND(#REF!,"AAAAAFs9d2k=")</f>
        <v>#REF!</v>
      </c>
      <c r="DC36" t="str">
        <f>AND(#REF!,"AAAAAFs9d2o=")</f>
        <v>#REF!</v>
      </c>
      <c r="DD36" t="str">
        <f>AND(#REF!,"AAAAAFs9d2s=")</f>
        <v>#REF!</v>
      </c>
      <c r="DE36" t="str">
        <f>AND(#REF!,"AAAAAFs9d2w=")</f>
        <v>#REF!</v>
      </c>
      <c r="DF36" t="str">
        <f>AND(#REF!,"AAAAAFs9d20=")</f>
        <v>#REF!</v>
      </c>
      <c r="DG36" t="str">
        <f>AND(#REF!,"AAAAAFs9d24=")</f>
        <v>#REF!</v>
      </c>
      <c r="DH36" t="str">
        <f>AND(#REF!,"AAAAAFs9d28=")</f>
        <v>#REF!</v>
      </c>
      <c r="DI36" t="str">
        <f>AND(#REF!,"AAAAAFs9d3A=")</f>
        <v>#REF!</v>
      </c>
      <c r="DJ36" t="str">
        <f>AND(#REF!,"AAAAAFs9d3E=")</f>
        <v>#REF!</v>
      </c>
      <c r="DK36" t="str">
        <f>AND(#REF!,"AAAAAFs9d3I=")</f>
        <v>#REF!</v>
      </c>
      <c r="DL36" t="str">
        <f>AND(#REF!,"AAAAAFs9d3M=")</f>
        <v>#REF!</v>
      </c>
      <c r="DM36" t="str">
        <f>AND(#REF!,"AAAAAFs9d3Q=")</f>
        <v>#REF!</v>
      </c>
      <c r="DN36" t="str">
        <f>AND(#REF!,"AAAAAFs9d3U=")</f>
        <v>#REF!</v>
      </c>
      <c r="DO36" t="str">
        <f>AND(#REF!,"AAAAAFs9d3Y=")</f>
        <v>#REF!</v>
      </c>
      <c r="DP36" t="str">
        <f>AND(#REF!,"AAAAAFs9d3c=")</f>
        <v>#REF!</v>
      </c>
      <c r="DQ36" t="str">
        <f>AND(#REF!,"AAAAAFs9d3g=")</f>
        <v>#REF!</v>
      </c>
      <c r="DR36" t="str">
        <f>AND(#REF!,"AAAAAFs9d3k=")</f>
        <v>#REF!</v>
      </c>
      <c r="DS36" t="str">
        <f>AND(#REF!,"AAAAAFs9d3o=")</f>
        <v>#REF!</v>
      </c>
      <c r="DT36" t="str">
        <f>AND(#REF!,"AAAAAFs9d3s=")</f>
        <v>#REF!</v>
      </c>
      <c r="DU36" t="str">
        <f>AND(#REF!,"AAAAAFs9d3w=")</f>
        <v>#REF!</v>
      </c>
      <c r="DV36" t="str">
        <f>AND(#REF!,"AAAAAFs9d30=")</f>
        <v>#REF!</v>
      </c>
      <c r="DW36" t="str">
        <f>AND(#REF!,"AAAAAFs9d34=")</f>
        <v>#REF!</v>
      </c>
      <c r="DX36" t="str">
        <f>AND(#REF!,"AAAAAFs9d38=")</f>
        <v>#REF!</v>
      </c>
      <c r="DY36" t="str">
        <f>AND(#REF!,"AAAAAFs9d4A=")</f>
        <v>#REF!</v>
      </c>
      <c r="DZ36" t="str">
        <f>AND(#REF!,"AAAAAFs9d4E=")</f>
        <v>#REF!</v>
      </c>
      <c r="EA36" t="str">
        <f>AND(#REF!,"AAAAAFs9d4I=")</f>
        <v>#REF!</v>
      </c>
      <c r="EB36" t="str">
        <f>AND(#REF!,"AAAAAFs9d4M=")</f>
        <v>#REF!</v>
      </c>
      <c r="EC36" t="str">
        <f>AND(#REF!,"AAAAAFs9d4Q=")</f>
        <v>#REF!</v>
      </c>
      <c r="ED36" t="str">
        <f>AND(#REF!,"AAAAAFs9d4U=")</f>
        <v>#REF!</v>
      </c>
      <c r="EE36" t="str">
        <f>IF(#REF!,"AAAAAFs9d4Y=",0)</f>
        <v>#REF!</v>
      </c>
      <c r="EF36" t="str">
        <f>AND(#REF!,"AAAAAFs9d4c=")</f>
        <v>#REF!</v>
      </c>
      <c r="EG36" t="str">
        <f>AND(#REF!,"AAAAAFs9d4g=")</f>
        <v>#REF!</v>
      </c>
      <c r="EH36" t="str">
        <f>AND(#REF!,"AAAAAFs9d4k=")</f>
        <v>#REF!</v>
      </c>
      <c r="EI36" t="str">
        <f>AND(#REF!,"AAAAAFs9d4o=")</f>
        <v>#REF!</v>
      </c>
      <c r="EJ36" t="str">
        <f>AND(#REF!,"AAAAAFs9d4s=")</f>
        <v>#REF!</v>
      </c>
      <c r="EK36" t="str">
        <f>AND(#REF!,"AAAAAFs9d4w=")</f>
        <v>#REF!</v>
      </c>
      <c r="EL36" t="str">
        <f>AND(#REF!,"AAAAAFs9d40=")</f>
        <v>#REF!</v>
      </c>
      <c r="EM36" t="str">
        <f>AND(#REF!,"AAAAAFs9d44=")</f>
        <v>#REF!</v>
      </c>
      <c r="EN36" t="str">
        <f>AND(#REF!,"AAAAAFs9d48=")</f>
        <v>#REF!</v>
      </c>
      <c r="EO36" t="str">
        <f>AND(#REF!,"AAAAAFs9d5A=")</f>
        <v>#REF!</v>
      </c>
      <c r="EP36" t="str">
        <f>AND(#REF!,"AAAAAFs9d5E=")</f>
        <v>#REF!</v>
      </c>
      <c r="EQ36" t="str">
        <f>AND(#REF!,"AAAAAFs9d5I=")</f>
        <v>#REF!</v>
      </c>
      <c r="ER36" t="str">
        <f>AND(#REF!,"AAAAAFs9d5M=")</f>
        <v>#REF!</v>
      </c>
      <c r="ES36" t="str">
        <f>AND(#REF!,"AAAAAFs9d5Q=")</f>
        <v>#REF!</v>
      </c>
      <c r="ET36" t="str">
        <f>AND(#REF!,"AAAAAFs9d5U=")</f>
        <v>#REF!</v>
      </c>
      <c r="EU36" t="str">
        <f>AND(#REF!,"AAAAAFs9d5Y=")</f>
        <v>#REF!</v>
      </c>
      <c r="EV36" t="str">
        <f>AND(#REF!,"AAAAAFs9d5c=")</f>
        <v>#REF!</v>
      </c>
      <c r="EW36" t="str">
        <f>AND(#REF!,"AAAAAFs9d5g=")</f>
        <v>#REF!</v>
      </c>
      <c r="EX36" t="str">
        <f>AND(#REF!,"AAAAAFs9d5k=")</f>
        <v>#REF!</v>
      </c>
      <c r="EY36" t="str">
        <f>AND(#REF!,"AAAAAFs9d5o=")</f>
        <v>#REF!</v>
      </c>
      <c r="EZ36" t="str">
        <f>AND(#REF!,"AAAAAFs9d5s=")</f>
        <v>#REF!</v>
      </c>
      <c r="FA36" t="str">
        <f>AND(#REF!,"AAAAAFs9d5w=")</f>
        <v>#REF!</v>
      </c>
      <c r="FB36" t="str">
        <f>AND(#REF!,"AAAAAFs9d50=")</f>
        <v>#REF!</v>
      </c>
      <c r="FC36" t="str">
        <f>AND(#REF!,"AAAAAFs9d54=")</f>
        <v>#REF!</v>
      </c>
      <c r="FD36" t="str">
        <f>AND(#REF!,"AAAAAFs9d58=")</f>
        <v>#REF!</v>
      </c>
      <c r="FE36" t="str">
        <f>AND(#REF!,"AAAAAFs9d6A=")</f>
        <v>#REF!</v>
      </c>
      <c r="FF36" t="str">
        <f>AND(#REF!,"AAAAAFs9d6E=")</f>
        <v>#REF!</v>
      </c>
      <c r="FG36" t="str">
        <f>AND(#REF!,"AAAAAFs9d6I=")</f>
        <v>#REF!</v>
      </c>
      <c r="FH36" t="str">
        <f>AND(#REF!,"AAAAAFs9d6M=")</f>
        <v>#REF!</v>
      </c>
      <c r="FI36" t="str">
        <f>AND(#REF!,"AAAAAFs9d6Q=")</f>
        <v>#REF!</v>
      </c>
      <c r="FJ36" t="str">
        <f>AND(#REF!,"AAAAAFs9d6U=")</f>
        <v>#REF!</v>
      </c>
      <c r="FK36" t="str">
        <f>AND(#REF!,"AAAAAFs9d6Y=")</f>
        <v>#REF!</v>
      </c>
      <c r="FL36" t="str">
        <f>AND(#REF!,"AAAAAFs9d6c=")</f>
        <v>#REF!</v>
      </c>
      <c r="FM36" t="str">
        <f>AND(#REF!,"AAAAAFs9d6g=")</f>
        <v>#REF!</v>
      </c>
      <c r="FN36" t="str">
        <f>AND(#REF!,"AAAAAFs9d6k=")</f>
        <v>#REF!</v>
      </c>
      <c r="FO36" t="str">
        <f>AND(#REF!,"AAAAAFs9d6o=")</f>
        <v>#REF!</v>
      </c>
      <c r="FP36" t="str">
        <f>AND(#REF!,"AAAAAFs9d6s=")</f>
        <v>#REF!</v>
      </c>
      <c r="FQ36" t="str">
        <f>AND(#REF!,"AAAAAFs9d6w=")</f>
        <v>#REF!</v>
      </c>
      <c r="FR36" t="str">
        <f>AND(#REF!,"AAAAAFs9d60=")</f>
        <v>#REF!</v>
      </c>
      <c r="FS36" t="str">
        <f>AND(#REF!,"AAAAAFs9d64=")</f>
        <v>#REF!</v>
      </c>
      <c r="FT36" t="str">
        <f>AND(#REF!,"AAAAAFs9d68=")</f>
        <v>#REF!</v>
      </c>
      <c r="FU36" t="str">
        <f>AND(#REF!,"AAAAAFs9d7A=")</f>
        <v>#REF!</v>
      </c>
      <c r="FV36" t="str">
        <f>AND(#REF!,"AAAAAFs9d7E=")</f>
        <v>#REF!</v>
      </c>
      <c r="FW36" t="str">
        <f>AND(#REF!,"AAAAAFs9d7I=")</f>
        <v>#REF!</v>
      </c>
      <c r="FX36" t="str">
        <f>AND(#REF!,"AAAAAFs9d7M=")</f>
        <v>#REF!</v>
      </c>
      <c r="FY36" t="str">
        <f>AND(#REF!,"AAAAAFs9d7Q=")</f>
        <v>#REF!</v>
      </c>
      <c r="FZ36" t="str">
        <f>AND(#REF!,"AAAAAFs9d7U=")</f>
        <v>#REF!</v>
      </c>
      <c r="GA36" t="str">
        <f>AND(#REF!,"AAAAAFs9d7Y=")</f>
        <v>#REF!</v>
      </c>
      <c r="GB36" t="str">
        <f>AND(#REF!,"AAAAAFs9d7c=")</f>
        <v>#REF!</v>
      </c>
      <c r="GC36" t="str">
        <f>AND(#REF!,"AAAAAFs9d7g=")</f>
        <v>#REF!</v>
      </c>
      <c r="GD36" t="str">
        <f>AND(#REF!,"AAAAAFs9d7k=")</f>
        <v>#REF!</v>
      </c>
      <c r="GE36" t="str">
        <f>AND(#REF!,"AAAAAFs9d7o=")</f>
        <v>#REF!</v>
      </c>
      <c r="GF36" t="str">
        <f>AND(#REF!,"AAAAAFs9d7s=")</f>
        <v>#REF!</v>
      </c>
      <c r="GG36" t="str">
        <f>AND(#REF!,"AAAAAFs9d7w=")</f>
        <v>#REF!</v>
      </c>
      <c r="GH36" t="str">
        <f>AND(#REF!,"AAAAAFs9d70=")</f>
        <v>#REF!</v>
      </c>
      <c r="GI36" t="str">
        <f>AND(#REF!,"AAAAAFs9d74=")</f>
        <v>#REF!</v>
      </c>
      <c r="GJ36" t="str">
        <f>AND(#REF!,"AAAAAFs9d78=")</f>
        <v>#REF!</v>
      </c>
      <c r="GK36" t="str">
        <f>AND(#REF!,"AAAAAFs9d8A=")</f>
        <v>#REF!</v>
      </c>
      <c r="GL36" t="str">
        <f>AND(#REF!,"AAAAAFs9d8E=")</f>
        <v>#REF!</v>
      </c>
      <c r="GM36" t="str">
        <f>AND(#REF!,"AAAAAFs9d8I=")</f>
        <v>#REF!</v>
      </c>
      <c r="GN36" t="str">
        <f>AND(#REF!,"AAAAAFs9d8M=")</f>
        <v>#REF!</v>
      </c>
      <c r="GO36" t="str">
        <f>AND(#REF!,"AAAAAFs9d8Q=")</f>
        <v>#REF!</v>
      </c>
      <c r="GP36" t="str">
        <f>AND(#REF!,"AAAAAFs9d8U=")</f>
        <v>#REF!</v>
      </c>
      <c r="GQ36" t="str">
        <f>AND(#REF!,"AAAAAFs9d8Y=")</f>
        <v>#REF!</v>
      </c>
      <c r="GR36" t="str">
        <f>AND(#REF!,"AAAAAFs9d8c=")</f>
        <v>#REF!</v>
      </c>
      <c r="GS36" t="str">
        <f>AND(#REF!,"AAAAAFs9d8g=")</f>
        <v>#REF!</v>
      </c>
      <c r="GT36" t="str">
        <f>AND(#REF!,"AAAAAFs9d8k=")</f>
        <v>#REF!</v>
      </c>
      <c r="GU36" t="str">
        <f>AND(#REF!,"AAAAAFs9d8o=")</f>
        <v>#REF!</v>
      </c>
      <c r="GV36" t="str">
        <f>AND(#REF!,"AAAAAFs9d8s=")</f>
        <v>#REF!</v>
      </c>
      <c r="GW36" t="str">
        <f>AND(#REF!,"AAAAAFs9d8w=")</f>
        <v>#REF!</v>
      </c>
      <c r="GX36" t="str">
        <f>AND(#REF!,"AAAAAFs9d80=")</f>
        <v>#REF!</v>
      </c>
      <c r="GY36" t="str">
        <f>AND(#REF!,"AAAAAFs9d84=")</f>
        <v>#REF!</v>
      </c>
      <c r="GZ36" t="str">
        <f>AND(#REF!,"AAAAAFs9d88=")</f>
        <v>#REF!</v>
      </c>
      <c r="HA36" t="str">
        <f>AND(#REF!,"AAAAAFs9d9A=")</f>
        <v>#REF!</v>
      </c>
      <c r="HB36" t="str">
        <f>AND(#REF!,"AAAAAFs9d9E=")</f>
        <v>#REF!</v>
      </c>
      <c r="HC36" t="str">
        <f>IF(#REF!,"AAAAAFs9d9I=",0)</f>
        <v>#REF!</v>
      </c>
      <c r="HD36" t="str">
        <f>AND(#REF!,"AAAAAFs9d9M=")</f>
        <v>#REF!</v>
      </c>
      <c r="HE36" t="str">
        <f>AND(#REF!,"AAAAAFs9d9Q=")</f>
        <v>#REF!</v>
      </c>
      <c r="HF36" t="str">
        <f>AND(#REF!,"AAAAAFs9d9U=")</f>
        <v>#REF!</v>
      </c>
      <c r="HG36" t="str">
        <f>AND(#REF!,"AAAAAFs9d9Y=")</f>
        <v>#REF!</v>
      </c>
      <c r="HH36" t="str">
        <f>AND(#REF!,"AAAAAFs9d9c=")</f>
        <v>#REF!</v>
      </c>
      <c r="HI36" t="str">
        <f>AND(#REF!,"AAAAAFs9d9g=")</f>
        <v>#REF!</v>
      </c>
      <c r="HJ36" t="str">
        <f>AND(#REF!,"AAAAAFs9d9k=")</f>
        <v>#REF!</v>
      </c>
      <c r="HK36" t="str">
        <f>AND(#REF!,"AAAAAFs9d9o=")</f>
        <v>#REF!</v>
      </c>
      <c r="HL36" t="str">
        <f>AND(#REF!,"AAAAAFs9d9s=")</f>
        <v>#REF!</v>
      </c>
      <c r="HM36" t="str">
        <f>AND(#REF!,"AAAAAFs9d9w=")</f>
        <v>#REF!</v>
      </c>
      <c r="HN36" t="str">
        <f>AND(#REF!,"AAAAAFs9d90=")</f>
        <v>#REF!</v>
      </c>
      <c r="HO36" t="str">
        <f>AND(#REF!,"AAAAAFs9d94=")</f>
        <v>#REF!</v>
      </c>
      <c r="HP36" t="str">
        <f>AND(#REF!,"AAAAAFs9d98=")</f>
        <v>#REF!</v>
      </c>
      <c r="HQ36" t="str">
        <f>AND(#REF!,"AAAAAFs9d+A=")</f>
        <v>#REF!</v>
      </c>
      <c r="HR36" t="str">
        <f>AND(#REF!,"AAAAAFs9d+E=")</f>
        <v>#REF!</v>
      </c>
      <c r="HS36" t="str">
        <f>AND(#REF!,"AAAAAFs9d+I=")</f>
        <v>#REF!</v>
      </c>
      <c r="HT36" t="str">
        <f>AND(#REF!,"AAAAAFs9d+M=")</f>
        <v>#REF!</v>
      </c>
      <c r="HU36" t="str">
        <f>AND(#REF!,"AAAAAFs9d+Q=")</f>
        <v>#REF!</v>
      </c>
      <c r="HV36" t="str">
        <f>AND(#REF!,"AAAAAFs9d+U=")</f>
        <v>#REF!</v>
      </c>
      <c r="HW36" t="str">
        <f>AND(#REF!,"AAAAAFs9d+Y=")</f>
        <v>#REF!</v>
      </c>
      <c r="HX36" t="str">
        <f>AND(#REF!,"AAAAAFs9d+c=")</f>
        <v>#REF!</v>
      </c>
      <c r="HY36" t="str">
        <f>AND(#REF!,"AAAAAFs9d+g=")</f>
        <v>#REF!</v>
      </c>
      <c r="HZ36" t="str">
        <f>AND(#REF!,"AAAAAFs9d+k=")</f>
        <v>#REF!</v>
      </c>
      <c r="IA36" t="str">
        <f>AND(#REF!,"AAAAAFs9d+o=")</f>
        <v>#REF!</v>
      </c>
      <c r="IB36" t="str">
        <f>AND(#REF!,"AAAAAFs9d+s=")</f>
        <v>#REF!</v>
      </c>
      <c r="IC36" t="str">
        <f>AND(#REF!,"AAAAAFs9d+w=")</f>
        <v>#REF!</v>
      </c>
      <c r="ID36" t="str">
        <f>AND(#REF!,"AAAAAFs9d+0=")</f>
        <v>#REF!</v>
      </c>
      <c r="IE36" t="str">
        <f>AND(#REF!,"AAAAAFs9d+4=")</f>
        <v>#REF!</v>
      </c>
      <c r="IF36" t="str">
        <f>AND(#REF!,"AAAAAFs9d+8=")</f>
        <v>#REF!</v>
      </c>
      <c r="IG36" t="str">
        <f>AND(#REF!,"AAAAAFs9d/A=")</f>
        <v>#REF!</v>
      </c>
      <c r="IH36" t="str">
        <f>AND(#REF!,"AAAAAFs9d/E=")</f>
        <v>#REF!</v>
      </c>
      <c r="II36" t="str">
        <f>AND(#REF!,"AAAAAFs9d/I=")</f>
        <v>#REF!</v>
      </c>
      <c r="IJ36" t="str">
        <f>AND(#REF!,"AAAAAFs9d/M=")</f>
        <v>#REF!</v>
      </c>
      <c r="IK36" t="str">
        <f>AND(#REF!,"AAAAAFs9d/Q=")</f>
        <v>#REF!</v>
      </c>
      <c r="IL36" t="str">
        <f>AND(#REF!,"AAAAAFs9d/U=")</f>
        <v>#REF!</v>
      </c>
      <c r="IM36" t="str">
        <f>AND(#REF!,"AAAAAFs9d/Y=")</f>
        <v>#REF!</v>
      </c>
      <c r="IN36" t="str">
        <f>AND(#REF!,"AAAAAFs9d/c=")</f>
        <v>#REF!</v>
      </c>
      <c r="IO36" t="str">
        <f>AND(#REF!,"AAAAAFs9d/g=")</f>
        <v>#REF!</v>
      </c>
      <c r="IP36" t="str">
        <f>AND(#REF!,"AAAAAFs9d/k=")</f>
        <v>#REF!</v>
      </c>
      <c r="IQ36" t="str">
        <f>AND(#REF!,"AAAAAFs9d/o=")</f>
        <v>#REF!</v>
      </c>
      <c r="IR36" t="str">
        <f>AND(#REF!,"AAAAAFs9d/s=")</f>
        <v>#REF!</v>
      </c>
      <c r="IS36" t="str">
        <f>AND(#REF!,"AAAAAFs9d/w=")</f>
        <v>#REF!</v>
      </c>
      <c r="IT36" t="str">
        <f>AND(#REF!,"AAAAAFs9d/0=")</f>
        <v>#REF!</v>
      </c>
      <c r="IU36" t="str">
        <f>AND(#REF!,"AAAAAFs9d/4=")</f>
        <v>#REF!</v>
      </c>
      <c r="IV36" t="str">
        <f>AND(#REF!,"AAAAAFs9d/8=")</f>
        <v>#REF!</v>
      </c>
    </row>
    <row r="37" ht="15.75" customHeight="1">
      <c r="A37" t="str">
        <f>AND(#REF!,"AAAAAG/n2gA=")</f>
        <v>#REF!</v>
      </c>
      <c r="B37" t="str">
        <f>AND(#REF!,"AAAAAG/n2gE=")</f>
        <v>#REF!</v>
      </c>
      <c r="C37" t="str">
        <f>AND(#REF!,"AAAAAG/n2gI=")</f>
        <v>#REF!</v>
      </c>
      <c r="D37" t="str">
        <f>AND(#REF!,"AAAAAG/n2gM=")</f>
        <v>#REF!</v>
      </c>
      <c r="E37" t="str">
        <f>AND(#REF!,"AAAAAG/n2gQ=")</f>
        <v>#REF!</v>
      </c>
      <c r="F37" t="str">
        <f>AND(#REF!,"AAAAAG/n2gU=")</f>
        <v>#REF!</v>
      </c>
      <c r="G37" t="str">
        <f>AND(#REF!,"AAAAAG/n2gY=")</f>
        <v>#REF!</v>
      </c>
      <c r="H37" t="str">
        <f>AND(#REF!,"AAAAAG/n2gc=")</f>
        <v>#REF!</v>
      </c>
      <c r="I37" t="str">
        <f>AND(#REF!,"AAAAAG/n2gg=")</f>
        <v>#REF!</v>
      </c>
      <c r="J37" t="str">
        <f>AND(#REF!,"AAAAAG/n2gk=")</f>
        <v>#REF!</v>
      </c>
      <c r="K37" t="str">
        <f>AND(#REF!,"AAAAAG/n2go=")</f>
        <v>#REF!</v>
      </c>
      <c r="L37" t="str">
        <f>AND(#REF!,"AAAAAG/n2gs=")</f>
        <v>#REF!</v>
      </c>
      <c r="M37" t="str">
        <f>AND(#REF!,"AAAAAG/n2gw=")</f>
        <v>#REF!</v>
      </c>
      <c r="N37" t="str">
        <f>AND(#REF!,"AAAAAG/n2g0=")</f>
        <v>#REF!</v>
      </c>
      <c r="O37" t="str">
        <f>AND(#REF!,"AAAAAG/n2g4=")</f>
        <v>#REF!</v>
      </c>
      <c r="P37" t="str">
        <f>AND(#REF!,"AAAAAG/n2g8=")</f>
        <v>#REF!</v>
      </c>
      <c r="Q37" t="str">
        <f>AND(#REF!,"AAAAAG/n2hA=")</f>
        <v>#REF!</v>
      </c>
      <c r="R37" t="str">
        <f>AND(#REF!,"AAAAAG/n2hE=")</f>
        <v>#REF!</v>
      </c>
      <c r="S37" t="str">
        <f>AND(#REF!,"AAAAAG/n2hI=")</f>
        <v>#REF!</v>
      </c>
      <c r="T37" t="str">
        <f>AND(#REF!,"AAAAAG/n2hM=")</f>
        <v>#REF!</v>
      </c>
      <c r="U37" t="str">
        <f>AND(#REF!,"AAAAAG/n2hQ=")</f>
        <v>#REF!</v>
      </c>
      <c r="V37" t="str">
        <f>AND(#REF!,"AAAAAG/n2hU=")</f>
        <v>#REF!</v>
      </c>
      <c r="W37" t="str">
        <f>AND(#REF!,"AAAAAG/n2hY=")</f>
        <v>#REF!</v>
      </c>
      <c r="X37" t="str">
        <f>AND(#REF!,"AAAAAG/n2hc=")</f>
        <v>#REF!</v>
      </c>
      <c r="Y37" t="str">
        <f>AND(#REF!,"AAAAAG/n2hg=")</f>
        <v>#REF!</v>
      </c>
      <c r="Z37" t="str">
        <f>AND(#REF!,"AAAAAG/n2hk=")</f>
        <v>#REF!</v>
      </c>
      <c r="AA37" t="str">
        <f>AND(#REF!,"AAAAAG/n2ho=")</f>
        <v>#REF!</v>
      </c>
      <c r="AB37" t="str">
        <f>AND(#REF!,"AAAAAG/n2hs=")</f>
        <v>#REF!</v>
      </c>
      <c r="AC37" t="str">
        <f>AND(#REF!,"AAAAAG/n2hw=")</f>
        <v>#REF!</v>
      </c>
      <c r="AD37" t="str">
        <f>AND(#REF!,"AAAAAG/n2h0=")</f>
        <v>#REF!</v>
      </c>
      <c r="AE37" t="str">
        <f>IF(#REF!,"AAAAAG/n2h4=",0)</f>
        <v>#REF!</v>
      </c>
      <c r="AF37" t="str">
        <f>AND(#REF!,"AAAAAG/n2h8=")</f>
        <v>#REF!</v>
      </c>
      <c r="AG37" t="str">
        <f>AND(#REF!,"AAAAAG/n2iA=")</f>
        <v>#REF!</v>
      </c>
      <c r="AH37" t="str">
        <f>AND(#REF!,"AAAAAG/n2iE=")</f>
        <v>#REF!</v>
      </c>
      <c r="AI37" t="str">
        <f>AND(#REF!,"AAAAAG/n2iI=")</f>
        <v>#REF!</v>
      </c>
      <c r="AJ37" t="str">
        <f>AND(#REF!,"AAAAAG/n2iM=")</f>
        <v>#REF!</v>
      </c>
      <c r="AK37" t="str">
        <f>AND(#REF!,"AAAAAG/n2iQ=")</f>
        <v>#REF!</v>
      </c>
      <c r="AL37" t="str">
        <f>AND(#REF!,"AAAAAG/n2iU=")</f>
        <v>#REF!</v>
      </c>
      <c r="AM37" t="str">
        <f>AND(#REF!,"AAAAAG/n2iY=")</f>
        <v>#REF!</v>
      </c>
      <c r="AN37" t="str">
        <f>AND(#REF!,"AAAAAG/n2ic=")</f>
        <v>#REF!</v>
      </c>
      <c r="AO37" t="str">
        <f>AND(#REF!,"AAAAAG/n2ig=")</f>
        <v>#REF!</v>
      </c>
      <c r="AP37" t="str">
        <f>AND(#REF!,"AAAAAG/n2ik=")</f>
        <v>#REF!</v>
      </c>
      <c r="AQ37" t="str">
        <f>AND(#REF!,"AAAAAG/n2io=")</f>
        <v>#REF!</v>
      </c>
      <c r="AR37" t="str">
        <f>AND(#REF!,"AAAAAG/n2is=")</f>
        <v>#REF!</v>
      </c>
      <c r="AS37" t="str">
        <f>AND(#REF!,"AAAAAG/n2iw=")</f>
        <v>#REF!</v>
      </c>
      <c r="AT37" t="str">
        <f>AND(#REF!,"AAAAAG/n2i0=")</f>
        <v>#REF!</v>
      </c>
      <c r="AU37" t="str">
        <f>AND(#REF!,"AAAAAG/n2i4=")</f>
        <v>#REF!</v>
      </c>
      <c r="AV37" t="str">
        <f>AND(#REF!,"AAAAAG/n2i8=")</f>
        <v>#REF!</v>
      </c>
      <c r="AW37" t="str">
        <f>AND(#REF!,"AAAAAG/n2jA=")</f>
        <v>#REF!</v>
      </c>
      <c r="AX37" t="str">
        <f>AND(#REF!,"AAAAAG/n2jE=")</f>
        <v>#REF!</v>
      </c>
      <c r="AY37" t="str">
        <f>AND(#REF!,"AAAAAG/n2jI=")</f>
        <v>#REF!</v>
      </c>
      <c r="AZ37" t="str">
        <f>AND(#REF!,"AAAAAG/n2jM=")</f>
        <v>#REF!</v>
      </c>
      <c r="BA37" t="str">
        <f>AND(#REF!,"AAAAAG/n2jQ=")</f>
        <v>#REF!</v>
      </c>
      <c r="BB37" t="str">
        <f>AND(#REF!,"AAAAAG/n2jU=")</f>
        <v>#REF!</v>
      </c>
      <c r="BC37" t="str">
        <f>AND(#REF!,"AAAAAG/n2jY=")</f>
        <v>#REF!</v>
      </c>
      <c r="BD37" t="str">
        <f>AND(#REF!,"AAAAAG/n2jc=")</f>
        <v>#REF!</v>
      </c>
      <c r="BE37" t="str">
        <f>AND(#REF!,"AAAAAG/n2jg=")</f>
        <v>#REF!</v>
      </c>
      <c r="BF37" t="str">
        <f>AND(#REF!,"AAAAAG/n2jk=")</f>
        <v>#REF!</v>
      </c>
      <c r="BG37" t="str">
        <f>AND(#REF!,"AAAAAG/n2jo=")</f>
        <v>#REF!</v>
      </c>
      <c r="BH37" t="str">
        <f>AND(#REF!,"AAAAAG/n2js=")</f>
        <v>#REF!</v>
      </c>
      <c r="BI37" t="str">
        <f>AND(#REF!,"AAAAAG/n2jw=")</f>
        <v>#REF!</v>
      </c>
      <c r="BJ37" t="str">
        <f>AND(#REF!,"AAAAAG/n2j0=")</f>
        <v>#REF!</v>
      </c>
      <c r="BK37" t="str">
        <f>AND(#REF!,"AAAAAG/n2j4=")</f>
        <v>#REF!</v>
      </c>
      <c r="BL37" t="str">
        <f>AND(#REF!,"AAAAAG/n2j8=")</f>
        <v>#REF!</v>
      </c>
      <c r="BM37" t="str">
        <f>AND(#REF!,"AAAAAG/n2kA=")</f>
        <v>#REF!</v>
      </c>
      <c r="BN37" t="str">
        <f>AND(#REF!,"AAAAAG/n2kE=")</f>
        <v>#REF!</v>
      </c>
      <c r="BO37" t="str">
        <f>AND(#REF!,"AAAAAG/n2kI=")</f>
        <v>#REF!</v>
      </c>
      <c r="BP37" t="str">
        <f>AND(#REF!,"AAAAAG/n2kM=")</f>
        <v>#REF!</v>
      </c>
      <c r="BQ37" t="str">
        <f>AND(#REF!,"AAAAAG/n2kQ=")</f>
        <v>#REF!</v>
      </c>
      <c r="BR37" t="str">
        <f>AND(#REF!,"AAAAAG/n2kU=")</f>
        <v>#REF!</v>
      </c>
      <c r="BS37" t="str">
        <f>AND(#REF!,"AAAAAG/n2kY=")</f>
        <v>#REF!</v>
      </c>
      <c r="BT37" t="str">
        <f>AND(#REF!,"AAAAAG/n2kc=")</f>
        <v>#REF!</v>
      </c>
      <c r="BU37" t="str">
        <f>AND(#REF!,"AAAAAG/n2kg=")</f>
        <v>#REF!</v>
      </c>
      <c r="BV37" t="str">
        <f>AND(#REF!,"AAAAAG/n2kk=")</f>
        <v>#REF!</v>
      </c>
      <c r="BW37" t="str">
        <f>AND(#REF!,"AAAAAG/n2ko=")</f>
        <v>#REF!</v>
      </c>
      <c r="BX37" t="str">
        <f>AND(#REF!,"AAAAAG/n2ks=")</f>
        <v>#REF!</v>
      </c>
      <c r="BY37" t="str">
        <f>AND(#REF!,"AAAAAG/n2kw=")</f>
        <v>#REF!</v>
      </c>
      <c r="BZ37" t="str">
        <f>AND(#REF!,"AAAAAG/n2k0=")</f>
        <v>#REF!</v>
      </c>
      <c r="CA37" t="str">
        <f>AND(#REF!,"AAAAAG/n2k4=")</f>
        <v>#REF!</v>
      </c>
      <c r="CB37" t="str">
        <f>AND(#REF!,"AAAAAG/n2k8=")</f>
        <v>#REF!</v>
      </c>
      <c r="CC37" t="str">
        <f>AND(#REF!,"AAAAAG/n2lA=")</f>
        <v>#REF!</v>
      </c>
      <c r="CD37" t="str">
        <f>AND(#REF!,"AAAAAG/n2lE=")</f>
        <v>#REF!</v>
      </c>
      <c r="CE37" t="str">
        <f>AND(#REF!,"AAAAAG/n2lI=")</f>
        <v>#REF!</v>
      </c>
      <c r="CF37" t="str">
        <f>AND(#REF!,"AAAAAG/n2lM=")</f>
        <v>#REF!</v>
      </c>
      <c r="CG37" t="str">
        <f>AND(#REF!,"AAAAAG/n2lQ=")</f>
        <v>#REF!</v>
      </c>
      <c r="CH37" t="str">
        <f>AND(#REF!,"AAAAAG/n2lU=")</f>
        <v>#REF!</v>
      </c>
      <c r="CI37" t="str">
        <f>AND(#REF!,"AAAAAG/n2lY=")</f>
        <v>#REF!</v>
      </c>
      <c r="CJ37" t="str">
        <f>AND(#REF!,"AAAAAG/n2lc=")</f>
        <v>#REF!</v>
      </c>
      <c r="CK37" t="str">
        <f>AND(#REF!,"AAAAAG/n2lg=")</f>
        <v>#REF!</v>
      </c>
      <c r="CL37" t="str">
        <f>AND(#REF!,"AAAAAG/n2lk=")</f>
        <v>#REF!</v>
      </c>
      <c r="CM37" t="str">
        <f>AND(#REF!,"AAAAAG/n2lo=")</f>
        <v>#REF!</v>
      </c>
      <c r="CN37" t="str">
        <f>AND(#REF!,"AAAAAG/n2ls=")</f>
        <v>#REF!</v>
      </c>
      <c r="CO37" t="str">
        <f>AND(#REF!,"AAAAAG/n2lw=")</f>
        <v>#REF!</v>
      </c>
      <c r="CP37" t="str">
        <f>AND(#REF!,"AAAAAG/n2l0=")</f>
        <v>#REF!</v>
      </c>
      <c r="CQ37" t="str">
        <f>AND(#REF!,"AAAAAG/n2l4=")</f>
        <v>#REF!</v>
      </c>
      <c r="CR37" t="str">
        <f>AND(#REF!,"AAAAAG/n2l8=")</f>
        <v>#REF!</v>
      </c>
      <c r="CS37" t="str">
        <f>AND(#REF!,"AAAAAG/n2mA=")</f>
        <v>#REF!</v>
      </c>
      <c r="CT37" t="str">
        <f>AND(#REF!,"AAAAAG/n2mE=")</f>
        <v>#REF!</v>
      </c>
      <c r="CU37" t="str">
        <f>AND(#REF!,"AAAAAG/n2mI=")</f>
        <v>#REF!</v>
      </c>
      <c r="CV37" t="str">
        <f>AND(#REF!,"AAAAAG/n2mM=")</f>
        <v>#REF!</v>
      </c>
      <c r="CW37" t="str">
        <f>AND(#REF!,"AAAAAG/n2mQ=")</f>
        <v>#REF!</v>
      </c>
      <c r="CX37" t="str">
        <f>AND(#REF!,"AAAAAG/n2mU=")</f>
        <v>#REF!</v>
      </c>
      <c r="CY37" t="str">
        <f>AND(#REF!,"AAAAAG/n2mY=")</f>
        <v>#REF!</v>
      </c>
      <c r="CZ37" t="str">
        <f>AND(#REF!,"AAAAAG/n2mc=")</f>
        <v>#REF!</v>
      </c>
      <c r="DA37" t="str">
        <f>AND(#REF!,"AAAAAG/n2mg=")</f>
        <v>#REF!</v>
      </c>
      <c r="DB37" t="str">
        <f>AND(#REF!,"AAAAAG/n2mk=")</f>
        <v>#REF!</v>
      </c>
      <c r="DC37" t="str">
        <f>IF(#REF!,"AAAAAG/n2mo=",0)</f>
        <v>#REF!</v>
      </c>
      <c r="DD37" t="str">
        <f>AND(#REF!,"AAAAAG/n2ms=")</f>
        <v>#REF!</v>
      </c>
      <c r="DE37" t="str">
        <f>AND(#REF!,"AAAAAG/n2mw=")</f>
        <v>#REF!</v>
      </c>
      <c r="DF37" t="str">
        <f>AND(#REF!,"AAAAAG/n2m0=")</f>
        <v>#REF!</v>
      </c>
      <c r="DG37" t="str">
        <f>AND(#REF!,"AAAAAG/n2m4=")</f>
        <v>#REF!</v>
      </c>
      <c r="DH37" t="str">
        <f>AND(#REF!,"AAAAAG/n2m8=")</f>
        <v>#REF!</v>
      </c>
      <c r="DI37" t="str">
        <f>AND(#REF!,"AAAAAG/n2nA=")</f>
        <v>#REF!</v>
      </c>
      <c r="DJ37" t="str">
        <f>AND(#REF!,"AAAAAG/n2nE=")</f>
        <v>#REF!</v>
      </c>
      <c r="DK37" t="str">
        <f>AND(#REF!,"AAAAAG/n2nI=")</f>
        <v>#REF!</v>
      </c>
      <c r="DL37" t="str">
        <f>AND(#REF!,"AAAAAG/n2nM=")</f>
        <v>#REF!</v>
      </c>
      <c r="DM37" t="str">
        <f>AND(#REF!,"AAAAAG/n2nQ=")</f>
        <v>#REF!</v>
      </c>
      <c r="DN37" t="str">
        <f>AND(#REF!,"AAAAAG/n2nU=")</f>
        <v>#REF!</v>
      </c>
      <c r="DO37" t="str">
        <f>AND(#REF!,"AAAAAG/n2nY=")</f>
        <v>#REF!</v>
      </c>
      <c r="DP37" t="str">
        <f>AND(#REF!,"AAAAAG/n2nc=")</f>
        <v>#REF!</v>
      </c>
      <c r="DQ37" t="str">
        <f>AND(#REF!,"AAAAAG/n2ng=")</f>
        <v>#REF!</v>
      </c>
      <c r="DR37" t="str">
        <f>AND(#REF!,"AAAAAG/n2nk=")</f>
        <v>#REF!</v>
      </c>
      <c r="DS37" t="str">
        <f>AND(#REF!,"AAAAAG/n2no=")</f>
        <v>#REF!</v>
      </c>
      <c r="DT37" t="str">
        <f>AND(#REF!,"AAAAAG/n2ns=")</f>
        <v>#REF!</v>
      </c>
      <c r="DU37" t="str">
        <f>AND(#REF!,"AAAAAG/n2nw=")</f>
        <v>#REF!</v>
      </c>
      <c r="DV37" t="str">
        <f>AND(#REF!,"AAAAAG/n2n0=")</f>
        <v>#REF!</v>
      </c>
      <c r="DW37" t="str">
        <f>AND(#REF!,"AAAAAG/n2n4=")</f>
        <v>#REF!</v>
      </c>
      <c r="DX37" t="str">
        <f>AND(#REF!,"AAAAAG/n2n8=")</f>
        <v>#REF!</v>
      </c>
      <c r="DY37" t="str">
        <f>AND(#REF!,"AAAAAG/n2oA=")</f>
        <v>#REF!</v>
      </c>
      <c r="DZ37" t="str">
        <f>AND(#REF!,"AAAAAG/n2oE=")</f>
        <v>#REF!</v>
      </c>
      <c r="EA37" t="str">
        <f>AND(#REF!,"AAAAAG/n2oI=")</f>
        <v>#REF!</v>
      </c>
      <c r="EB37" t="str">
        <f>AND(#REF!,"AAAAAG/n2oM=")</f>
        <v>#REF!</v>
      </c>
      <c r="EC37" t="str">
        <f>AND(#REF!,"AAAAAG/n2oQ=")</f>
        <v>#REF!</v>
      </c>
      <c r="ED37" t="str">
        <f>AND(#REF!,"AAAAAG/n2oU=")</f>
        <v>#REF!</v>
      </c>
      <c r="EE37" t="str">
        <f>AND(#REF!,"AAAAAG/n2oY=")</f>
        <v>#REF!</v>
      </c>
      <c r="EF37" t="str">
        <f>AND(#REF!,"AAAAAG/n2oc=")</f>
        <v>#REF!</v>
      </c>
      <c r="EG37" t="str">
        <f>AND(#REF!,"AAAAAG/n2og=")</f>
        <v>#REF!</v>
      </c>
      <c r="EH37" t="str">
        <f>AND(#REF!,"AAAAAG/n2ok=")</f>
        <v>#REF!</v>
      </c>
      <c r="EI37" t="str">
        <f>AND(#REF!,"AAAAAG/n2oo=")</f>
        <v>#REF!</v>
      </c>
      <c r="EJ37" t="str">
        <f>AND(#REF!,"AAAAAG/n2os=")</f>
        <v>#REF!</v>
      </c>
      <c r="EK37" t="str">
        <f>AND(#REF!,"AAAAAG/n2ow=")</f>
        <v>#REF!</v>
      </c>
      <c r="EL37" t="str">
        <f>AND(#REF!,"AAAAAG/n2o0=")</f>
        <v>#REF!</v>
      </c>
      <c r="EM37" t="str">
        <f>AND(#REF!,"AAAAAG/n2o4=")</f>
        <v>#REF!</v>
      </c>
      <c r="EN37" t="str">
        <f>AND(#REF!,"AAAAAG/n2o8=")</f>
        <v>#REF!</v>
      </c>
      <c r="EO37" t="str">
        <f>AND(#REF!,"AAAAAG/n2pA=")</f>
        <v>#REF!</v>
      </c>
      <c r="EP37" t="str">
        <f>AND(#REF!,"AAAAAG/n2pE=")</f>
        <v>#REF!</v>
      </c>
      <c r="EQ37" t="str">
        <f>AND(#REF!,"AAAAAG/n2pI=")</f>
        <v>#REF!</v>
      </c>
      <c r="ER37" t="str">
        <f>AND(#REF!,"AAAAAG/n2pM=")</f>
        <v>#REF!</v>
      </c>
      <c r="ES37" t="str">
        <f>AND(#REF!,"AAAAAG/n2pQ=")</f>
        <v>#REF!</v>
      </c>
      <c r="ET37" t="str">
        <f>AND(#REF!,"AAAAAG/n2pU=")</f>
        <v>#REF!</v>
      </c>
      <c r="EU37" t="str">
        <f>AND(#REF!,"AAAAAG/n2pY=")</f>
        <v>#REF!</v>
      </c>
      <c r="EV37" t="str">
        <f>AND(#REF!,"AAAAAG/n2pc=")</f>
        <v>#REF!</v>
      </c>
      <c r="EW37" t="str">
        <f>AND(#REF!,"AAAAAG/n2pg=")</f>
        <v>#REF!</v>
      </c>
      <c r="EX37" t="str">
        <f>AND(#REF!,"AAAAAG/n2pk=")</f>
        <v>#REF!</v>
      </c>
      <c r="EY37" t="str">
        <f>AND(#REF!,"AAAAAG/n2po=")</f>
        <v>#REF!</v>
      </c>
      <c r="EZ37" t="str">
        <f>AND(#REF!,"AAAAAG/n2ps=")</f>
        <v>#REF!</v>
      </c>
      <c r="FA37" t="str">
        <f>AND(#REF!,"AAAAAG/n2pw=")</f>
        <v>#REF!</v>
      </c>
      <c r="FB37" t="str">
        <f>AND(#REF!,"AAAAAG/n2p0=")</f>
        <v>#REF!</v>
      </c>
      <c r="FC37" t="str">
        <f>AND(#REF!,"AAAAAG/n2p4=")</f>
        <v>#REF!</v>
      </c>
      <c r="FD37" t="str">
        <f>AND(#REF!,"AAAAAG/n2p8=")</f>
        <v>#REF!</v>
      </c>
      <c r="FE37" t="str">
        <f>AND(#REF!,"AAAAAG/n2qA=")</f>
        <v>#REF!</v>
      </c>
      <c r="FF37" t="str">
        <f>AND(#REF!,"AAAAAG/n2qE=")</f>
        <v>#REF!</v>
      </c>
      <c r="FG37" t="str">
        <f>AND(#REF!,"AAAAAG/n2qI=")</f>
        <v>#REF!</v>
      </c>
      <c r="FH37" t="str">
        <f>AND(#REF!,"AAAAAG/n2qM=")</f>
        <v>#REF!</v>
      </c>
      <c r="FI37" t="str">
        <f>AND(#REF!,"AAAAAG/n2qQ=")</f>
        <v>#REF!</v>
      </c>
      <c r="FJ37" t="str">
        <f>AND(#REF!,"AAAAAG/n2qU=")</f>
        <v>#REF!</v>
      </c>
      <c r="FK37" t="str">
        <f>AND(#REF!,"AAAAAG/n2qY=")</f>
        <v>#REF!</v>
      </c>
      <c r="FL37" t="str">
        <f>AND(#REF!,"AAAAAG/n2qc=")</f>
        <v>#REF!</v>
      </c>
      <c r="FM37" t="str">
        <f>AND(#REF!,"AAAAAG/n2qg=")</f>
        <v>#REF!</v>
      </c>
      <c r="FN37" t="str">
        <f>AND(#REF!,"AAAAAG/n2qk=")</f>
        <v>#REF!</v>
      </c>
      <c r="FO37" t="str">
        <f>AND(#REF!,"AAAAAG/n2qo=")</f>
        <v>#REF!</v>
      </c>
      <c r="FP37" t="str">
        <f>AND(#REF!,"AAAAAG/n2qs=")</f>
        <v>#REF!</v>
      </c>
      <c r="FQ37" t="str">
        <f>AND(#REF!,"AAAAAG/n2qw=")</f>
        <v>#REF!</v>
      </c>
      <c r="FR37" t="str">
        <f>AND(#REF!,"AAAAAG/n2q0=")</f>
        <v>#REF!</v>
      </c>
      <c r="FS37" t="str">
        <f>AND(#REF!,"AAAAAG/n2q4=")</f>
        <v>#REF!</v>
      </c>
      <c r="FT37" t="str">
        <f>AND(#REF!,"AAAAAG/n2q8=")</f>
        <v>#REF!</v>
      </c>
      <c r="FU37" t="str">
        <f>AND(#REF!,"AAAAAG/n2rA=")</f>
        <v>#REF!</v>
      </c>
      <c r="FV37" t="str">
        <f>AND(#REF!,"AAAAAG/n2rE=")</f>
        <v>#REF!</v>
      </c>
      <c r="FW37" t="str">
        <f>AND(#REF!,"AAAAAG/n2rI=")</f>
        <v>#REF!</v>
      </c>
      <c r="FX37" t="str">
        <f>AND(#REF!,"AAAAAG/n2rM=")</f>
        <v>#REF!</v>
      </c>
      <c r="FY37" t="str">
        <f>AND(#REF!,"AAAAAG/n2rQ=")</f>
        <v>#REF!</v>
      </c>
      <c r="FZ37" t="str">
        <f>AND(#REF!,"AAAAAG/n2rU=")</f>
        <v>#REF!</v>
      </c>
      <c r="GA37" t="str">
        <f>IF(#REF!,"AAAAAG/n2rY=",0)</f>
        <v>#REF!</v>
      </c>
      <c r="GB37" t="str">
        <f>AND(#REF!,"AAAAAG/n2rc=")</f>
        <v>#REF!</v>
      </c>
      <c r="GC37" t="str">
        <f>AND(#REF!,"AAAAAG/n2rg=")</f>
        <v>#REF!</v>
      </c>
      <c r="GD37" t="str">
        <f>AND(#REF!,"AAAAAG/n2rk=")</f>
        <v>#REF!</v>
      </c>
      <c r="GE37" t="str">
        <f>AND(#REF!,"AAAAAG/n2ro=")</f>
        <v>#REF!</v>
      </c>
      <c r="GF37" t="str">
        <f>AND(#REF!,"AAAAAG/n2rs=")</f>
        <v>#REF!</v>
      </c>
      <c r="GG37" t="str">
        <f>AND(#REF!,"AAAAAG/n2rw=")</f>
        <v>#REF!</v>
      </c>
      <c r="GH37" t="str">
        <f>AND(#REF!,"AAAAAG/n2r0=")</f>
        <v>#REF!</v>
      </c>
      <c r="GI37" t="str">
        <f>AND(#REF!,"AAAAAG/n2r4=")</f>
        <v>#REF!</v>
      </c>
      <c r="GJ37" t="str">
        <f>AND(#REF!,"AAAAAG/n2r8=")</f>
        <v>#REF!</v>
      </c>
      <c r="GK37" t="str">
        <f>AND(#REF!,"AAAAAG/n2sA=")</f>
        <v>#REF!</v>
      </c>
      <c r="GL37" t="str">
        <f>AND(#REF!,"AAAAAG/n2sE=")</f>
        <v>#REF!</v>
      </c>
      <c r="GM37" t="str">
        <f>AND(#REF!,"AAAAAG/n2sI=")</f>
        <v>#REF!</v>
      </c>
      <c r="GN37" t="str">
        <f>AND(#REF!,"AAAAAG/n2sM=")</f>
        <v>#REF!</v>
      </c>
      <c r="GO37" t="str">
        <f>AND(#REF!,"AAAAAG/n2sQ=")</f>
        <v>#REF!</v>
      </c>
      <c r="GP37" t="str">
        <f>AND(#REF!,"AAAAAG/n2sU=")</f>
        <v>#REF!</v>
      </c>
      <c r="GQ37" t="str">
        <f>AND(#REF!,"AAAAAG/n2sY=")</f>
        <v>#REF!</v>
      </c>
      <c r="GR37" t="str">
        <f>AND(#REF!,"AAAAAG/n2sc=")</f>
        <v>#REF!</v>
      </c>
      <c r="GS37" t="str">
        <f>AND(#REF!,"AAAAAG/n2sg=")</f>
        <v>#REF!</v>
      </c>
      <c r="GT37" t="str">
        <f>AND(#REF!,"AAAAAG/n2sk=")</f>
        <v>#REF!</v>
      </c>
      <c r="GU37" t="str">
        <f>AND(#REF!,"AAAAAG/n2so=")</f>
        <v>#REF!</v>
      </c>
      <c r="GV37" t="str">
        <f>AND(#REF!,"AAAAAG/n2ss=")</f>
        <v>#REF!</v>
      </c>
      <c r="GW37" t="str">
        <f>AND(#REF!,"AAAAAG/n2sw=")</f>
        <v>#REF!</v>
      </c>
      <c r="GX37" t="str">
        <f>AND(#REF!,"AAAAAG/n2s0=")</f>
        <v>#REF!</v>
      </c>
      <c r="GY37" t="str">
        <f>AND(#REF!,"AAAAAG/n2s4=")</f>
        <v>#REF!</v>
      </c>
      <c r="GZ37" t="str">
        <f>AND(#REF!,"AAAAAG/n2s8=")</f>
        <v>#REF!</v>
      </c>
      <c r="HA37" t="str">
        <f>AND(#REF!,"AAAAAG/n2tA=")</f>
        <v>#REF!</v>
      </c>
      <c r="HB37" t="str">
        <f>AND(#REF!,"AAAAAG/n2tE=")</f>
        <v>#REF!</v>
      </c>
      <c r="HC37" t="str">
        <f>AND(#REF!,"AAAAAG/n2tI=")</f>
        <v>#REF!</v>
      </c>
      <c r="HD37" t="str">
        <f>AND(#REF!,"AAAAAG/n2tM=")</f>
        <v>#REF!</v>
      </c>
      <c r="HE37" t="str">
        <f>AND(#REF!,"AAAAAG/n2tQ=")</f>
        <v>#REF!</v>
      </c>
      <c r="HF37" t="str">
        <f>AND(#REF!,"AAAAAG/n2tU=")</f>
        <v>#REF!</v>
      </c>
      <c r="HG37" t="str">
        <f>AND(#REF!,"AAAAAG/n2tY=")</f>
        <v>#REF!</v>
      </c>
      <c r="HH37" t="str">
        <f>AND(#REF!,"AAAAAG/n2tc=")</f>
        <v>#REF!</v>
      </c>
      <c r="HI37" t="str">
        <f>AND(#REF!,"AAAAAG/n2tg=")</f>
        <v>#REF!</v>
      </c>
      <c r="HJ37" t="str">
        <f>AND(#REF!,"AAAAAG/n2tk=")</f>
        <v>#REF!</v>
      </c>
      <c r="HK37" t="str">
        <f>AND(#REF!,"AAAAAG/n2to=")</f>
        <v>#REF!</v>
      </c>
      <c r="HL37" t="str">
        <f>AND(#REF!,"AAAAAG/n2ts=")</f>
        <v>#REF!</v>
      </c>
      <c r="HM37" t="str">
        <f>AND(#REF!,"AAAAAG/n2tw=")</f>
        <v>#REF!</v>
      </c>
      <c r="HN37" t="str">
        <f>AND(#REF!,"AAAAAG/n2t0=")</f>
        <v>#REF!</v>
      </c>
      <c r="HO37" t="str">
        <f>AND(#REF!,"AAAAAG/n2t4=")</f>
        <v>#REF!</v>
      </c>
      <c r="HP37" t="str">
        <f>AND(#REF!,"AAAAAG/n2t8=")</f>
        <v>#REF!</v>
      </c>
      <c r="HQ37" t="str">
        <f>AND(#REF!,"AAAAAG/n2uA=")</f>
        <v>#REF!</v>
      </c>
      <c r="HR37" t="str">
        <f>AND(#REF!,"AAAAAG/n2uE=")</f>
        <v>#REF!</v>
      </c>
      <c r="HS37" t="str">
        <f>AND(#REF!,"AAAAAG/n2uI=")</f>
        <v>#REF!</v>
      </c>
      <c r="HT37" t="str">
        <f>AND(#REF!,"AAAAAG/n2uM=")</f>
        <v>#REF!</v>
      </c>
      <c r="HU37" t="str">
        <f>AND(#REF!,"AAAAAG/n2uQ=")</f>
        <v>#REF!</v>
      </c>
      <c r="HV37" t="str">
        <f>AND(#REF!,"AAAAAG/n2uU=")</f>
        <v>#REF!</v>
      </c>
      <c r="HW37" t="str">
        <f>AND(#REF!,"AAAAAG/n2uY=")</f>
        <v>#REF!</v>
      </c>
      <c r="HX37" t="str">
        <f>AND(#REF!,"AAAAAG/n2uc=")</f>
        <v>#REF!</v>
      </c>
      <c r="HY37" t="str">
        <f>AND(#REF!,"AAAAAG/n2ug=")</f>
        <v>#REF!</v>
      </c>
      <c r="HZ37" t="str">
        <f>AND(#REF!,"AAAAAG/n2uk=")</f>
        <v>#REF!</v>
      </c>
      <c r="IA37" t="str">
        <f>AND(#REF!,"AAAAAG/n2uo=")</f>
        <v>#REF!</v>
      </c>
      <c r="IB37" t="str">
        <f>AND(#REF!,"AAAAAG/n2us=")</f>
        <v>#REF!</v>
      </c>
      <c r="IC37" t="str">
        <f>AND(#REF!,"AAAAAG/n2uw=")</f>
        <v>#REF!</v>
      </c>
      <c r="ID37" t="str">
        <f>AND(#REF!,"AAAAAG/n2u0=")</f>
        <v>#REF!</v>
      </c>
      <c r="IE37" t="str">
        <f>AND(#REF!,"AAAAAG/n2u4=")</f>
        <v>#REF!</v>
      </c>
      <c r="IF37" t="str">
        <f>AND(#REF!,"AAAAAG/n2u8=")</f>
        <v>#REF!</v>
      </c>
      <c r="IG37" t="str">
        <f>AND(#REF!,"AAAAAG/n2vA=")</f>
        <v>#REF!</v>
      </c>
      <c r="IH37" t="str">
        <f>AND(#REF!,"AAAAAG/n2vE=")</f>
        <v>#REF!</v>
      </c>
      <c r="II37" t="str">
        <f>AND(#REF!,"AAAAAG/n2vI=")</f>
        <v>#REF!</v>
      </c>
      <c r="IJ37" t="str">
        <f>AND(#REF!,"AAAAAG/n2vM=")</f>
        <v>#REF!</v>
      </c>
      <c r="IK37" t="str">
        <f>AND(#REF!,"AAAAAG/n2vQ=")</f>
        <v>#REF!</v>
      </c>
      <c r="IL37" t="str">
        <f>AND(#REF!,"AAAAAG/n2vU=")</f>
        <v>#REF!</v>
      </c>
      <c r="IM37" t="str">
        <f>AND(#REF!,"AAAAAG/n2vY=")</f>
        <v>#REF!</v>
      </c>
      <c r="IN37" t="str">
        <f>AND(#REF!,"AAAAAG/n2vc=")</f>
        <v>#REF!</v>
      </c>
      <c r="IO37" t="str">
        <f>AND(#REF!,"AAAAAG/n2vg=")</f>
        <v>#REF!</v>
      </c>
      <c r="IP37" t="str">
        <f>AND(#REF!,"AAAAAG/n2vk=")</f>
        <v>#REF!</v>
      </c>
      <c r="IQ37" t="str">
        <f>AND(#REF!,"AAAAAG/n2vo=")</f>
        <v>#REF!</v>
      </c>
      <c r="IR37" t="str">
        <f>AND(#REF!,"AAAAAG/n2vs=")</f>
        <v>#REF!</v>
      </c>
      <c r="IS37" t="str">
        <f>AND(#REF!,"AAAAAG/n2vw=")</f>
        <v>#REF!</v>
      </c>
      <c r="IT37" t="str">
        <f>AND(#REF!,"AAAAAG/n2v0=")</f>
        <v>#REF!</v>
      </c>
      <c r="IU37" t="str">
        <f>AND(#REF!,"AAAAAG/n2v4=")</f>
        <v>#REF!</v>
      </c>
      <c r="IV37" t="str">
        <f>AND(#REF!,"AAAAAG/n2v8=")</f>
        <v>#REF!</v>
      </c>
    </row>
    <row r="38" ht="15.75" customHeight="1">
      <c r="A38" t="str">
        <f>AND(#REF!,"AAAAAH7v/wA=")</f>
        <v>#REF!</v>
      </c>
      <c r="B38" t="str">
        <f>AND(#REF!,"AAAAAH7v/wE=")</f>
        <v>#REF!</v>
      </c>
      <c r="C38" t="str">
        <f>IF(#REF!,"AAAAAH7v/wI=",0)</f>
        <v>#REF!</v>
      </c>
      <c r="D38" t="str">
        <f>AND(#REF!,"AAAAAH7v/wM=")</f>
        <v>#REF!</v>
      </c>
      <c r="E38" t="str">
        <f>AND(#REF!,"AAAAAH7v/wQ=")</f>
        <v>#REF!</v>
      </c>
      <c r="F38" t="str">
        <f>AND(#REF!,"AAAAAH7v/wU=")</f>
        <v>#REF!</v>
      </c>
      <c r="G38" t="str">
        <f>AND(#REF!,"AAAAAH7v/wY=")</f>
        <v>#REF!</v>
      </c>
      <c r="H38" t="str">
        <f>AND(#REF!,"AAAAAH7v/wc=")</f>
        <v>#REF!</v>
      </c>
      <c r="I38" t="str">
        <f>AND(#REF!,"AAAAAH7v/wg=")</f>
        <v>#REF!</v>
      </c>
      <c r="J38" t="str">
        <f>AND(#REF!,"AAAAAH7v/wk=")</f>
        <v>#REF!</v>
      </c>
      <c r="K38" t="str">
        <f>AND(#REF!,"AAAAAH7v/wo=")</f>
        <v>#REF!</v>
      </c>
      <c r="L38" t="str">
        <f>AND(#REF!,"AAAAAH7v/ws=")</f>
        <v>#REF!</v>
      </c>
      <c r="M38" t="str">
        <f>AND(#REF!,"AAAAAH7v/ww=")</f>
        <v>#REF!</v>
      </c>
      <c r="N38" t="str">
        <f>AND(#REF!,"AAAAAH7v/w0=")</f>
        <v>#REF!</v>
      </c>
      <c r="O38" t="str">
        <f>AND(#REF!,"AAAAAH7v/w4=")</f>
        <v>#REF!</v>
      </c>
      <c r="P38" t="str">
        <f>AND(#REF!,"AAAAAH7v/w8=")</f>
        <v>#REF!</v>
      </c>
      <c r="Q38" t="str">
        <f>AND(#REF!,"AAAAAH7v/xA=")</f>
        <v>#REF!</v>
      </c>
      <c r="R38" t="str">
        <f>AND(#REF!,"AAAAAH7v/xE=")</f>
        <v>#REF!</v>
      </c>
      <c r="S38" t="str">
        <f>AND(#REF!,"AAAAAH7v/xI=")</f>
        <v>#REF!</v>
      </c>
      <c r="T38" t="str">
        <f>AND(#REF!,"AAAAAH7v/xM=")</f>
        <v>#REF!</v>
      </c>
      <c r="U38" t="str">
        <f>AND(#REF!,"AAAAAH7v/xQ=")</f>
        <v>#REF!</v>
      </c>
      <c r="V38" t="str">
        <f>AND(#REF!,"AAAAAH7v/xU=")</f>
        <v>#REF!</v>
      </c>
      <c r="W38" t="str">
        <f>AND(#REF!,"AAAAAH7v/xY=")</f>
        <v>#REF!</v>
      </c>
      <c r="X38" t="str">
        <f>AND(#REF!,"AAAAAH7v/xc=")</f>
        <v>#REF!</v>
      </c>
      <c r="Y38" t="str">
        <f>AND(#REF!,"AAAAAH7v/xg=")</f>
        <v>#REF!</v>
      </c>
      <c r="Z38" t="str">
        <f>AND(#REF!,"AAAAAH7v/xk=")</f>
        <v>#REF!</v>
      </c>
      <c r="AA38" t="str">
        <f>AND(#REF!,"AAAAAH7v/xo=")</f>
        <v>#REF!</v>
      </c>
      <c r="AB38" t="str">
        <f>AND(#REF!,"AAAAAH7v/xs=")</f>
        <v>#REF!</v>
      </c>
      <c r="AC38" t="str">
        <f>AND(#REF!,"AAAAAH7v/xw=")</f>
        <v>#REF!</v>
      </c>
      <c r="AD38" t="str">
        <f>AND(#REF!,"AAAAAH7v/x0=")</f>
        <v>#REF!</v>
      </c>
      <c r="AE38" t="str">
        <f>AND(#REF!,"AAAAAH7v/x4=")</f>
        <v>#REF!</v>
      </c>
      <c r="AF38" t="str">
        <f>AND(#REF!,"AAAAAH7v/x8=")</f>
        <v>#REF!</v>
      </c>
      <c r="AG38" t="str">
        <f>AND(#REF!,"AAAAAH7v/yA=")</f>
        <v>#REF!</v>
      </c>
      <c r="AH38" t="str">
        <f>AND(#REF!,"AAAAAH7v/yE=")</f>
        <v>#REF!</v>
      </c>
      <c r="AI38" t="str">
        <f>AND(#REF!,"AAAAAH7v/yI=")</f>
        <v>#REF!</v>
      </c>
      <c r="AJ38" t="str">
        <f>AND(#REF!,"AAAAAH7v/yM=")</f>
        <v>#REF!</v>
      </c>
      <c r="AK38" t="str">
        <f>AND(#REF!,"AAAAAH7v/yQ=")</f>
        <v>#REF!</v>
      </c>
      <c r="AL38" t="str">
        <f>AND(#REF!,"AAAAAH7v/yU=")</f>
        <v>#REF!</v>
      </c>
      <c r="AM38" t="str">
        <f>AND(#REF!,"AAAAAH7v/yY=")</f>
        <v>#REF!</v>
      </c>
      <c r="AN38" t="str">
        <f>AND(#REF!,"AAAAAH7v/yc=")</f>
        <v>#REF!</v>
      </c>
      <c r="AO38" t="str">
        <f>AND(#REF!,"AAAAAH7v/yg=")</f>
        <v>#REF!</v>
      </c>
      <c r="AP38" t="str">
        <f>AND(#REF!,"AAAAAH7v/yk=")</f>
        <v>#REF!</v>
      </c>
      <c r="AQ38" t="str">
        <f>AND(#REF!,"AAAAAH7v/yo=")</f>
        <v>#REF!</v>
      </c>
      <c r="AR38" t="str">
        <f>AND(#REF!,"AAAAAH7v/ys=")</f>
        <v>#REF!</v>
      </c>
      <c r="AS38" t="str">
        <f>AND(#REF!,"AAAAAH7v/yw=")</f>
        <v>#REF!</v>
      </c>
      <c r="AT38" t="str">
        <f>AND(#REF!,"AAAAAH7v/y0=")</f>
        <v>#REF!</v>
      </c>
      <c r="AU38" t="str">
        <f>AND(#REF!,"AAAAAH7v/y4=")</f>
        <v>#REF!</v>
      </c>
      <c r="AV38" t="str">
        <f>AND(#REF!,"AAAAAH7v/y8=")</f>
        <v>#REF!</v>
      </c>
      <c r="AW38" t="str">
        <f>AND(#REF!,"AAAAAH7v/zA=")</f>
        <v>#REF!</v>
      </c>
      <c r="AX38" t="str">
        <f>AND(#REF!,"AAAAAH7v/zE=")</f>
        <v>#REF!</v>
      </c>
      <c r="AY38" t="str">
        <f>AND(#REF!,"AAAAAH7v/zI=")</f>
        <v>#REF!</v>
      </c>
      <c r="AZ38" t="str">
        <f>AND(#REF!,"AAAAAH7v/zM=")</f>
        <v>#REF!</v>
      </c>
      <c r="BA38" t="str">
        <f>AND(#REF!,"AAAAAH7v/zQ=")</f>
        <v>#REF!</v>
      </c>
      <c r="BB38" t="str">
        <f>AND(#REF!,"AAAAAH7v/zU=")</f>
        <v>#REF!</v>
      </c>
      <c r="BC38" t="str">
        <f>AND(#REF!,"AAAAAH7v/zY=")</f>
        <v>#REF!</v>
      </c>
      <c r="BD38" t="str">
        <f>AND(#REF!,"AAAAAH7v/zc=")</f>
        <v>#REF!</v>
      </c>
      <c r="BE38" t="str">
        <f>AND(#REF!,"AAAAAH7v/zg=")</f>
        <v>#REF!</v>
      </c>
      <c r="BF38" t="str">
        <f>AND(#REF!,"AAAAAH7v/zk=")</f>
        <v>#REF!</v>
      </c>
      <c r="BG38" t="str">
        <f>AND(#REF!,"AAAAAH7v/zo=")</f>
        <v>#REF!</v>
      </c>
      <c r="BH38" t="str">
        <f>AND(#REF!,"AAAAAH7v/zs=")</f>
        <v>#REF!</v>
      </c>
      <c r="BI38" t="str">
        <f>AND(#REF!,"AAAAAH7v/zw=")</f>
        <v>#REF!</v>
      </c>
      <c r="BJ38" t="str">
        <f>AND(#REF!,"AAAAAH7v/z0=")</f>
        <v>#REF!</v>
      </c>
      <c r="BK38" t="str">
        <f>AND(#REF!,"AAAAAH7v/z4=")</f>
        <v>#REF!</v>
      </c>
      <c r="BL38" t="str">
        <f>AND(#REF!,"AAAAAH7v/z8=")</f>
        <v>#REF!</v>
      </c>
      <c r="BM38" t="str">
        <f>AND(#REF!,"AAAAAH7v/0A=")</f>
        <v>#REF!</v>
      </c>
      <c r="BN38" t="str">
        <f>AND(#REF!,"AAAAAH7v/0E=")</f>
        <v>#REF!</v>
      </c>
      <c r="BO38" t="str">
        <f>AND(#REF!,"AAAAAH7v/0I=")</f>
        <v>#REF!</v>
      </c>
      <c r="BP38" t="str">
        <f>AND(#REF!,"AAAAAH7v/0M=")</f>
        <v>#REF!</v>
      </c>
      <c r="BQ38" t="str">
        <f>AND(#REF!,"AAAAAH7v/0Q=")</f>
        <v>#REF!</v>
      </c>
      <c r="BR38" t="str">
        <f>AND(#REF!,"AAAAAH7v/0U=")</f>
        <v>#REF!</v>
      </c>
      <c r="BS38" t="str">
        <f>AND(#REF!,"AAAAAH7v/0Y=")</f>
        <v>#REF!</v>
      </c>
      <c r="BT38" t="str">
        <f>AND(#REF!,"AAAAAH7v/0c=")</f>
        <v>#REF!</v>
      </c>
      <c r="BU38" t="str">
        <f>AND(#REF!,"AAAAAH7v/0g=")</f>
        <v>#REF!</v>
      </c>
      <c r="BV38" t="str">
        <f>AND(#REF!,"AAAAAH7v/0k=")</f>
        <v>#REF!</v>
      </c>
      <c r="BW38" t="str">
        <f>AND(#REF!,"AAAAAH7v/0o=")</f>
        <v>#REF!</v>
      </c>
      <c r="BX38" t="str">
        <f>AND(#REF!,"AAAAAH7v/0s=")</f>
        <v>#REF!</v>
      </c>
      <c r="BY38" t="str">
        <f>AND(#REF!,"AAAAAH7v/0w=")</f>
        <v>#REF!</v>
      </c>
      <c r="BZ38" t="str">
        <f>AND(#REF!,"AAAAAH7v/00=")</f>
        <v>#REF!</v>
      </c>
      <c r="CA38" t="str">
        <f>IF(#REF!,"AAAAAH7v/04=",0)</f>
        <v>#REF!</v>
      </c>
      <c r="CB38" t="str">
        <f>AND(#REF!,"AAAAAH7v/08=")</f>
        <v>#REF!</v>
      </c>
      <c r="CC38" t="str">
        <f>AND(#REF!,"AAAAAH7v/1A=")</f>
        <v>#REF!</v>
      </c>
      <c r="CD38" t="str">
        <f>AND(#REF!,"AAAAAH7v/1E=")</f>
        <v>#REF!</v>
      </c>
      <c r="CE38" t="str">
        <f>AND(#REF!,"AAAAAH7v/1I=")</f>
        <v>#REF!</v>
      </c>
      <c r="CF38" t="str">
        <f>AND(#REF!,"AAAAAH7v/1M=")</f>
        <v>#REF!</v>
      </c>
      <c r="CG38" t="str">
        <f>AND(#REF!,"AAAAAH7v/1Q=")</f>
        <v>#REF!</v>
      </c>
      <c r="CH38" t="str">
        <f>AND(#REF!,"AAAAAH7v/1U=")</f>
        <v>#REF!</v>
      </c>
      <c r="CI38" t="str">
        <f>AND(#REF!,"AAAAAH7v/1Y=")</f>
        <v>#REF!</v>
      </c>
      <c r="CJ38" t="str">
        <f>AND(#REF!,"AAAAAH7v/1c=")</f>
        <v>#REF!</v>
      </c>
      <c r="CK38" t="str">
        <f>AND(#REF!,"AAAAAH7v/1g=")</f>
        <v>#REF!</v>
      </c>
      <c r="CL38" t="str">
        <f>AND(#REF!,"AAAAAH7v/1k=")</f>
        <v>#REF!</v>
      </c>
      <c r="CM38" t="str">
        <f>AND(#REF!,"AAAAAH7v/1o=")</f>
        <v>#REF!</v>
      </c>
      <c r="CN38" t="str">
        <f>AND(#REF!,"AAAAAH7v/1s=")</f>
        <v>#REF!</v>
      </c>
      <c r="CO38" t="str">
        <f>AND(#REF!,"AAAAAH7v/1w=")</f>
        <v>#REF!</v>
      </c>
      <c r="CP38" t="str">
        <f>AND(#REF!,"AAAAAH7v/10=")</f>
        <v>#REF!</v>
      </c>
      <c r="CQ38" t="str">
        <f>AND(#REF!,"AAAAAH7v/14=")</f>
        <v>#REF!</v>
      </c>
      <c r="CR38" t="str">
        <f>AND(#REF!,"AAAAAH7v/18=")</f>
        <v>#REF!</v>
      </c>
      <c r="CS38" t="str">
        <f>AND(#REF!,"AAAAAH7v/2A=")</f>
        <v>#REF!</v>
      </c>
      <c r="CT38" t="str">
        <f>AND(#REF!,"AAAAAH7v/2E=")</f>
        <v>#REF!</v>
      </c>
      <c r="CU38" t="str">
        <f>AND(#REF!,"AAAAAH7v/2I=")</f>
        <v>#REF!</v>
      </c>
      <c r="CV38" t="str">
        <f>AND(#REF!,"AAAAAH7v/2M=")</f>
        <v>#REF!</v>
      </c>
      <c r="CW38" t="str">
        <f>AND(#REF!,"AAAAAH7v/2Q=")</f>
        <v>#REF!</v>
      </c>
      <c r="CX38" t="str">
        <f>AND(#REF!,"AAAAAH7v/2U=")</f>
        <v>#REF!</v>
      </c>
      <c r="CY38" t="str">
        <f>AND(#REF!,"AAAAAH7v/2Y=")</f>
        <v>#REF!</v>
      </c>
      <c r="CZ38" t="str">
        <f>AND(#REF!,"AAAAAH7v/2c=")</f>
        <v>#REF!</v>
      </c>
      <c r="DA38" t="str">
        <f>AND(#REF!,"AAAAAH7v/2g=")</f>
        <v>#REF!</v>
      </c>
      <c r="DB38" t="str">
        <f>AND(#REF!,"AAAAAH7v/2k=")</f>
        <v>#REF!</v>
      </c>
      <c r="DC38" t="str">
        <f>AND(#REF!,"AAAAAH7v/2o=")</f>
        <v>#REF!</v>
      </c>
      <c r="DD38" t="str">
        <f>AND(#REF!,"AAAAAH7v/2s=")</f>
        <v>#REF!</v>
      </c>
      <c r="DE38" t="str">
        <f>AND(#REF!,"AAAAAH7v/2w=")</f>
        <v>#REF!</v>
      </c>
      <c r="DF38" t="str">
        <f>AND(#REF!,"AAAAAH7v/20=")</f>
        <v>#REF!</v>
      </c>
      <c r="DG38" t="str">
        <f>AND(#REF!,"AAAAAH7v/24=")</f>
        <v>#REF!</v>
      </c>
      <c r="DH38" t="str">
        <f>AND(#REF!,"AAAAAH7v/28=")</f>
        <v>#REF!</v>
      </c>
      <c r="DI38" t="str">
        <f>AND(#REF!,"AAAAAH7v/3A=")</f>
        <v>#REF!</v>
      </c>
      <c r="DJ38" t="str">
        <f>AND(#REF!,"AAAAAH7v/3E=")</f>
        <v>#REF!</v>
      </c>
      <c r="DK38" t="str">
        <f>AND(#REF!,"AAAAAH7v/3I=")</f>
        <v>#REF!</v>
      </c>
      <c r="DL38" t="str">
        <f>AND(#REF!,"AAAAAH7v/3M=")</f>
        <v>#REF!</v>
      </c>
      <c r="DM38" t="str">
        <f>AND(#REF!,"AAAAAH7v/3Q=")</f>
        <v>#REF!</v>
      </c>
      <c r="DN38" t="str">
        <f>AND(#REF!,"AAAAAH7v/3U=")</f>
        <v>#REF!</v>
      </c>
      <c r="DO38" t="str">
        <f>AND(#REF!,"AAAAAH7v/3Y=")</f>
        <v>#REF!</v>
      </c>
      <c r="DP38" t="str">
        <f>AND(#REF!,"AAAAAH7v/3c=")</f>
        <v>#REF!</v>
      </c>
      <c r="DQ38" t="str">
        <f>AND(#REF!,"AAAAAH7v/3g=")</f>
        <v>#REF!</v>
      </c>
      <c r="DR38" t="str">
        <f>AND(#REF!,"AAAAAH7v/3k=")</f>
        <v>#REF!</v>
      </c>
      <c r="DS38" t="str">
        <f>AND(#REF!,"AAAAAH7v/3o=")</f>
        <v>#REF!</v>
      </c>
      <c r="DT38" t="str">
        <f>AND(#REF!,"AAAAAH7v/3s=")</f>
        <v>#REF!</v>
      </c>
      <c r="DU38" t="str">
        <f>AND(#REF!,"AAAAAH7v/3w=")</f>
        <v>#REF!</v>
      </c>
      <c r="DV38" t="str">
        <f>AND(#REF!,"AAAAAH7v/30=")</f>
        <v>#REF!</v>
      </c>
      <c r="DW38" t="str">
        <f>AND(#REF!,"AAAAAH7v/34=")</f>
        <v>#REF!</v>
      </c>
      <c r="DX38" t="str">
        <f>AND(#REF!,"AAAAAH7v/38=")</f>
        <v>#REF!</v>
      </c>
      <c r="DY38" t="str">
        <f>AND(#REF!,"AAAAAH7v/4A=")</f>
        <v>#REF!</v>
      </c>
      <c r="DZ38" t="str">
        <f>AND(#REF!,"AAAAAH7v/4E=")</f>
        <v>#REF!</v>
      </c>
      <c r="EA38" t="str">
        <f>AND(#REF!,"AAAAAH7v/4I=")</f>
        <v>#REF!</v>
      </c>
      <c r="EB38" t="str">
        <f>AND(#REF!,"AAAAAH7v/4M=")</f>
        <v>#REF!</v>
      </c>
      <c r="EC38" t="str">
        <f>AND(#REF!,"AAAAAH7v/4Q=")</f>
        <v>#REF!</v>
      </c>
      <c r="ED38" t="str">
        <f>AND(#REF!,"AAAAAH7v/4U=")</f>
        <v>#REF!</v>
      </c>
      <c r="EE38" t="str">
        <f>AND(#REF!,"AAAAAH7v/4Y=")</f>
        <v>#REF!</v>
      </c>
      <c r="EF38" t="str">
        <f>AND(#REF!,"AAAAAH7v/4c=")</f>
        <v>#REF!</v>
      </c>
      <c r="EG38" t="str">
        <f>AND(#REF!,"AAAAAH7v/4g=")</f>
        <v>#REF!</v>
      </c>
      <c r="EH38" t="str">
        <f>AND(#REF!,"AAAAAH7v/4k=")</f>
        <v>#REF!</v>
      </c>
      <c r="EI38" t="str">
        <f>AND(#REF!,"AAAAAH7v/4o=")</f>
        <v>#REF!</v>
      </c>
      <c r="EJ38" t="str">
        <f>AND(#REF!,"AAAAAH7v/4s=")</f>
        <v>#REF!</v>
      </c>
      <c r="EK38" t="str">
        <f>AND(#REF!,"AAAAAH7v/4w=")</f>
        <v>#REF!</v>
      </c>
      <c r="EL38" t="str">
        <f>AND(#REF!,"AAAAAH7v/40=")</f>
        <v>#REF!</v>
      </c>
      <c r="EM38" t="str">
        <f>AND(#REF!,"AAAAAH7v/44=")</f>
        <v>#REF!</v>
      </c>
      <c r="EN38" t="str">
        <f>AND(#REF!,"AAAAAH7v/48=")</f>
        <v>#REF!</v>
      </c>
      <c r="EO38" t="str">
        <f>AND(#REF!,"AAAAAH7v/5A=")</f>
        <v>#REF!</v>
      </c>
      <c r="EP38" t="str">
        <f>AND(#REF!,"AAAAAH7v/5E=")</f>
        <v>#REF!</v>
      </c>
      <c r="EQ38" t="str">
        <f>AND(#REF!,"AAAAAH7v/5I=")</f>
        <v>#REF!</v>
      </c>
      <c r="ER38" t="str">
        <f>AND(#REF!,"AAAAAH7v/5M=")</f>
        <v>#REF!</v>
      </c>
      <c r="ES38" t="str">
        <f>AND(#REF!,"AAAAAH7v/5Q=")</f>
        <v>#REF!</v>
      </c>
      <c r="ET38" t="str">
        <f>AND(#REF!,"AAAAAH7v/5U=")</f>
        <v>#REF!</v>
      </c>
      <c r="EU38" t="str">
        <f>AND(#REF!,"AAAAAH7v/5Y=")</f>
        <v>#REF!</v>
      </c>
      <c r="EV38" t="str">
        <f>AND(#REF!,"AAAAAH7v/5c=")</f>
        <v>#REF!</v>
      </c>
      <c r="EW38" t="str">
        <f>AND(#REF!,"AAAAAH7v/5g=")</f>
        <v>#REF!</v>
      </c>
      <c r="EX38" t="str">
        <f>AND(#REF!,"AAAAAH7v/5k=")</f>
        <v>#REF!</v>
      </c>
      <c r="EY38" t="str">
        <f>IF(#REF!,"AAAAAH7v/5o=",0)</f>
        <v>#REF!</v>
      </c>
      <c r="EZ38" t="str">
        <f>AND(#REF!,"AAAAAH7v/5s=")</f>
        <v>#REF!</v>
      </c>
      <c r="FA38" t="str">
        <f>AND(#REF!,"AAAAAH7v/5w=")</f>
        <v>#REF!</v>
      </c>
      <c r="FB38" t="str">
        <f>AND(#REF!,"AAAAAH7v/50=")</f>
        <v>#REF!</v>
      </c>
      <c r="FC38" t="str">
        <f>AND(#REF!,"AAAAAH7v/54=")</f>
        <v>#REF!</v>
      </c>
      <c r="FD38" t="str">
        <f>AND(#REF!,"AAAAAH7v/58=")</f>
        <v>#REF!</v>
      </c>
      <c r="FE38" t="str">
        <f>AND(#REF!,"AAAAAH7v/6A=")</f>
        <v>#REF!</v>
      </c>
      <c r="FF38" t="str">
        <f>AND(#REF!,"AAAAAH7v/6E=")</f>
        <v>#REF!</v>
      </c>
      <c r="FG38" t="str">
        <f>AND(#REF!,"AAAAAH7v/6I=")</f>
        <v>#REF!</v>
      </c>
      <c r="FH38" t="str">
        <f>AND(#REF!,"AAAAAH7v/6M=")</f>
        <v>#REF!</v>
      </c>
      <c r="FI38" t="str">
        <f>AND(#REF!,"AAAAAH7v/6Q=")</f>
        <v>#REF!</v>
      </c>
      <c r="FJ38" t="str">
        <f>AND(#REF!,"AAAAAH7v/6U=")</f>
        <v>#REF!</v>
      </c>
      <c r="FK38" t="str">
        <f>AND(#REF!,"AAAAAH7v/6Y=")</f>
        <v>#REF!</v>
      </c>
      <c r="FL38" t="str">
        <f>AND(#REF!,"AAAAAH7v/6c=")</f>
        <v>#REF!</v>
      </c>
      <c r="FM38" t="str">
        <f>AND(#REF!,"AAAAAH7v/6g=")</f>
        <v>#REF!</v>
      </c>
      <c r="FN38" t="str">
        <f>AND(#REF!,"AAAAAH7v/6k=")</f>
        <v>#REF!</v>
      </c>
      <c r="FO38" t="str">
        <f>AND(#REF!,"AAAAAH7v/6o=")</f>
        <v>#REF!</v>
      </c>
      <c r="FP38" t="str">
        <f>AND(#REF!,"AAAAAH7v/6s=")</f>
        <v>#REF!</v>
      </c>
      <c r="FQ38" t="str">
        <f>AND(#REF!,"AAAAAH7v/6w=")</f>
        <v>#REF!</v>
      </c>
      <c r="FR38" t="str">
        <f>AND(#REF!,"AAAAAH7v/60=")</f>
        <v>#REF!</v>
      </c>
      <c r="FS38" t="str">
        <f>AND(#REF!,"AAAAAH7v/64=")</f>
        <v>#REF!</v>
      </c>
      <c r="FT38" t="str">
        <f>AND(#REF!,"AAAAAH7v/68=")</f>
        <v>#REF!</v>
      </c>
      <c r="FU38" t="str">
        <f>AND(#REF!,"AAAAAH7v/7A=")</f>
        <v>#REF!</v>
      </c>
      <c r="FV38" t="str">
        <f>AND(#REF!,"AAAAAH7v/7E=")</f>
        <v>#REF!</v>
      </c>
      <c r="FW38" t="str">
        <f>AND(#REF!,"AAAAAH7v/7I=")</f>
        <v>#REF!</v>
      </c>
      <c r="FX38" t="str">
        <f>AND(#REF!,"AAAAAH7v/7M=")</f>
        <v>#REF!</v>
      </c>
      <c r="FY38" t="str">
        <f>AND(#REF!,"AAAAAH7v/7Q=")</f>
        <v>#REF!</v>
      </c>
      <c r="FZ38" t="str">
        <f>AND(#REF!,"AAAAAH7v/7U=")</f>
        <v>#REF!</v>
      </c>
      <c r="GA38" t="str">
        <f>AND(#REF!,"AAAAAH7v/7Y=")</f>
        <v>#REF!</v>
      </c>
      <c r="GB38" t="str">
        <f>AND(#REF!,"AAAAAH7v/7c=")</f>
        <v>#REF!</v>
      </c>
      <c r="GC38" t="str">
        <f>AND(#REF!,"AAAAAH7v/7g=")</f>
        <v>#REF!</v>
      </c>
      <c r="GD38" t="str">
        <f>AND(#REF!,"AAAAAH7v/7k=")</f>
        <v>#REF!</v>
      </c>
      <c r="GE38" t="str">
        <f>AND(#REF!,"AAAAAH7v/7o=")</f>
        <v>#REF!</v>
      </c>
      <c r="GF38" t="str">
        <f>AND(#REF!,"AAAAAH7v/7s=")</f>
        <v>#REF!</v>
      </c>
      <c r="GG38" t="str">
        <f>AND(#REF!,"AAAAAH7v/7w=")</f>
        <v>#REF!</v>
      </c>
      <c r="GH38" t="str">
        <f>AND(#REF!,"AAAAAH7v/70=")</f>
        <v>#REF!</v>
      </c>
      <c r="GI38" t="str">
        <f>AND(#REF!,"AAAAAH7v/74=")</f>
        <v>#REF!</v>
      </c>
      <c r="GJ38" t="str">
        <f>AND(#REF!,"AAAAAH7v/78=")</f>
        <v>#REF!</v>
      </c>
      <c r="GK38" t="str">
        <f>AND(#REF!,"AAAAAH7v/8A=")</f>
        <v>#REF!</v>
      </c>
      <c r="GL38" t="str">
        <f>AND(#REF!,"AAAAAH7v/8E=")</f>
        <v>#REF!</v>
      </c>
      <c r="GM38" t="str">
        <f>AND(#REF!,"AAAAAH7v/8I=")</f>
        <v>#REF!</v>
      </c>
      <c r="GN38" t="str">
        <f>AND(#REF!,"AAAAAH7v/8M=")</f>
        <v>#REF!</v>
      </c>
      <c r="GO38" t="str">
        <f>AND(#REF!,"AAAAAH7v/8Q=")</f>
        <v>#REF!</v>
      </c>
      <c r="GP38" t="str">
        <f>AND(#REF!,"AAAAAH7v/8U=")</f>
        <v>#REF!</v>
      </c>
      <c r="GQ38" t="str">
        <f>AND(#REF!,"AAAAAH7v/8Y=")</f>
        <v>#REF!</v>
      </c>
      <c r="GR38" t="str">
        <f>AND(#REF!,"AAAAAH7v/8c=")</f>
        <v>#REF!</v>
      </c>
      <c r="GS38" t="str">
        <f>AND(#REF!,"AAAAAH7v/8g=")</f>
        <v>#REF!</v>
      </c>
      <c r="GT38" t="str">
        <f>AND(#REF!,"AAAAAH7v/8k=")</f>
        <v>#REF!</v>
      </c>
      <c r="GU38" t="str">
        <f>AND(#REF!,"AAAAAH7v/8o=")</f>
        <v>#REF!</v>
      </c>
      <c r="GV38" t="str">
        <f>AND(#REF!,"AAAAAH7v/8s=")</f>
        <v>#REF!</v>
      </c>
      <c r="GW38" t="str">
        <f>AND(#REF!,"AAAAAH7v/8w=")</f>
        <v>#REF!</v>
      </c>
      <c r="GX38" t="str">
        <f>AND(#REF!,"AAAAAH7v/80=")</f>
        <v>#REF!</v>
      </c>
      <c r="GY38" t="str">
        <f>AND(#REF!,"AAAAAH7v/84=")</f>
        <v>#REF!</v>
      </c>
      <c r="GZ38" t="str">
        <f>AND(#REF!,"AAAAAH7v/88=")</f>
        <v>#REF!</v>
      </c>
      <c r="HA38" t="str">
        <f>AND(#REF!,"AAAAAH7v/9A=")</f>
        <v>#REF!</v>
      </c>
      <c r="HB38" t="str">
        <f>AND(#REF!,"AAAAAH7v/9E=")</f>
        <v>#REF!</v>
      </c>
      <c r="HC38" t="str">
        <f>AND(#REF!,"AAAAAH7v/9I=")</f>
        <v>#REF!</v>
      </c>
      <c r="HD38" t="str">
        <f>AND(#REF!,"AAAAAH7v/9M=")</f>
        <v>#REF!</v>
      </c>
      <c r="HE38" t="str">
        <f>AND(#REF!,"AAAAAH7v/9Q=")</f>
        <v>#REF!</v>
      </c>
      <c r="HF38" t="str">
        <f>AND(#REF!,"AAAAAH7v/9U=")</f>
        <v>#REF!</v>
      </c>
      <c r="HG38" t="str">
        <f>AND(#REF!,"AAAAAH7v/9Y=")</f>
        <v>#REF!</v>
      </c>
      <c r="HH38" t="str">
        <f>AND(#REF!,"AAAAAH7v/9c=")</f>
        <v>#REF!</v>
      </c>
      <c r="HI38" t="str">
        <f>AND(#REF!,"AAAAAH7v/9g=")</f>
        <v>#REF!</v>
      </c>
      <c r="HJ38" t="str">
        <f>AND(#REF!,"AAAAAH7v/9k=")</f>
        <v>#REF!</v>
      </c>
      <c r="HK38" t="str">
        <f>AND(#REF!,"AAAAAH7v/9o=")</f>
        <v>#REF!</v>
      </c>
      <c r="HL38" t="str">
        <f>AND(#REF!,"AAAAAH7v/9s=")</f>
        <v>#REF!</v>
      </c>
      <c r="HM38" t="str">
        <f>AND(#REF!,"AAAAAH7v/9w=")</f>
        <v>#REF!</v>
      </c>
      <c r="HN38" t="str">
        <f>AND(#REF!,"AAAAAH7v/90=")</f>
        <v>#REF!</v>
      </c>
      <c r="HO38" t="str">
        <f>AND(#REF!,"AAAAAH7v/94=")</f>
        <v>#REF!</v>
      </c>
      <c r="HP38" t="str">
        <f>AND(#REF!,"AAAAAH7v/98=")</f>
        <v>#REF!</v>
      </c>
      <c r="HQ38" t="str">
        <f>AND(#REF!,"AAAAAH7v/+A=")</f>
        <v>#REF!</v>
      </c>
      <c r="HR38" t="str">
        <f>AND(#REF!,"AAAAAH7v/+E=")</f>
        <v>#REF!</v>
      </c>
      <c r="HS38" t="str">
        <f>AND(#REF!,"AAAAAH7v/+I=")</f>
        <v>#REF!</v>
      </c>
      <c r="HT38" t="str">
        <f>AND(#REF!,"AAAAAH7v/+M=")</f>
        <v>#REF!</v>
      </c>
      <c r="HU38" t="str">
        <f>AND(#REF!,"AAAAAH7v/+Q=")</f>
        <v>#REF!</v>
      </c>
      <c r="HV38" t="str">
        <f>AND(#REF!,"AAAAAH7v/+U=")</f>
        <v>#REF!</v>
      </c>
      <c r="HW38" t="str">
        <f>IF(#REF!,"AAAAAH7v/+Y=",0)</f>
        <v>#REF!</v>
      </c>
      <c r="HX38" t="str">
        <f>AND(#REF!,"AAAAAH7v/+c=")</f>
        <v>#REF!</v>
      </c>
      <c r="HY38" t="str">
        <f>AND(#REF!,"AAAAAH7v/+g=")</f>
        <v>#REF!</v>
      </c>
      <c r="HZ38" t="str">
        <f>AND(#REF!,"AAAAAH7v/+k=")</f>
        <v>#REF!</v>
      </c>
      <c r="IA38" t="str">
        <f>AND(#REF!,"AAAAAH7v/+o=")</f>
        <v>#REF!</v>
      </c>
      <c r="IB38" t="str">
        <f>AND(#REF!,"AAAAAH7v/+s=")</f>
        <v>#REF!</v>
      </c>
      <c r="IC38" t="str">
        <f>AND(#REF!,"AAAAAH7v/+w=")</f>
        <v>#REF!</v>
      </c>
      <c r="ID38" t="str">
        <f>AND(#REF!,"AAAAAH7v/+0=")</f>
        <v>#REF!</v>
      </c>
      <c r="IE38" t="str">
        <f>AND(#REF!,"AAAAAH7v/+4=")</f>
        <v>#REF!</v>
      </c>
      <c r="IF38" t="str">
        <f>AND(#REF!,"AAAAAH7v/+8=")</f>
        <v>#REF!</v>
      </c>
      <c r="IG38" t="str">
        <f>AND(#REF!,"AAAAAH7v//A=")</f>
        <v>#REF!</v>
      </c>
      <c r="IH38" t="str">
        <f>AND(#REF!,"AAAAAH7v//E=")</f>
        <v>#REF!</v>
      </c>
      <c r="II38" t="str">
        <f>AND(#REF!,"AAAAAH7v//I=")</f>
        <v>#REF!</v>
      </c>
      <c r="IJ38" t="str">
        <f>AND(#REF!,"AAAAAH7v//M=")</f>
        <v>#REF!</v>
      </c>
      <c r="IK38" t="str">
        <f>AND(#REF!,"AAAAAH7v//Q=")</f>
        <v>#REF!</v>
      </c>
      <c r="IL38" t="str">
        <f>AND(#REF!,"AAAAAH7v//U=")</f>
        <v>#REF!</v>
      </c>
      <c r="IM38" t="str">
        <f>AND(#REF!,"AAAAAH7v//Y=")</f>
        <v>#REF!</v>
      </c>
      <c r="IN38" t="str">
        <f>AND(#REF!,"AAAAAH7v//c=")</f>
        <v>#REF!</v>
      </c>
      <c r="IO38" t="str">
        <f>AND(#REF!,"AAAAAH7v//g=")</f>
        <v>#REF!</v>
      </c>
      <c r="IP38" t="str">
        <f>AND(#REF!,"AAAAAH7v//k=")</f>
        <v>#REF!</v>
      </c>
      <c r="IQ38" t="str">
        <f>AND(#REF!,"AAAAAH7v//o=")</f>
        <v>#REF!</v>
      </c>
      <c r="IR38" t="str">
        <f>AND(#REF!,"AAAAAH7v//s=")</f>
        <v>#REF!</v>
      </c>
      <c r="IS38" t="str">
        <f>AND(#REF!,"AAAAAH7v//w=")</f>
        <v>#REF!</v>
      </c>
      <c r="IT38" t="str">
        <f>AND(#REF!,"AAAAAH7v//0=")</f>
        <v>#REF!</v>
      </c>
      <c r="IU38" t="str">
        <f>AND(#REF!,"AAAAAH7v//4=")</f>
        <v>#REF!</v>
      </c>
      <c r="IV38" t="str">
        <f>AND(#REF!,"AAAAAH7v//8=")</f>
        <v>#REF!</v>
      </c>
    </row>
    <row r="39" ht="15.75" customHeight="1">
      <c r="A39" t="str">
        <f>AND(#REF!,"AAAAAB//1QA=")</f>
        <v>#REF!</v>
      </c>
      <c r="B39" t="str">
        <f>AND(#REF!,"AAAAAB//1QE=")</f>
        <v>#REF!</v>
      </c>
      <c r="C39" t="str">
        <f>AND(#REF!,"AAAAAB//1QI=")</f>
        <v>#REF!</v>
      </c>
      <c r="D39" t="str">
        <f>AND(#REF!,"AAAAAB//1QM=")</f>
        <v>#REF!</v>
      </c>
      <c r="E39" t="str">
        <f>AND(#REF!,"AAAAAB//1QQ=")</f>
        <v>#REF!</v>
      </c>
      <c r="F39" t="str">
        <f>AND(#REF!,"AAAAAB//1QU=")</f>
        <v>#REF!</v>
      </c>
      <c r="G39" t="str">
        <f>AND(#REF!,"AAAAAB//1QY=")</f>
        <v>#REF!</v>
      </c>
      <c r="H39" t="str">
        <f>AND(#REF!,"AAAAAB//1Qc=")</f>
        <v>#REF!</v>
      </c>
      <c r="I39" t="str">
        <f>AND(#REF!,"AAAAAB//1Qg=")</f>
        <v>#REF!</v>
      </c>
      <c r="J39" t="str">
        <f>AND(#REF!,"AAAAAB//1Qk=")</f>
        <v>#REF!</v>
      </c>
      <c r="K39" t="str">
        <f>AND(#REF!,"AAAAAB//1Qo=")</f>
        <v>#REF!</v>
      </c>
      <c r="L39" t="str">
        <f>AND(#REF!,"AAAAAB//1Qs=")</f>
        <v>#REF!</v>
      </c>
      <c r="M39" t="str">
        <f>AND(#REF!,"AAAAAB//1Qw=")</f>
        <v>#REF!</v>
      </c>
      <c r="N39" t="str">
        <f>AND(#REF!,"AAAAAB//1Q0=")</f>
        <v>#REF!</v>
      </c>
      <c r="O39" t="str">
        <f>AND(#REF!,"AAAAAB//1Q4=")</f>
        <v>#REF!</v>
      </c>
      <c r="P39" t="str">
        <f>AND(#REF!,"AAAAAB//1Q8=")</f>
        <v>#REF!</v>
      </c>
      <c r="Q39" t="str">
        <f>AND(#REF!,"AAAAAB//1RA=")</f>
        <v>#REF!</v>
      </c>
      <c r="R39" t="str">
        <f>AND(#REF!,"AAAAAB//1RE=")</f>
        <v>#REF!</v>
      </c>
      <c r="S39" t="str">
        <f>AND(#REF!,"AAAAAB//1RI=")</f>
        <v>#REF!</v>
      </c>
      <c r="T39" t="str">
        <f>AND(#REF!,"AAAAAB//1RM=")</f>
        <v>#REF!</v>
      </c>
      <c r="U39" t="str">
        <f>AND(#REF!,"AAAAAB//1RQ=")</f>
        <v>#REF!</v>
      </c>
      <c r="V39" t="str">
        <f>AND(#REF!,"AAAAAB//1RU=")</f>
        <v>#REF!</v>
      </c>
      <c r="W39" t="str">
        <f>AND(#REF!,"AAAAAB//1RY=")</f>
        <v>#REF!</v>
      </c>
      <c r="X39" t="str">
        <f>AND(#REF!,"AAAAAB//1Rc=")</f>
        <v>#REF!</v>
      </c>
      <c r="Y39" t="str">
        <f>AND(#REF!,"AAAAAB//1Rg=")</f>
        <v>#REF!</v>
      </c>
      <c r="Z39" t="str">
        <f>AND(#REF!,"AAAAAB//1Rk=")</f>
        <v>#REF!</v>
      </c>
      <c r="AA39" t="str">
        <f>AND(#REF!,"AAAAAB//1Ro=")</f>
        <v>#REF!</v>
      </c>
      <c r="AB39" t="str">
        <f>AND(#REF!,"AAAAAB//1Rs=")</f>
        <v>#REF!</v>
      </c>
      <c r="AC39" t="str">
        <f>AND(#REF!,"AAAAAB//1Rw=")</f>
        <v>#REF!</v>
      </c>
      <c r="AD39" t="str">
        <f>AND(#REF!,"AAAAAB//1R0=")</f>
        <v>#REF!</v>
      </c>
      <c r="AE39" t="str">
        <f>AND(#REF!,"AAAAAB//1R4=")</f>
        <v>#REF!</v>
      </c>
      <c r="AF39" t="str">
        <f>AND(#REF!,"AAAAAB//1R8=")</f>
        <v>#REF!</v>
      </c>
      <c r="AG39" t="str">
        <f>AND(#REF!,"AAAAAB//1SA=")</f>
        <v>#REF!</v>
      </c>
      <c r="AH39" t="str">
        <f>AND(#REF!,"AAAAAB//1SE=")</f>
        <v>#REF!</v>
      </c>
      <c r="AI39" t="str">
        <f>AND(#REF!,"AAAAAB//1SI=")</f>
        <v>#REF!</v>
      </c>
      <c r="AJ39" t="str">
        <f>AND(#REF!,"AAAAAB//1SM=")</f>
        <v>#REF!</v>
      </c>
      <c r="AK39" t="str">
        <f>AND(#REF!,"AAAAAB//1SQ=")</f>
        <v>#REF!</v>
      </c>
      <c r="AL39" t="str">
        <f>AND(#REF!,"AAAAAB//1SU=")</f>
        <v>#REF!</v>
      </c>
      <c r="AM39" t="str">
        <f>AND(#REF!,"AAAAAB//1SY=")</f>
        <v>#REF!</v>
      </c>
      <c r="AN39" t="str">
        <f>AND(#REF!,"AAAAAB//1Sc=")</f>
        <v>#REF!</v>
      </c>
      <c r="AO39" t="str">
        <f>AND(#REF!,"AAAAAB//1Sg=")</f>
        <v>#REF!</v>
      </c>
      <c r="AP39" t="str">
        <f>AND(#REF!,"AAAAAB//1Sk=")</f>
        <v>#REF!</v>
      </c>
      <c r="AQ39" t="str">
        <f>AND(#REF!,"AAAAAB//1So=")</f>
        <v>#REF!</v>
      </c>
      <c r="AR39" t="str">
        <f>AND(#REF!,"AAAAAB//1Ss=")</f>
        <v>#REF!</v>
      </c>
      <c r="AS39" t="str">
        <f>AND(#REF!,"AAAAAB//1Sw=")</f>
        <v>#REF!</v>
      </c>
      <c r="AT39" t="str">
        <f>AND(#REF!,"AAAAAB//1S0=")</f>
        <v>#REF!</v>
      </c>
      <c r="AU39" t="str">
        <f>AND(#REF!,"AAAAAB//1S4=")</f>
        <v>#REF!</v>
      </c>
      <c r="AV39" t="str">
        <f>AND(#REF!,"AAAAAB//1S8=")</f>
        <v>#REF!</v>
      </c>
      <c r="AW39" t="str">
        <f>AND(#REF!,"AAAAAB//1TA=")</f>
        <v>#REF!</v>
      </c>
      <c r="AX39" t="str">
        <f>AND(#REF!,"AAAAAB//1TE=")</f>
        <v>#REF!</v>
      </c>
      <c r="AY39" t="str">
        <f>IF(#REF!,"AAAAAB//1TI=",0)</f>
        <v>#REF!</v>
      </c>
      <c r="AZ39" t="str">
        <f>AND(#REF!,"AAAAAB//1TM=")</f>
        <v>#REF!</v>
      </c>
      <c r="BA39" t="str">
        <f>AND(#REF!,"AAAAAB//1TQ=")</f>
        <v>#REF!</v>
      </c>
      <c r="BB39" t="str">
        <f>AND(#REF!,"AAAAAB//1TU=")</f>
        <v>#REF!</v>
      </c>
      <c r="BC39" t="str">
        <f>AND(#REF!,"AAAAAB//1TY=")</f>
        <v>#REF!</v>
      </c>
      <c r="BD39" t="str">
        <f>AND(#REF!,"AAAAAB//1Tc=")</f>
        <v>#REF!</v>
      </c>
      <c r="BE39" t="str">
        <f>AND(#REF!,"AAAAAB//1Tg=")</f>
        <v>#REF!</v>
      </c>
      <c r="BF39" t="str">
        <f>AND(#REF!,"AAAAAB//1Tk=")</f>
        <v>#REF!</v>
      </c>
      <c r="BG39" t="str">
        <f>AND(#REF!,"AAAAAB//1To=")</f>
        <v>#REF!</v>
      </c>
      <c r="BH39" t="str">
        <f>AND(#REF!,"AAAAAB//1Ts=")</f>
        <v>#REF!</v>
      </c>
      <c r="BI39" t="str">
        <f>AND(#REF!,"AAAAAB//1Tw=")</f>
        <v>#REF!</v>
      </c>
      <c r="BJ39" t="str">
        <f>AND(#REF!,"AAAAAB//1T0=")</f>
        <v>#REF!</v>
      </c>
      <c r="BK39" t="str">
        <f>AND(#REF!,"AAAAAB//1T4=")</f>
        <v>#REF!</v>
      </c>
      <c r="BL39" t="str">
        <f>AND(#REF!,"AAAAAB//1T8=")</f>
        <v>#REF!</v>
      </c>
      <c r="BM39" t="str">
        <f>AND(#REF!,"AAAAAB//1UA=")</f>
        <v>#REF!</v>
      </c>
      <c r="BN39" t="str">
        <f>AND(#REF!,"AAAAAB//1UE=")</f>
        <v>#REF!</v>
      </c>
      <c r="BO39" t="str">
        <f>AND(#REF!,"AAAAAB//1UI=")</f>
        <v>#REF!</v>
      </c>
      <c r="BP39" t="str">
        <f>AND(#REF!,"AAAAAB//1UM=")</f>
        <v>#REF!</v>
      </c>
      <c r="BQ39" t="str">
        <f>AND(#REF!,"AAAAAB//1UQ=")</f>
        <v>#REF!</v>
      </c>
      <c r="BR39" t="str">
        <f>AND(#REF!,"AAAAAB//1UU=")</f>
        <v>#REF!</v>
      </c>
      <c r="BS39" t="str">
        <f>AND(#REF!,"AAAAAB//1UY=")</f>
        <v>#REF!</v>
      </c>
      <c r="BT39" t="str">
        <f>AND(#REF!,"AAAAAB//1Uc=")</f>
        <v>#REF!</v>
      </c>
      <c r="BU39" t="str">
        <f>AND(#REF!,"AAAAAB//1Ug=")</f>
        <v>#REF!</v>
      </c>
      <c r="BV39" t="str">
        <f>AND(#REF!,"AAAAAB//1Uk=")</f>
        <v>#REF!</v>
      </c>
      <c r="BW39" t="str">
        <f>AND(#REF!,"AAAAAB//1Uo=")</f>
        <v>#REF!</v>
      </c>
      <c r="BX39" t="str">
        <f>AND(#REF!,"AAAAAB//1Us=")</f>
        <v>#REF!</v>
      </c>
      <c r="BY39" t="str">
        <f>AND(#REF!,"AAAAAB//1Uw=")</f>
        <v>#REF!</v>
      </c>
      <c r="BZ39" t="str">
        <f>AND(#REF!,"AAAAAB//1U0=")</f>
        <v>#REF!</v>
      </c>
      <c r="CA39" t="str">
        <f>AND(#REF!,"AAAAAB//1U4=")</f>
        <v>#REF!</v>
      </c>
      <c r="CB39" t="str">
        <f>AND(#REF!,"AAAAAB//1U8=")</f>
        <v>#REF!</v>
      </c>
      <c r="CC39" t="str">
        <f>AND(#REF!,"AAAAAB//1VA=")</f>
        <v>#REF!</v>
      </c>
      <c r="CD39" t="str">
        <f>AND(#REF!,"AAAAAB//1VE=")</f>
        <v>#REF!</v>
      </c>
      <c r="CE39" t="str">
        <f>AND(#REF!,"AAAAAB//1VI=")</f>
        <v>#REF!</v>
      </c>
      <c r="CF39" t="str">
        <f>AND(#REF!,"AAAAAB//1VM=")</f>
        <v>#REF!</v>
      </c>
      <c r="CG39" t="str">
        <f>AND(#REF!,"AAAAAB//1VQ=")</f>
        <v>#REF!</v>
      </c>
      <c r="CH39" t="str">
        <f>AND(#REF!,"AAAAAB//1VU=")</f>
        <v>#REF!</v>
      </c>
      <c r="CI39" t="str">
        <f>AND(#REF!,"AAAAAB//1VY=")</f>
        <v>#REF!</v>
      </c>
      <c r="CJ39" t="str">
        <f>AND(#REF!,"AAAAAB//1Vc=")</f>
        <v>#REF!</v>
      </c>
      <c r="CK39" t="str">
        <f>AND(#REF!,"AAAAAB//1Vg=")</f>
        <v>#REF!</v>
      </c>
      <c r="CL39" t="str">
        <f>AND(#REF!,"AAAAAB//1Vk=")</f>
        <v>#REF!</v>
      </c>
      <c r="CM39" t="str">
        <f>AND(#REF!,"AAAAAB//1Vo=")</f>
        <v>#REF!</v>
      </c>
      <c r="CN39" t="str">
        <f>AND(#REF!,"AAAAAB//1Vs=")</f>
        <v>#REF!</v>
      </c>
      <c r="CO39" t="str">
        <f>AND(#REF!,"AAAAAB//1Vw=")</f>
        <v>#REF!</v>
      </c>
      <c r="CP39" t="str">
        <f>AND(#REF!,"AAAAAB//1V0=")</f>
        <v>#REF!</v>
      </c>
      <c r="CQ39" t="str">
        <f>AND(#REF!,"AAAAAB//1V4=")</f>
        <v>#REF!</v>
      </c>
      <c r="CR39" t="str">
        <f>AND(#REF!,"AAAAAB//1V8=")</f>
        <v>#REF!</v>
      </c>
      <c r="CS39" t="str">
        <f>AND(#REF!,"AAAAAB//1WA=")</f>
        <v>#REF!</v>
      </c>
      <c r="CT39" t="str">
        <f>AND(#REF!,"AAAAAB//1WE=")</f>
        <v>#REF!</v>
      </c>
      <c r="CU39" t="str">
        <f>AND(#REF!,"AAAAAB//1WI=")</f>
        <v>#REF!</v>
      </c>
      <c r="CV39" t="str">
        <f>AND(#REF!,"AAAAAB//1WM=")</f>
        <v>#REF!</v>
      </c>
      <c r="CW39" t="str">
        <f>AND(#REF!,"AAAAAB//1WQ=")</f>
        <v>#REF!</v>
      </c>
      <c r="CX39" t="str">
        <f>AND(#REF!,"AAAAAB//1WU=")</f>
        <v>#REF!</v>
      </c>
      <c r="CY39" t="str">
        <f>AND(#REF!,"AAAAAB//1WY=")</f>
        <v>#REF!</v>
      </c>
      <c r="CZ39" t="str">
        <f>AND(#REF!,"AAAAAB//1Wc=")</f>
        <v>#REF!</v>
      </c>
      <c r="DA39" t="str">
        <f>AND(#REF!,"AAAAAB//1Wg=")</f>
        <v>#REF!</v>
      </c>
      <c r="DB39" t="str">
        <f>AND(#REF!,"AAAAAB//1Wk=")</f>
        <v>#REF!</v>
      </c>
      <c r="DC39" t="str">
        <f>AND(#REF!,"AAAAAB//1Wo=")</f>
        <v>#REF!</v>
      </c>
      <c r="DD39" t="str">
        <f>AND(#REF!,"AAAAAB//1Ws=")</f>
        <v>#REF!</v>
      </c>
      <c r="DE39" t="str">
        <f>AND(#REF!,"AAAAAB//1Ww=")</f>
        <v>#REF!</v>
      </c>
      <c r="DF39" t="str">
        <f>AND(#REF!,"AAAAAB//1W0=")</f>
        <v>#REF!</v>
      </c>
      <c r="DG39" t="str">
        <f>AND(#REF!,"AAAAAB//1W4=")</f>
        <v>#REF!</v>
      </c>
      <c r="DH39" t="str">
        <f>AND(#REF!,"AAAAAB//1W8=")</f>
        <v>#REF!</v>
      </c>
      <c r="DI39" t="str">
        <f>AND(#REF!,"AAAAAB//1XA=")</f>
        <v>#REF!</v>
      </c>
      <c r="DJ39" t="str">
        <f>AND(#REF!,"AAAAAB//1XE=")</f>
        <v>#REF!</v>
      </c>
      <c r="DK39" t="str">
        <f>AND(#REF!,"AAAAAB//1XI=")</f>
        <v>#REF!</v>
      </c>
      <c r="DL39" t="str">
        <f>AND(#REF!,"AAAAAB//1XM=")</f>
        <v>#REF!</v>
      </c>
      <c r="DM39" t="str">
        <f>AND(#REF!,"AAAAAB//1XQ=")</f>
        <v>#REF!</v>
      </c>
      <c r="DN39" t="str">
        <f>AND(#REF!,"AAAAAB//1XU=")</f>
        <v>#REF!</v>
      </c>
      <c r="DO39" t="str">
        <f>AND(#REF!,"AAAAAB//1XY=")</f>
        <v>#REF!</v>
      </c>
      <c r="DP39" t="str">
        <f>AND(#REF!,"AAAAAB//1Xc=")</f>
        <v>#REF!</v>
      </c>
      <c r="DQ39" t="str">
        <f>AND(#REF!,"AAAAAB//1Xg=")</f>
        <v>#REF!</v>
      </c>
      <c r="DR39" t="str">
        <f>AND(#REF!,"AAAAAB//1Xk=")</f>
        <v>#REF!</v>
      </c>
      <c r="DS39" t="str">
        <f>AND(#REF!,"AAAAAB//1Xo=")</f>
        <v>#REF!</v>
      </c>
      <c r="DT39" t="str">
        <f>AND(#REF!,"AAAAAB//1Xs=")</f>
        <v>#REF!</v>
      </c>
      <c r="DU39" t="str">
        <f>AND(#REF!,"AAAAAB//1Xw=")</f>
        <v>#REF!</v>
      </c>
      <c r="DV39" t="str">
        <f>AND(#REF!,"AAAAAB//1X0=")</f>
        <v>#REF!</v>
      </c>
      <c r="DW39" t="str">
        <f>IF(#REF!,"AAAAAB//1X4=",0)</f>
        <v>#REF!</v>
      </c>
      <c r="DX39" t="str">
        <f>AND(#REF!,"AAAAAB//1X8=")</f>
        <v>#REF!</v>
      </c>
      <c r="DY39" t="str">
        <f>AND(#REF!,"AAAAAB//1YA=")</f>
        <v>#REF!</v>
      </c>
      <c r="DZ39" t="str">
        <f>AND(#REF!,"AAAAAB//1YE=")</f>
        <v>#REF!</v>
      </c>
      <c r="EA39" t="str">
        <f>IF(#REF!,"AAAAAB//1YI=",0)</f>
        <v>#REF!</v>
      </c>
      <c r="EB39" t="str">
        <f>AND(#REF!,"AAAAAB//1YM=")</f>
        <v>#REF!</v>
      </c>
      <c r="EC39" t="str">
        <f>AND(#REF!,"AAAAAB//1YQ=")</f>
        <v>#REF!</v>
      </c>
      <c r="ED39" t="str">
        <f>AND(#REF!,"AAAAAB//1YU=")</f>
        <v>#REF!</v>
      </c>
      <c r="EE39" t="str">
        <f>IF(#REF!,"AAAAAB//1YY=",0)</f>
        <v>#REF!</v>
      </c>
      <c r="EF39" t="str">
        <f>AND(#REF!,"AAAAAB//1Yc=")</f>
        <v>#REF!</v>
      </c>
      <c r="EG39" t="str">
        <f>AND(#REF!,"AAAAAB//1Yg=")</f>
        <v>#REF!</v>
      </c>
      <c r="EH39" t="str">
        <f>AND(#REF!,"AAAAAB//1Yk=")</f>
        <v>#REF!</v>
      </c>
      <c r="EI39" t="str">
        <f>IF(#REF!,"AAAAAB//1Yo=",0)</f>
        <v>#REF!</v>
      </c>
      <c r="EJ39" t="str">
        <f>AND(#REF!,"AAAAAB//1Ys=")</f>
        <v>#REF!</v>
      </c>
      <c r="EK39" t="str">
        <f>AND(#REF!,"AAAAAB//1Yw=")</f>
        <v>#REF!</v>
      </c>
      <c r="EL39" t="str">
        <f>AND(#REF!,"AAAAAB//1Y0=")</f>
        <v>#REF!</v>
      </c>
      <c r="EM39" t="str">
        <f>IF(#REF!,"AAAAAB//1Y4=",0)</f>
        <v>#REF!</v>
      </c>
      <c r="EN39" t="str">
        <f>AND(#REF!,"AAAAAB//1Y8=")</f>
        <v>#REF!</v>
      </c>
      <c r="EO39" t="str">
        <f>AND(#REF!,"AAAAAB//1ZA=")</f>
        <v>#REF!</v>
      </c>
      <c r="EP39" t="str">
        <f>AND(#REF!,"AAAAAB//1ZE=")</f>
        <v>#REF!</v>
      </c>
      <c r="EQ39" t="str">
        <f>IF(#REF!,"AAAAAB//1ZI=",0)</f>
        <v>#REF!</v>
      </c>
      <c r="ER39" t="str">
        <f>IF(#REF!,"AAAAAB//1ZM=",0)</f>
        <v>#REF!</v>
      </c>
      <c r="ES39" t="str">
        <f>IF(#REF!,"AAAAAB//1ZQ=",0)</f>
        <v>#REF!</v>
      </c>
      <c r="ET39" t="str">
        <f>IF(#REF!,"AAAAAB//1ZU=",0)</f>
        <v>#REF!</v>
      </c>
      <c r="EU39" t="str">
        <f>IF(#REF!,"AAAAAB//1ZY=",0)</f>
        <v>#REF!</v>
      </c>
      <c r="EV39" t="str">
        <f>IF(#REF!,"AAAAAB//1Zc=",0)</f>
        <v>#REF!</v>
      </c>
      <c r="EW39" t="str">
        <f>IF(#REF!,"AAAAAB//1Zg=",0)</f>
        <v>#REF!</v>
      </c>
      <c r="EX39" t="str">
        <f>IF(#REF!,"AAAAAB//1Zk=",0)</f>
        <v>#REF!</v>
      </c>
      <c r="EY39" t="str">
        <f>IF(#REF!,"AAAAAB//1Zo=",0)</f>
        <v>#REF!</v>
      </c>
      <c r="EZ39" t="str">
        <f>IF(#REF!,"AAAAAB//1Zs=",0)</f>
        <v>#REF!</v>
      </c>
      <c r="FA39" t="str">
        <f>IF(#REF!,"AAAAAB//1Zw=",0)</f>
        <v>#REF!</v>
      </c>
      <c r="FB39" t="str">
        <f>IF(#REF!,"AAAAAB//1Z0=",0)</f>
        <v>#REF!</v>
      </c>
      <c r="FC39" t="str">
        <f>IF(#REF!,"AAAAAB//1Z4=",0)</f>
        <v>#REF!</v>
      </c>
      <c r="FD39" t="str">
        <f>IF(#REF!,"AAAAAB//1Z8=",0)</f>
        <v>#REF!</v>
      </c>
      <c r="FE39" t="str">
        <f>IF(#REF!,"AAAAAB//1aA=",0)</f>
        <v>#REF!</v>
      </c>
      <c r="FF39" t="str">
        <f>IF(#REF!,"AAAAAB//1aE=",0)</f>
        <v>#REF!</v>
      </c>
      <c r="FG39" t="str">
        <f>IF(#REF!,"AAAAAB//1aI=",0)</f>
        <v>#REF!</v>
      </c>
      <c r="FH39" t="str">
        <f>IF(#REF!,"AAAAAB//1aM=",0)</f>
        <v>#REF!</v>
      </c>
      <c r="FI39" t="str">
        <f>IF(#REF!,"AAAAAB//1aQ=",0)</f>
        <v>#REF!</v>
      </c>
      <c r="FJ39" t="str">
        <f>IF(#REF!,"AAAAAB//1aU=",0)</f>
        <v>#REF!</v>
      </c>
      <c r="FK39" t="str">
        <f>IF(#REF!,"AAAAAB//1aY=",0)</f>
        <v>#REF!</v>
      </c>
      <c r="FL39" t="str">
        <f>IF(#REF!,"AAAAAB//1ac=",0)</f>
        <v>#REF!</v>
      </c>
      <c r="FM39" t="str">
        <f>IF(#REF!,"AAAAAB//1ag=",0)</f>
        <v>#REF!</v>
      </c>
      <c r="FN39" t="str">
        <f>IF(#REF!,"AAAAAB//1ak=",0)</f>
        <v>#REF!</v>
      </c>
      <c r="FO39" t="str">
        <f>IF(#REF!,"AAAAAB//1ao=",0)</f>
        <v>#REF!</v>
      </c>
      <c r="FP39" t="str">
        <f>IF(#REF!,"AAAAAB//1as=",0)</f>
        <v>#REF!</v>
      </c>
      <c r="FQ39" t="str">
        <f>IF(#REF!,"AAAAAB//1aw=",0)</f>
        <v>#REF!</v>
      </c>
      <c r="FR39" t="str">
        <f>IF(#REF!,"AAAAAB//1a0=",0)</f>
        <v>#REF!</v>
      </c>
      <c r="FS39" t="str">
        <f>IF(#REF!,"AAAAAB//1a4=",0)</f>
        <v>#REF!</v>
      </c>
      <c r="FT39" t="str">
        <f>IF(#REF!,"AAAAAB//1a8=",0)</f>
        <v>#REF!</v>
      </c>
      <c r="FU39" t="str">
        <f>IF(#REF!,"AAAAAB//1bA=",0)</f>
        <v>#REF!</v>
      </c>
      <c r="FV39" t="str">
        <f>IF(#REF!,"AAAAAB//1bE=",0)</f>
        <v>#REF!</v>
      </c>
      <c r="FW39" t="str">
        <f>IF(#REF!,"AAAAAB//1bI=",0)</f>
        <v>#REF!</v>
      </c>
      <c r="FX39" t="str">
        <f>IF(#REF!,"AAAAAB//1bM=",0)</f>
        <v>#REF!</v>
      </c>
      <c r="FY39" t="str">
        <f>IF(#REF!,"AAAAAB//1bQ=",0)</f>
        <v>#REF!</v>
      </c>
      <c r="FZ39" t="str">
        <f>IF(#REF!,"AAAAAB//1bU=",0)</f>
        <v>#REF!</v>
      </c>
      <c r="GA39" t="str">
        <f>IF(#REF!,"AAAAAB//1bY=",0)</f>
        <v>#REF!</v>
      </c>
      <c r="GB39" t="str">
        <f>IF(#REF!,"AAAAAB//1bc=",0)</f>
        <v>#REF!</v>
      </c>
      <c r="GC39" t="str">
        <f>IF(#REF!,"AAAAAB//1bg=",0)</f>
        <v>#REF!</v>
      </c>
      <c r="GD39" t="str">
        <f>IF(#REF!,"AAAAAB//1bk=",0)</f>
        <v>#REF!</v>
      </c>
      <c r="GE39" t="str">
        <f>IF(#REF!,"AAAAAB//1bo=",0)</f>
        <v>#REF!</v>
      </c>
      <c r="GF39" t="str">
        <f>IF(#REF!,"AAAAAB//1bs=",0)</f>
        <v>#REF!</v>
      </c>
      <c r="GG39" t="str">
        <f>IF(#REF!,"AAAAAB//1bw=",0)</f>
        <v>#REF!</v>
      </c>
      <c r="GH39" t="str">
        <f>IF(#REF!,"AAAAAB//1b0=",0)</f>
        <v>#REF!</v>
      </c>
      <c r="GI39" t="str">
        <f>IF(#REF!,"AAAAAB//1b4=",0)</f>
        <v>#REF!</v>
      </c>
      <c r="GJ39" t="str">
        <f>IF(#REF!,"AAAAAB//1b8=",0)</f>
        <v>#REF!</v>
      </c>
      <c r="GK39" t="str">
        <f>IF(#REF!,"AAAAAB//1cA=",0)</f>
        <v>#REF!</v>
      </c>
      <c r="GL39" t="str">
        <f>IF(#REF!,"AAAAAB//1cE=",0)</f>
        <v>#REF!</v>
      </c>
      <c r="GM39" t="str">
        <f>IF(#REF!,"AAAAAB//1cI=",0)</f>
        <v>#REF!</v>
      </c>
      <c r="GN39" t="str">
        <f>IF(#REF!,"AAAAAB//1cM=",0)</f>
        <v>#REF!</v>
      </c>
      <c r="GO39" t="str">
        <f>IF(#REF!,"AAAAAB//1cQ=",0)</f>
        <v>#REF!</v>
      </c>
      <c r="GP39" t="str">
        <f>IF(#REF!,"AAAAAB//1cU=",0)</f>
        <v>#REF!</v>
      </c>
      <c r="GQ39" t="str">
        <f>IF(#REF!,"AAAAAB//1cY=",0)</f>
        <v>#REF!</v>
      </c>
      <c r="GR39" t="str">
        <f>IF(#REF!,"AAAAAB//1cc=",0)</f>
        <v>#REF!</v>
      </c>
      <c r="GS39" t="str">
        <f>IF(#REF!,"AAAAAB//1cg=",0)</f>
        <v>#REF!</v>
      </c>
      <c r="GT39" t="str">
        <f>IF(#REF!,"AAAAAB//1ck=",0)</f>
        <v>#REF!</v>
      </c>
      <c r="GU39" t="str">
        <f>IF(#REF!,"AAAAAB//1co=",0)</f>
        <v>#REF!</v>
      </c>
      <c r="GV39" t="str">
        <f>IF(#REF!,"AAAAAB//1cs=",0)</f>
        <v>#REF!</v>
      </c>
      <c r="GW39" t="str">
        <f>IF(#REF!,"AAAAAB//1cw=",0)</f>
        <v>#REF!</v>
      </c>
      <c r="GX39" t="str">
        <f>IF(#REF!,"AAAAAB//1c0=",0)</f>
        <v>#REF!</v>
      </c>
      <c r="GY39" t="str">
        <f>IF(#REF!,"AAAAAB//1c4=",0)</f>
        <v>#REF!</v>
      </c>
      <c r="GZ39" t="str">
        <f>IF(#REF!,"AAAAAB//1c8=",0)</f>
        <v>#REF!</v>
      </c>
      <c r="HA39" t="str">
        <f>IF(#REF!,"AAAAAB//1dA=",0)</f>
        <v>#REF!</v>
      </c>
      <c r="HB39" t="str">
        <f>IF(#REF!,"AAAAAB//1dE=",0)</f>
        <v>#REF!</v>
      </c>
      <c r="HC39" t="str">
        <f>IF(#REF!,"AAAAAB//1dI=",0)</f>
        <v>#REF!</v>
      </c>
      <c r="HD39" t="str">
        <f>IF(#REF!,"AAAAAB//1dM=",0)</f>
        <v>#REF!</v>
      </c>
      <c r="HE39" t="str">
        <f>IF(#REF!,"AAAAAB//1dQ=",0)</f>
        <v>#REF!</v>
      </c>
      <c r="HF39" t="str">
        <f>IF(#REF!,"AAAAAB//1dU=",0)</f>
        <v>#REF!</v>
      </c>
      <c r="HG39" t="str">
        <f>IF(#REF!,"AAAAAB//1dY=",0)</f>
        <v>#REF!</v>
      </c>
      <c r="HH39" t="str">
        <f>IF(#REF!,"AAAAAB//1dc=",0)</f>
        <v>#REF!</v>
      </c>
      <c r="HI39" t="str">
        <f>IF(#REF!,"AAAAAB//1dg=",0)</f>
        <v>#REF!</v>
      </c>
      <c r="HJ39" t="str">
        <f>IF(#REF!,"AAAAAB//1dk=",0)</f>
        <v>#REF!</v>
      </c>
      <c r="HK39" t="str">
        <f>IF(#REF!,"AAAAAB//1do=",0)</f>
        <v>#REF!</v>
      </c>
      <c r="HL39" t="str">
        <f>IF(#REF!,"AAAAAB//1ds=",0)</f>
        <v>#REF!</v>
      </c>
      <c r="HM39" t="str">
        <f>IF(#REF!,"AAAAAB//1dw=",0)</f>
        <v>#REF!</v>
      </c>
      <c r="HN39" t="str">
        <f>IF(#REF!,"AAAAAB//1d0=",0)</f>
        <v>#REF!</v>
      </c>
      <c r="HO39" t="str">
        <f>AND(#REF!,"AAAAAB//1d4=")</f>
        <v>#REF!</v>
      </c>
      <c r="HP39" t="str">
        <f>AND(#REF!,"AAAAAB//1d8=")</f>
        <v>#REF!</v>
      </c>
      <c r="HQ39" t="str">
        <f>AND(#REF!,"AAAAAB//1eA=")</f>
        <v>#REF!</v>
      </c>
      <c r="HR39" t="str">
        <f>AND(#REF!,"AAAAAB//1eE=")</f>
        <v>#REF!</v>
      </c>
      <c r="HS39" t="str">
        <f>AND(#REF!,"AAAAAB//1eI=")</f>
        <v>#REF!</v>
      </c>
      <c r="HT39" t="str">
        <f>AND(#REF!,"AAAAAB//1eM=")</f>
        <v>#REF!</v>
      </c>
      <c r="HU39" t="str">
        <f>AND(#REF!,"AAAAAB//1eQ=")</f>
        <v>#REF!</v>
      </c>
      <c r="HV39" t="str">
        <f>AND(#REF!,"AAAAAB//1eU=")</f>
        <v>#REF!</v>
      </c>
      <c r="HW39" t="str">
        <f>AND(#REF!,"AAAAAB//1eY=")</f>
        <v>#REF!</v>
      </c>
      <c r="HX39" t="str">
        <f>AND(#REF!,"AAAAAB//1ec=")</f>
        <v>#REF!</v>
      </c>
      <c r="HY39" t="str">
        <f>AND(#REF!,"AAAAAB//1eg=")</f>
        <v>#REF!</v>
      </c>
      <c r="HZ39" t="str">
        <f>AND(#REF!,"AAAAAB//1ek=")</f>
        <v>#REF!</v>
      </c>
      <c r="IA39" t="str">
        <f>AND(#REF!,"AAAAAB//1eo=")</f>
        <v>#REF!</v>
      </c>
      <c r="IB39" t="str">
        <f>AND(#REF!,"AAAAAB//1es=")</f>
        <v>#REF!</v>
      </c>
      <c r="IC39" t="str">
        <f>AND(#REF!,"AAAAAB//1ew=")</f>
        <v>#REF!</v>
      </c>
      <c r="ID39" t="str">
        <f>AND(#REF!,"AAAAAB//1e0=")</f>
        <v>#REF!</v>
      </c>
      <c r="IE39" t="str">
        <f>AND(#REF!,"AAAAAB//1e4=")</f>
        <v>#REF!</v>
      </c>
      <c r="IF39" t="str">
        <f>AND(#REF!,"AAAAAB//1e8=")</f>
        <v>#REF!</v>
      </c>
      <c r="IG39" t="str">
        <f>AND(#REF!,"AAAAAB//1fA=")</f>
        <v>#REF!</v>
      </c>
      <c r="IH39" t="str">
        <f>AND(#REF!,"AAAAAB//1fE=")</f>
        <v>#REF!</v>
      </c>
      <c r="II39" t="str">
        <f>AND(#REF!,"AAAAAB//1fI=")</f>
        <v>#REF!</v>
      </c>
      <c r="IJ39" t="str">
        <f>AND(#REF!,"AAAAAB//1fM=")</f>
        <v>#REF!</v>
      </c>
      <c r="IK39" t="str">
        <f>AND(#REF!,"AAAAAB//1fQ=")</f>
        <v>#REF!</v>
      </c>
      <c r="IL39" t="str">
        <f>AND(#REF!,"AAAAAB//1fU=")</f>
        <v>#REF!</v>
      </c>
      <c r="IM39" t="str">
        <f>AND(#REF!,"AAAAAB//1fY=")</f>
        <v>#REF!</v>
      </c>
      <c r="IN39" t="str">
        <f>AND(#REF!,"AAAAAB//1fc=")</f>
        <v>#REF!</v>
      </c>
      <c r="IO39" t="str">
        <f>AND(#REF!,"AAAAAB//1fg=")</f>
        <v>#REF!</v>
      </c>
      <c r="IP39" t="str">
        <f>AND(#REF!,"AAAAAB//1fk=")</f>
        <v>#REF!</v>
      </c>
      <c r="IQ39" t="str">
        <f>AND(#REF!,"AAAAAB//1fo=")</f>
        <v>#REF!</v>
      </c>
      <c r="IR39" t="str">
        <f>AND(#REF!,"AAAAAB//1fs=")</f>
        <v>#REF!</v>
      </c>
      <c r="IS39" t="str">
        <f>AND(#REF!,"AAAAAB//1fw=")</f>
        <v>#REF!</v>
      </c>
      <c r="IT39" t="str">
        <f>AND(#REF!,"AAAAAB//1f0=")</f>
        <v>#REF!</v>
      </c>
      <c r="IU39" t="str">
        <f>AND(#REF!,"AAAAAB//1f4=")</f>
        <v>#REF!</v>
      </c>
      <c r="IV39" t="str">
        <f>AND(#REF!,"AAAAAB//1f8=")</f>
        <v>#REF!</v>
      </c>
    </row>
    <row r="40" ht="15.75" customHeight="1">
      <c r="A40" t="str">
        <f>AND(#REF!,"AAAAAHZ9lwA=")</f>
        <v>#REF!</v>
      </c>
      <c r="B40" t="str">
        <f>AND(#REF!,"AAAAAHZ9lwE=")</f>
        <v>#REF!</v>
      </c>
      <c r="C40" t="str">
        <f>AND(#REF!,"AAAAAHZ9lwI=")</f>
        <v>#REF!</v>
      </c>
      <c r="D40" t="str">
        <f>AND(#REF!,"AAAAAHZ9lwM=")</f>
        <v>#REF!</v>
      </c>
      <c r="E40" t="str">
        <f>AND(#REF!,"AAAAAHZ9lwQ=")</f>
        <v>#REF!</v>
      </c>
      <c r="F40" t="str">
        <f>AND(#REF!,"AAAAAHZ9lwU=")</f>
        <v>#REF!</v>
      </c>
      <c r="G40" t="str">
        <f>AND(#REF!,"AAAAAHZ9lwY=")</f>
        <v>#REF!</v>
      </c>
      <c r="H40" t="str">
        <f>AND(#REF!,"AAAAAHZ9lwc=")</f>
        <v>#REF!</v>
      </c>
      <c r="I40" t="str">
        <f>AND(#REF!,"AAAAAHZ9lwg=")</f>
        <v>#REF!</v>
      </c>
      <c r="J40" t="str">
        <f>AND(#REF!,"AAAAAHZ9lwk=")</f>
        <v>#REF!</v>
      </c>
      <c r="K40" t="str">
        <f>AND(#REF!,"AAAAAHZ9lwo=")</f>
        <v>#REF!</v>
      </c>
      <c r="L40" t="str">
        <f>AND(#REF!,"AAAAAHZ9lws=")</f>
        <v>#REF!</v>
      </c>
      <c r="M40" t="str">
        <f>AND(#REF!,"AAAAAHZ9lww=")</f>
        <v>#REF!</v>
      </c>
      <c r="N40" t="str">
        <f>AND(#REF!,"AAAAAHZ9lw0=")</f>
        <v>#REF!</v>
      </c>
      <c r="O40" t="str">
        <f>AND(#REF!,"AAAAAHZ9lw4=")</f>
        <v>#REF!</v>
      </c>
      <c r="P40" t="str">
        <f>AND(#REF!,"AAAAAHZ9lw8=")</f>
        <v>#REF!</v>
      </c>
      <c r="Q40" t="str">
        <f>AND(#REF!,"AAAAAHZ9lxA=")</f>
        <v>#REF!</v>
      </c>
      <c r="R40" t="str">
        <f>AND(#REF!,"AAAAAHZ9lxE=")</f>
        <v>#REF!</v>
      </c>
      <c r="S40" t="str">
        <f>AND(#REF!,"AAAAAHZ9lxI=")</f>
        <v>#REF!</v>
      </c>
      <c r="T40" t="str">
        <f>AND(#REF!,"AAAAAHZ9lxM=")</f>
        <v>#REF!</v>
      </c>
      <c r="U40" t="str">
        <f>AND(#REF!,"AAAAAHZ9lxQ=")</f>
        <v>#REF!</v>
      </c>
      <c r="V40" t="str">
        <f>AND(#REF!,"AAAAAHZ9lxU=")</f>
        <v>#REF!</v>
      </c>
      <c r="W40" t="str">
        <f>AND(#REF!,"AAAAAHZ9lxY=")</f>
        <v>#REF!</v>
      </c>
      <c r="X40" t="str">
        <f>AND(#REF!,"AAAAAHZ9lxc=")</f>
        <v>#REF!</v>
      </c>
      <c r="Y40" t="str">
        <f>AND(#REF!,"AAAAAHZ9lxg=")</f>
        <v>#REF!</v>
      </c>
      <c r="Z40" t="str">
        <f>AND(#REF!,"AAAAAHZ9lxk=")</f>
        <v>#REF!</v>
      </c>
      <c r="AA40" t="str">
        <f>AND(#REF!,"AAAAAHZ9lxo=")</f>
        <v>#REF!</v>
      </c>
      <c r="AB40" t="str">
        <f>AND(#REF!,"AAAAAHZ9lxs=")</f>
        <v>#REF!</v>
      </c>
      <c r="AC40" t="str">
        <f>AND(#REF!,"AAAAAHZ9lxw=")</f>
        <v>#REF!</v>
      </c>
      <c r="AD40" t="str">
        <f>AND(#REF!,"AAAAAHZ9lx0=")</f>
        <v>#REF!</v>
      </c>
      <c r="AE40" t="str">
        <f>AND(#REF!,"AAAAAHZ9lx4=")</f>
        <v>#REF!</v>
      </c>
      <c r="AF40" t="str">
        <f>AND(#REF!,"AAAAAHZ9lx8=")</f>
        <v>#REF!</v>
      </c>
      <c r="AG40" t="str">
        <f>AND(#REF!,"AAAAAHZ9lyA=")</f>
        <v>#REF!</v>
      </c>
      <c r="AH40" t="str">
        <f>AND(#REF!,"AAAAAHZ9lyE=")</f>
        <v>#REF!</v>
      </c>
      <c r="AI40" t="str">
        <f>AND(#REF!,"AAAAAHZ9lyI=")</f>
        <v>#REF!</v>
      </c>
      <c r="AJ40" t="str">
        <f>AND(#REF!,"AAAAAHZ9lyM=")</f>
        <v>#REF!</v>
      </c>
      <c r="AK40" t="str">
        <f>AND(#REF!,"AAAAAHZ9lyQ=")</f>
        <v>#REF!</v>
      </c>
      <c r="AL40" t="str">
        <f>AND(#REF!,"AAAAAHZ9lyU=")</f>
        <v>#REF!</v>
      </c>
      <c r="AM40" t="str">
        <f>AND(#REF!,"AAAAAHZ9lyY=")</f>
        <v>#REF!</v>
      </c>
      <c r="AN40" t="str">
        <f>AND(#REF!,"AAAAAHZ9lyc=")</f>
        <v>#REF!</v>
      </c>
      <c r="AO40" t="str">
        <f>AND(#REF!,"AAAAAHZ9lyg=")</f>
        <v>#REF!</v>
      </c>
      <c r="AP40" t="str">
        <f>IF(#REF!,"AAAAAHZ9lyk=",0)</f>
        <v>#REF!</v>
      </c>
      <c r="AQ40" t="str">
        <f>AND(#REF!,"AAAAAHZ9lyo=")</f>
        <v>#REF!</v>
      </c>
      <c r="AR40" t="str">
        <f>AND(#REF!,"AAAAAHZ9lys=")</f>
        <v>#REF!</v>
      </c>
      <c r="AS40" t="str">
        <f>AND(#REF!,"AAAAAHZ9lyw=")</f>
        <v>#REF!</v>
      </c>
      <c r="AT40" t="str">
        <f>AND(#REF!,"AAAAAHZ9ly0=")</f>
        <v>#REF!</v>
      </c>
      <c r="AU40" t="str">
        <f>AND(#REF!,"AAAAAHZ9ly4=")</f>
        <v>#REF!</v>
      </c>
      <c r="AV40" t="str">
        <f>AND(#REF!,"AAAAAHZ9ly8=")</f>
        <v>#REF!</v>
      </c>
      <c r="AW40" t="str">
        <f>AND(#REF!,"AAAAAHZ9lzA=")</f>
        <v>#REF!</v>
      </c>
      <c r="AX40" t="str">
        <f>AND(#REF!,"AAAAAHZ9lzE=")</f>
        <v>#REF!</v>
      </c>
      <c r="AY40" t="str">
        <f>AND(#REF!,"AAAAAHZ9lzI=")</f>
        <v>#REF!</v>
      </c>
      <c r="AZ40" t="str">
        <f>AND(#REF!,"AAAAAHZ9lzM=")</f>
        <v>#REF!</v>
      </c>
      <c r="BA40" t="str">
        <f>AND(#REF!,"AAAAAHZ9lzQ=")</f>
        <v>#REF!</v>
      </c>
      <c r="BB40" t="str">
        <f>AND(#REF!,"AAAAAHZ9lzU=")</f>
        <v>#REF!</v>
      </c>
      <c r="BC40" t="str">
        <f>AND(#REF!,"AAAAAHZ9lzY=")</f>
        <v>#REF!</v>
      </c>
      <c r="BD40" t="str">
        <f>AND(#REF!,"AAAAAHZ9lzc=")</f>
        <v>#REF!</v>
      </c>
      <c r="BE40" t="str">
        <f>AND(#REF!,"AAAAAHZ9lzg=")</f>
        <v>#REF!</v>
      </c>
      <c r="BF40" t="str">
        <f>AND(#REF!,"AAAAAHZ9lzk=")</f>
        <v>#REF!</v>
      </c>
      <c r="BG40" t="str">
        <f>AND(#REF!,"AAAAAHZ9lzo=")</f>
        <v>#REF!</v>
      </c>
      <c r="BH40" t="str">
        <f>AND(#REF!,"AAAAAHZ9lzs=")</f>
        <v>#REF!</v>
      </c>
      <c r="BI40" t="str">
        <f>AND(#REF!,"AAAAAHZ9lzw=")</f>
        <v>#REF!</v>
      </c>
      <c r="BJ40" t="str">
        <f>AND(#REF!,"AAAAAHZ9lz0=")</f>
        <v>#REF!</v>
      </c>
      <c r="BK40" t="str">
        <f>AND(#REF!,"AAAAAHZ9lz4=")</f>
        <v>#REF!</v>
      </c>
      <c r="BL40" t="str">
        <f>AND(#REF!,"AAAAAHZ9lz8=")</f>
        <v>#REF!</v>
      </c>
      <c r="BM40" t="str">
        <f>AND(#REF!,"AAAAAHZ9l0A=")</f>
        <v>#REF!</v>
      </c>
      <c r="BN40" t="str">
        <f>AND(#REF!,"AAAAAHZ9l0E=")</f>
        <v>#REF!</v>
      </c>
      <c r="BO40" t="str">
        <f>AND(#REF!,"AAAAAHZ9l0I=")</f>
        <v>#REF!</v>
      </c>
      <c r="BP40" t="str">
        <f>AND(#REF!,"AAAAAHZ9l0M=")</f>
        <v>#REF!</v>
      </c>
      <c r="BQ40" t="str">
        <f>AND(#REF!,"AAAAAHZ9l0Q=")</f>
        <v>#REF!</v>
      </c>
      <c r="BR40" t="str">
        <f>AND(#REF!,"AAAAAHZ9l0U=")</f>
        <v>#REF!</v>
      </c>
      <c r="BS40" t="str">
        <f>AND(#REF!,"AAAAAHZ9l0Y=")</f>
        <v>#REF!</v>
      </c>
      <c r="BT40" t="str">
        <f>AND(#REF!,"AAAAAHZ9l0c=")</f>
        <v>#REF!</v>
      </c>
      <c r="BU40" t="str">
        <f>AND(#REF!,"AAAAAHZ9l0g=")</f>
        <v>#REF!</v>
      </c>
      <c r="BV40" t="str">
        <f>AND(#REF!,"AAAAAHZ9l0k=")</f>
        <v>#REF!</v>
      </c>
      <c r="BW40" t="str">
        <f>AND(#REF!,"AAAAAHZ9l0o=")</f>
        <v>#REF!</v>
      </c>
      <c r="BX40" t="str">
        <f>AND(#REF!,"AAAAAHZ9l0s=")</f>
        <v>#REF!</v>
      </c>
      <c r="BY40" t="str">
        <f>AND(#REF!,"AAAAAHZ9l0w=")</f>
        <v>#REF!</v>
      </c>
      <c r="BZ40" t="str">
        <f>AND(#REF!,"AAAAAHZ9l00=")</f>
        <v>#REF!</v>
      </c>
      <c r="CA40" t="str">
        <f>AND(#REF!,"AAAAAHZ9l04=")</f>
        <v>#REF!</v>
      </c>
      <c r="CB40" t="str">
        <f>AND(#REF!,"AAAAAHZ9l08=")</f>
        <v>#REF!</v>
      </c>
      <c r="CC40" t="str">
        <f>AND(#REF!,"AAAAAHZ9l1A=")</f>
        <v>#REF!</v>
      </c>
      <c r="CD40" t="str">
        <f>AND(#REF!,"AAAAAHZ9l1E=")</f>
        <v>#REF!</v>
      </c>
      <c r="CE40" t="str">
        <f>AND(#REF!,"AAAAAHZ9l1I=")</f>
        <v>#REF!</v>
      </c>
      <c r="CF40" t="str">
        <f>AND(#REF!,"AAAAAHZ9l1M=")</f>
        <v>#REF!</v>
      </c>
      <c r="CG40" t="str">
        <f>AND(#REF!,"AAAAAHZ9l1Q=")</f>
        <v>#REF!</v>
      </c>
      <c r="CH40" t="str">
        <f>AND(#REF!,"AAAAAHZ9l1U=")</f>
        <v>#REF!</v>
      </c>
      <c r="CI40" t="str">
        <f>AND(#REF!,"AAAAAHZ9l1Y=")</f>
        <v>#REF!</v>
      </c>
      <c r="CJ40" t="str">
        <f>AND(#REF!,"AAAAAHZ9l1c=")</f>
        <v>#REF!</v>
      </c>
      <c r="CK40" t="str">
        <f>AND(#REF!,"AAAAAHZ9l1g=")</f>
        <v>#REF!</v>
      </c>
      <c r="CL40" t="str">
        <f>AND(#REF!,"AAAAAHZ9l1k=")</f>
        <v>#REF!</v>
      </c>
      <c r="CM40" t="str">
        <f>AND(#REF!,"AAAAAHZ9l1o=")</f>
        <v>#REF!</v>
      </c>
      <c r="CN40" t="str">
        <f>AND(#REF!,"AAAAAHZ9l1s=")</f>
        <v>#REF!</v>
      </c>
      <c r="CO40" t="str">
        <f>AND(#REF!,"AAAAAHZ9l1w=")</f>
        <v>#REF!</v>
      </c>
      <c r="CP40" t="str">
        <f>AND(#REF!,"AAAAAHZ9l10=")</f>
        <v>#REF!</v>
      </c>
      <c r="CQ40" t="str">
        <f>AND(#REF!,"AAAAAHZ9l14=")</f>
        <v>#REF!</v>
      </c>
      <c r="CR40" t="str">
        <f>AND(#REF!,"AAAAAHZ9l18=")</f>
        <v>#REF!</v>
      </c>
      <c r="CS40" t="str">
        <f>AND(#REF!,"AAAAAHZ9l2A=")</f>
        <v>#REF!</v>
      </c>
      <c r="CT40" t="str">
        <f>AND(#REF!,"AAAAAHZ9l2E=")</f>
        <v>#REF!</v>
      </c>
      <c r="CU40" t="str">
        <f>AND(#REF!,"AAAAAHZ9l2I=")</f>
        <v>#REF!</v>
      </c>
      <c r="CV40" t="str">
        <f>AND(#REF!,"AAAAAHZ9l2M=")</f>
        <v>#REF!</v>
      </c>
      <c r="CW40" t="str">
        <f>AND(#REF!,"AAAAAHZ9l2Q=")</f>
        <v>#REF!</v>
      </c>
      <c r="CX40" t="str">
        <f>AND(#REF!,"AAAAAHZ9l2U=")</f>
        <v>#REF!</v>
      </c>
      <c r="CY40" t="str">
        <f>AND(#REF!,"AAAAAHZ9l2Y=")</f>
        <v>#REF!</v>
      </c>
      <c r="CZ40" t="str">
        <f>AND(#REF!,"AAAAAHZ9l2c=")</f>
        <v>#REF!</v>
      </c>
      <c r="DA40" t="str">
        <f>AND(#REF!,"AAAAAHZ9l2g=")</f>
        <v>#REF!</v>
      </c>
      <c r="DB40" t="str">
        <f>AND(#REF!,"AAAAAHZ9l2k=")</f>
        <v>#REF!</v>
      </c>
      <c r="DC40" t="str">
        <f>AND(#REF!,"AAAAAHZ9l2o=")</f>
        <v>#REF!</v>
      </c>
      <c r="DD40" t="str">
        <f>AND(#REF!,"AAAAAHZ9l2s=")</f>
        <v>#REF!</v>
      </c>
      <c r="DE40" t="str">
        <f>AND(#REF!,"AAAAAHZ9l2w=")</f>
        <v>#REF!</v>
      </c>
      <c r="DF40" t="str">
        <f>AND(#REF!,"AAAAAHZ9l20=")</f>
        <v>#REF!</v>
      </c>
      <c r="DG40" t="str">
        <f>AND(#REF!,"AAAAAHZ9l24=")</f>
        <v>#REF!</v>
      </c>
      <c r="DH40" t="str">
        <f>AND(#REF!,"AAAAAHZ9l28=")</f>
        <v>#REF!</v>
      </c>
      <c r="DI40" t="str">
        <f>AND(#REF!,"AAAAAHZ9l3A=")</f>
        <v>#REF!</v>
      </c>
      <c r="DJ40" t="str">
        <f>AND(#REF!,"AAAAAHZ9l3E=")</f>
        <v>#REF!</v>
      </c>
      <c r="DK40" t="str">
        <f>AND(#REF!,"AAAAAHZ9l3I=")</f>
        <v>#REF!</v>
      </c>
      <c r="DL40" t="str">
        <f>AND(#REF!,"AAAAAHZ9l3M=")</f>
        <v>#REF!</v>
      </c>
      <c r="DM40" t="str">
        <f>AND(#REF!,"AAAAAHZ9l3Q=")</f>
        <v>#REF!</v>
      </c>
      <c r="DN40" t="str">
        <f>IF(#REF!,"AAAAAHZ9l3U=",0)</f>
        <v>#REF!</v>
      </c>
      <c r="DO40" t="str">
        <f>AND(#REF!,"AAAAAHZ9l3Y=")</f>
        <v>#REF!</v>
      </c>
      <c r="DP40" t="str">
        <f>AND(#REF!,"AAAAAHZ9l3c=")</f>
        <v>#REF!</v>
      </c>
      <c r="DQ40" t="str">
        <f>AND(#REF!,"AAAAAHZ9l3g=")</f>
        <v>#REF!</v>
      </c>
      <c r="DR40" t="str">
        <f>AND(#REF!,"AAAAAHZ9l3k=")</f>
        <v>#REF!</v>
      </c>
      <c r="DS40" t="str">
        <f>AND(#REF!,"AAAAAHZ9l3o=")</f>
        <v>#REF!</v>
      </c>
      <c r="DT40" t="str">
        <f>AND(#REF!,"AAAAAHZ9l3s=")</f>
        <v>#REF!</v>
      </c>
      <c r="DU40" t="str">
        <f>AND(#REF!,"AAAAAHZ9l3w=")</f>
        <v>#REF!</v>
      </c>
      <c r="DV40" t="str">
        <f>AND(#REF!,"AAAAAHZ9l30=")</f>
        <v>#REF!</v>
      </c>
      <c r="DW40" t="str">
        <f>AND(#REF!,"AAAAAHZ9l34=")</f>
        <v>#REF!</v>
      </c>
      <c r="DX40" t="str">
        <f>AND(#REF!,"AAAAAHZ9l38=")</f>
        <v>#REF!</v>
      </c>
      <c r="DY40" t="str">
        <f>AND(#REF!,"AAAAAHZ9l4A=")</f>
        <v>#REF!</v>
      </c>
      <c r="DZ40" t="str">
        <f>AND(#REF!,"AAAAAHZ9l4E=")</f>
        <v>#REF!</v>
      </c>
      <c r="EA40" t="str">
        <f>AND(#REF!,"AAAAAHZ9l4I=")</f>
        <v>#REF!</v>
      </c>
      <c r="EB40" t="str">
        <f>AND(#REF!,"AAAAAHZ9l4M=")</f>
        <v>#REF!</v>
      </c>
      <c r="EC40" t="str">
        <f>AND(#REF!,"AAAAAHZ9l4Q=")</f>
        <v>#REF!</v>
      </c>
      <c r="ED40" t="str">
        <f>AND(#REF!,"AAAAAHZ9l4U=")</f>
        <v>#REF!</v>
      </c>
      <c r="EE40" t="str">
        <f>AND(#REF!,"AAAAAHZ9l4Y=")</f>
        <v>#REF!</v>
      </c>
      <c r="EF40" t="str">
        <f>AND(#REF!,"AAAAAHZ9l4c=")</f>
        <v>#REF!</v>
      </c>
      <c r="EG40" t="str">
        <f>AND(#REF!,"AAAAAHZ9l4g=")</f>
        <v>#REF!</v>
      </c>
      <c r="EH40" t="str">
        <f>AND(#REF!,"AAAAAHZ9l4k=")</f>
        <v>#REF!</v>
      </c>
      <c r="EI40" t="str">
        <f>AND(#REF!,"AAAAAHZ9l4o=")</f>
        <v>#REF!</v>
      </c>
      <c r="EJ40" t="str">
        <f>AND(#REF!,"AAAAAHZ9l4s=")</f>
        <v>#REF!</v>
      </c>
      <c r="EK40" t="str">
        <f>AND(#REF!,"AAAAAHZ9l4w=")</f>
        <v>#REF!</v>
      </c>
      <c r="EL40" t="str">
        <f>AND(#REF!,"AAAAAHZ9l40=")</f>
        <v>#REF!</v>
      </c>
      <c r="EM40" t="str">
        <f>AND(#REF!,"AAAAAHZ9l44=")</f>
        <v>#REF!</v>
      </c>
      <c r="EN40" t="str">
        <f>AND(#REF!,"AAAAAHZ9l48=")</f>
        <v>#REF!</v>
      </c>
      <c r="EO40" t="str">
        <f>AND(#REF!,"AAAAAHZ9l5A=")</f>
        <v>#REF!</v>
      </c>
      <c r="EP40" t="str">
        <f>AND(#REF!,"AAAAAHZ9l5E=")</f>
        <v>#REF!</v>
      </c>
      <c r="EQ40" t="str">
        <f>AND(#REF!,"AAAAAHZ9l5I=")</f>
        <v>#REF!</v>
      </c>
      <c r="ER40" t="str">
        <f>AND(#REF!,"AAAAAHZ9l5M=")</f>
        <v>#REF!</v>
      </c>
      <c r="ES40" t="str">
        <f>AND(#REF!,"AAAAAHZ9l5Q=")</f>
        <v>#REF!</v>
      </c>
      <c r="ET40" t="str">
        <f>AND(#REF!,"AAAAAHZ9l5U=")</f>
        <v>#REF!</v>
      </c>
      <c r="EU40" t="str">
        <f>AND(#REF!,"AAAAAHZ9l5Y=")</f>
        <v>#REF!</v>
      </c>
      <c r="EV40" t="str">
        <f>AND(#REF!,"AAAAAHZ9l5c=")</f>
        <v>#REF!</v>
      </c>
      <c r="EW40" t="str">
        <f>AND(#REF!,"AAAAAHZ9l5g=")</f>
        <v>#REF!</v>
      </c>
      <c r="EX40" t="str">
        <f>AND(#REF!,"AAAAAHZ9l5k=")</f>
        <v>#REF!</v>
      </c>
      <c r="EY40" t="str">
        <f>AND(#REF!,"AAAAAHZ9l5o=")</f>
        <v>#REF!</v>
      </c>
      <c r="EZ40" t="str">
        <f>AND(#REF!,"AAAAAHZ9l5s=")</f>
        <v>#REF!</v>
      </c>
      <c r="FA40" t="str">
        <f>AND(#REF!,"AAAAAHZ9l5w=")</f>
        <v>#REF!</v>
      </c>
      <c r="FB40" t="str">
        <f>AND(#REF!,"AAAAAHZ9l50=")</f>
        <v>#REF!</v>
      </c>
      <c r="FC40" t="str">
        <f>AND(#REF!,"AAAAAHZ9l54=")</f>
        <v>#REF!</v>
      </c>
      <c r="FD40" t="str">
        <f>AND(#REF!,"AAAAAHZ9l58=")</f>
        <v>#REF!</v>
      </c>
      <c r="FE40" t="str">
        <f>AND(#REF!,"AAAAAHZ9l6A=")</f>
        <v>#REF!</v>
      </c>
      <c r="FF40" t="str">
        <f>AND(#REF!,"AAAAAHZ9l6E=")</f>
        <v>#REF!</v>
      </c>
      <c r="FG40" t="str">
        <f>AND(#REF!,"AAAAAHZ9l6I=")</f>
        <v>#REF!</v>
      </c>
      <c r="FH40" t="str">
        <f>AND(#REF!,"AAAAAHZ9l6M=")</f>
        <v>#REF!</v>
      </c>
      <c r="FI40" t="str">
        <f>AND(#REF!,"AAAAAHZ9l6Q=")</f>
        <v>#REF!</v>
      </c>
      <c r="FJ40" t="str">
        <f>AND(#REF!,"AAAAAHZ9l6U=")</f>
        <v>#REF!</v>
      </c>
      <c r="FK40" t="str">
        <f>AND(#REF!,"AAAAAHZ9l6Y=")</f>
        <v>#REF!</v>
      </c>
      <c r="FL40" t="str">
        <f>AND(#REF!,"AAAAAHZ9l6c=")</f>
        <v>#REF!</v>
      </c>
      <c r="FM40" t="str">
        <f>AND(#REF!,"AAAAAHZ9l6g=")</f>
        <v>#REF!</v>
      </c>
      <c r="FN40" t="str">
        <f>AND(#REF!,"AAAAAHZ9l6k=")</f>
        <v>#REF!</v>
      </c>
      <c r="FO40" t="str">
        <f>AND(#REF!,"AAAAAHZ9l6o=")</f>
        <v>#REF!</v>
      </c>
      <c r="FP40" t="str">
        <f>AND(#REF!,"AAAAAHZ9l6s=")</f>
        <v>#REF!</v>
      </c>
      <c r="FQ40" t="str">
        <f>AND(#REF!,"AAAAAHZ9l6w=")</f>
        <v>#REF!</v>
      </c>
      <c r="FR40" t="str">
        <f>AND(#REF!,"AAAAAHZ9l60=")</f>
        <v>#REF!</v>
      </c>
      <c r="FS40" t="str">
        <f>AND(#REF!,"AAAAAHZ9l64=")</f>
        <v>#REF!</v>
      </c>
      <c r="FT40" t="str">
        <f>AND(#REF!,"AAAAAHZ9l68=")</f>
        <v>#REF!</v>
      </c>
      <c r="FU40" t="str">
        <f>AND(#REF!,"AAAAAHZ9l7A=")</f>
        <v>#REF!</v>
      </c>
      <c r="FV40" t="str">
        <f>AND(#REF!,"AAAAAHZ9l7E=")</f>
        <v>#REF!</v>
      </c>
      <c r="FW40" t="str">
        <f>AND(#REF!,"AAAAAHZ9l7I=")</f>
        <v>#REF!</v>
      </c>
      <c r="FX40" t="str">
        <f>AND(#REF!,"AAAAAHZ9l7M=")</f>
        <v>#REF!</v>
      </c>
      <c r="FY40" t="str">
        <f>AND(#REF!,"AAAAAHZ9l7Q=")</f>
        <v>#REF!</v>
      </c>
      <c r="FZ40" t="str">
        <f>AND(#REF!,"AAAAAHZ9l7U=")</f>
        <v>#REF!</v>
      </c>
      <c r="GA40" t="str">
        <f>AND(#REF!,"AAAAAHZ9l7Y=")</f>
        <v>#REF!</v>
      </c>
      <c r="GB40" t="str">
        <f>AND(#REF!,"AAAAAHZ9l7c=")</f>
        <v>#REF!</v>
      </c>
      <c r="GC40" t="str">
        <f>AND(#REF!,"AAAAAHZ9l7g=")</f>
        <v>#REF!</v>
      </c>
      <c r="GD40" t="str">
        <f>AND(#REF!,"AAAAAHZ9l7k=")</f>
        <v>#REF!</v>
      </c>
      <c r="GE40" t="str">
        <f>AND(#REF!,"AAAAAHZ9l7o=")</f>
        <v>#REF!</v>
      </c>
      <c r="GF40" t="str">
        <f>AND(#REF!,"AAAAAHZ9l7s=")</f>
        <v>#REF!</v>
      </c>
      <c r="GG40" t="str">
        <f>AND(#REF!,"AAAAAHZ9l7w=")</f>
        <v>#REF!</v>
      </c>
      <c r="GH40" t="str">
        <f>AND(#REF!,"AAAAAHZ9l70=")</f>
        <v>#REF!</v>
      </c>
      <c r="GI40" t="str">
        <f>AND(#REF!,"AAAAAHZ9l74=")</f>
        <v>#REF!</v>
      </c>
      <c r="GJ40" t="str">
        <f>AND(#REF!,"AAAAAHZ9l78=")</f>
        <v>#REF!</v>
      </c>
      <c r="GK40" t="str">
        <f>AND(#REF!,"AAAAAHZ9l8A=")</f>
        <v>#REF!</v>
      </c>
      <c r="GL40" t="str">
        <f>IF(#REF!,"AAAAAHZ9l8E=",0)</f>
        <v>#REF!</v>
      </c>
      <c r="GM40" t="str">
        <f>AND(#REF!,"AAAAAHZ9l8I=")</f>
        <v>#REF!</v>
      </c>
      <c r="GN40" t="str">
        <f>AND(#REF!,"AAAAAHZ9l8M=")</f>
        <v>#REF!</v>
      </c>
      <c r="GO40" t="str">
        <f>AND(#REF!,"AAAAAHZ9l8Q=")</f>
        <v>#REF!</v>
      </c>
      <c r="GP40" t="str">
        <f>AND(#REF!,"AAAAAHZ9l8U=")</f>
        <v>#REF!</v>
      </c>
      <c r="GQ40" t="str">
        <f>AND(#REF!,"AAAAAHZ9l8Y=")</f>
        <v>#REF!</v>
      </c>
      <c r="GR40" t="str">
        <f>AND(#REF!,"AAAAAHZ9l8c=")</f>
        <v>#REF!</v>
      </c>
      <c r="GS40" t="str">
        <f>AND(#REF!,"AAAAAHZ9l8g=")</f>
        <v>#REF!</v>
      </c>
      <c r="GT40" t="str">
        <f>AND(#REF!,"AAAAAHZ9l8k=")</f>
        <v>#REF!</v>
      </c>
      <c r="GU40" t="str">
        <f>AND(#REF!,"AAAAAHZ9l8o=")</f>
        <v>#REF!</v>
      </c>
      <c r="GV40" t="str">
        <f>AND(#REF!,"AAAAAHZ9l8s=")</f>
        <v>#REF!</v>
      </c>
      <c r="GW40" t="str">
        <f>AND(#REF!,"AAAAAHZ9l8w=")</f>
        <v>#REF!</v>
      </c>
      <c r="GX40" t="str">
        <f>AND(#REF!,"AAAAAHZ9l80=")</f>
        <v>#REF!</v>
      </c>
      <c r="GY40" t="str">
        <f>AND(#REF!,"AAAAAHZ9l84=")</f>
        <v>#REF!</v>
      </c>
      <c r="GZ40" t="str">
        <f>AND(#REF!,"AAAAAHZ9l88=")</f>
        <v>#REF!</v>
      </c>
      <c r="HA40" t="str">
        <f>AND(#REF!,"AAAAAHZ9l9A=")</f>
        <v>#REF!</v>
      </c>
      <c r="HB40" t="str">
        <f>AND(#REF!,"AAAAAHZ9l9E=")</f>
        <v>#REF!</v>
      </c>
      <c r="HC40" t="str">
        <f>AND(#REF!,"AAAAAHZ9l9I=")</f>
        <v>#REF!</v>
      </c>
      <c r="HD40" t="str">
        <f>AND(#REF!,"AAAAAHZ9l9M=")</f>
        <v>#REF!</v>
      </c>
      <c r="HE40" t="str">
        <f>AND(#REF!,"AAAAAHZ9l9Q=")</f>
        <v>#REF!</v>
      </c>
      <c r="HF40" t="str">
        <f>AND(#REF!,"AAAAAHZ9l9U=")</f>
        <v>#REF!</v>
      </c>
      <c r="HG40" t="str">
        <f>AND(#REF!,"AAAAAHZ9l9Y=")</f>
        <v>#REF!</v>
      </c>
      <c r="HH40" t="str">
        <f>AND(#REF!,"AAAAAHZ9l9c=")</f>
        <v>#REF!</v>
      </c>
      <c r="HI40" t="str">
        <f>AND(#REF!,"AAAAAHZ9l9g=")</f>
        <v>#REF!</v>
      </c>
      <c r="HJ40" t="str">
        <f>AND(#REF!,"AAAAAHZ9l9k=")</f>
        <v>#REF!</v>
      </c>
      <c r="HK40" t="str">
        <f>AND(#REF!,"AAAAAHZ9l9o=")</f>
        <v>#REF!</v>
      </c>
      <c r="HL40" t="str">
        <f>AND(#REF!,"AAAAAHZ9l9s=")</f>
        <v>#REF!</v>
      </c>
      <c r="HM40" t="str">
        <f>AND(#REF!,"AAAAAHZ9l9w=")</f>
        <v>#REF!</v>
      </c>
      <c r="HN40" t="str">
        <f>AND(#REF!,"AAAAAHZ9l90=")</f>
        <v>#REF!</v>
      </c>
      <c r="HO40" t="str">
        <f>AND(#REF!,"AAAAAHZ9l94=")</f>
        <v>#REF!</v>
      </c>
      <c r="HP40" t="str">
        <f>AND(#REF!,"AAAAAHZ9l98=")</f>
        <v>#REF!</v>
      </c>
      <c r="HQ40" t="str">
        <f>AND(#REF!,"AAAAAHZ9l+A=")</f>
        <v>#REF!</v>
      </c>
      <c r="HR40" t="str">
        <f>AND(#REF!,"AAAAAHZ9l+E=")</f>
        <v>#REF!</v>
      </c>
      <c r="HS40" t="str">
        <f>AND(#REF!,"AAAAAHZ9l+I=")</f>
        <v>#REF!</v>
      </c>
      <c r="HT40" t="str">
        <f>AND(#REF!,"AAAAAHZ9l+M=")</f>
        <v>#REF!</v>
      </c>
      <c r="HU40" t="str">
        <f>AND(#REF!,"AAAAAHZ9l+Q=")</f>
        <v>#REF!</v>
      </c>
      <c r="HV40" t="str">
        <f>AND(#REF!,"AAAAAHZ9l+U=")</f>
        <v>#REF!</v>
      </c>
      <c r="HW40" t="str">
        <f>AND(#REF!,"AAAAAHZ9l+Y=")</f>
        <v>#REF!</v>
      </c>
      <c r="HX40" t="str">
        <f>AND(#REF!,"AAAAAHZ9l+c=")</f>
        <v>#REF!</v>
      </c>
      <c r="HY40" t="str">
        <f>AND(#REF!,"AAAAAHZ9l+g=")</f>
        <v>#REF!</v>
      </c>
      <c r="HZ40" t="str">
        <f>AND(#REF!,"AAAAAHZ9l+k=")</f>
        <v>#REF!</v>
      </c>
      <c r="IA40" t="str">
        <f>AND(#REF!,"AAAAAHZ9l+o=")</f>
        <v>#REF!</v>
      </c>
      <c r="IB40" t="str">
        <f>AND(#REF!,"AAAAAHZ9l+s=")</f>
        <v>#REF!</v>
      </c>
      <c r="IC40" t="str">
        <f>AND(#REF!,"AAAAAHZ9l+w=")</f>
        <v>#REF!</v>
      </c>
      <c r="ID40" t="str">
        <f>AND(#REF!,"AAAAAHZ9l+0=")</f>
        <v>#REF!</v>
      </c>
      <c r="IE40" t="str">
        <f>AND(#REF!,"AAAAAHZ9l+4=")</f>
        <v>#REF!</v>
      </c>
      <c r="IF40" t="str">
        <f>AND(#REF!,"AAAAAHZ9l+8=")</f>
        <v>#REF!</v>
      </c>
      <c r="IG40" t="str">
        <f>AND(#REF!,"AAAAAHZ9l/A=")</f>
        <v>#REF!</v>
      </c>
      <c r="IH40" t="str">
        <f>AND(#REF!,"AAAAAHZ9l/E=")</f>
        <v>#REF!</v>
      </c>
      <c r="II40" t="str">
        <f>AND(#REF!,"AAAAAHZ9l/I=")</f>
        <v>#REF!</v>
      </c>
      <c r="IJ40" t="str">
        <f>AND(#REF!,"AAAAAHZ9l/M=")</f>
        <v>#REF!</v>
      </c>
      <c r="IK40" t="str">
        <f>AND(#REF!,"AAAAAHZ9l/Q=")</f>
        <v>#REF!</v>
      </c>
      <c r="IL40" t="str">
        <f>AND(#REF!,"AAAAAHZ9l/U=")</f>
        <v>#REF!</v>
      </c>
      <c r="IM40" t="str">
        <f>AND(#REF!,"AAAAAHZ9l/Y=")</f>
        <v>#REF!</v>
      </c>
      <c r="IN40" t="str">
        <f>AND(#REF!,"AAAAAHZ9l/c=")</f>
        <v>#REF!</v>
      </c>
      <c r="IO40" t="str">
        <f>AND(#REF!,"AAAAAHZ9l/g=")</f>
        <v>#REF!</v>
      </c>
      <c r="IP40" t="str">
        <f>AND(#REF!,"AAAAAHZ9l/k=")</f>
        <v>#REF!</v>
      </c>
      <c r="IQ40" t="str">
        <f>AND(#REF!,"AAAAAHZ9l/o=")</f>
        <v>#REF!</v>
      </c>
      <c r="IR40" t="str">
        <f>AND(#REF!,"AAAAAHZ9l/s=")</f>
        <v>#REF!</v>
      </c>
      <c r="IS40" t="str">
        <f>AND(#REF!,"AAAAAHZ9l/w=")</f>
        <v>#REF!</v>
      </c>
      <c r="IT40" t="str">
        <f>AND(#REF!,"AAAAAHZ9l/0=")</f>
        <v>#REF!</v>
      </c>
      <c r="IU40" t="str">
        <f>AND(#REF!,"AAAAAHZ9l/4=")</f>
        <v>#REF!</v>
      </c>
      <c r="IV40" t="str">
        <f>AND(#REF!,"AAAAAHZ9l/8=")</f>
        <v>#REF!</v>
      </c>
    </row>
    <row r="41" ht="15.75" customHeight="1">
      <c r="A41" t="str">
        <f>AND(#REF!,"AAAAAH//9QA=")</f>
        <v>#REF!</v>
      </c>
      <c r="B41" t="str">
        <f>AND(#REF!,"AAAAAH//9QE=")</f>
        <v>#REF!</v>
      </c>
      <c r="C41" t="str">
        <f>AND(#REF!,"AAAAAH//9QI=")</f>
        <v>#REF!</v>
      </c>
      <c r="D41" t="str">
        <f>AND(#REF!,"AAAAAH//9QM=")</f>
        <v>#REF!</v>
      </c>
      <c r="E41" t="str">
        <f>AND(#REF!,"AAAAAH//9QQ=")</f>
        <v>#REF!</v>
      </c>
      <c r="F41" t="str">
        <f>AND(#REF!,"AAAAAH//9QU=")</f>
        <v>#REF!</v>
      </c>
      <c r="G41" t="str">
        <f>AND(#REF!,"AAAAAH//9QY=")</f>
        <v>#REF!</v>
      </c>
      <c r="H41" t="str">
        <f>AND(#REF!,"AAAAAH//9Qc=")</f>
        <v>#REF!</v>
      </c>
      <c r="I41" t="str">
        <f>AND(#REF!,"AAAAAH//9Qg=")</f>
        <v>#REF!</v>
      </c>
      <c r="J41" t="str">
        <f>AND(#REF!,"AAAAAH//9Qk=")</f>
        <v>#REF!</v>
      </c>
      <c r="K41" t="str">
        <f>AND(#REF!,"AAAAAH//9Qo=")</f>
        <v>#REF!</v>
      </c>
      <c r="L41" t="str">
        <f>AND(#REF!,"AAAAAH//9Qs=")</f>
        <v>#REF!</v>
      </c>
      <c r="M41" t="str">
        <f>AND(#REF!,"AAAAAH//9Qw=")</f>
        <v>#REF!</v>
      </c>
      <c r="N41" t="str">
        <f>IF(#REF!,"AAAAAH//9Q0=",0)</f>
        <v>#REF!</v>
      </c>
      <c r="O41" t="str">
        <f>AND(#REF!,"AAAAAH//9Q4=")</f>
        <v>#REF!</v>
      </c>
      <c r="P41" t="str">
        <f>AND(#REF!,"AAAAAH//9Q8=")</f>
        <v>#REF!</v>
      </c>
      <c r="Q41" t="str">
        <f>AND(#REF!,"AAAAAH//9RA=")</f>
        <v>#REF!</v>
      </c>
      <c r="R41" t="str">
        <f>AND(#REF!,"AAAAAH//9RE=")</f>
        <v>#REF!</v>
      </c>
      <c r="S41" t="str">
        <f>AND(#REF!,"AAAAAH//9RI=")</f>
        <v>#REF!</v>
      </c>
      <c r="T41" t="str">
        <f>AND(#REF!,"AAAAAH//9RM=")</f>
        <v>#REF!</v>
      </c>
      <c r="U41" t="str">
        <f>AND(#REF!,"AAAAAH//9RQ=")</f>
        <v>#REF!</v>
      </c>
      <c r="V41" t="str">
        <f>AND(#REF!,"AAAAAH//9RU=")</f>
        <v>#REF!</v>
      </c>
      <c r="W41" t="str">
        <f>AND(#REF!,"AAAAAH//9RY=")</f>
        <v>#REF!</v>
      </c>
      <c r="X41" t="str">
        <f>AND(#REF!,"AAAAAH//9Rc=")</f>
        <v>#REF!</v>
      </c>
      <c r="Y41" t="str">
        <f>AND(#REF!,"AAAAAH//9Rg=")</f>
        <v>#REF!</v>
      </c>
      <c r="Z41" t="str">
        <f>AND(#REF!,"AAAAAH//9Rk=")</f>
        <v>#REF!</v>
      </c>
      <c r="AA41" t="str">
        <f>AND(#REF!,"AAAAAH//9Ro=")</f>
        <v>#REF!</v>
      </c>
      <c r="AB41" t="str">
        <f>AND(#REF!,"AAAAAH//9Rs=")</f>
        <v>#REF!</v>
      </c>
      <c r="AC41" t="str">
        <f>AND(#REF!,"AAAAAH//9Rw=")</f>
        <v>#REF!</v>
      </c>
      <c r="AD41" t="str">
        <f>AND(#REF!,"AAAAAH//9R0=")</f>
        <v>#REF!</v>
      </c>
      <c r="AE41" t="str">
        <f>AND(#REF!,"AAAAAH//9R4=")</f>
        <v>#REF!</v>
      </c>
      <c r="AF41" t="str">
        <f>AND(#REF!,"AAAAAH//9R8=")</f>
        <v>#REF!</v>
      </c>
      <c r="AG41" t="str">
        <f>AND(#REF!,"AAAAAH//9SA=")</f>
        <v>#REF!</v>
      </c>
      <c r="AH41" t="str">
        <f>AND(#REF!,"AAAAAH//9SE=")</f>
        <v>#REF!</v>
      </c>
      <c r="AI41" t="str">
        <f>AND(#REF!,"AAAAAH//9SI=")</f>
        <v>#REF!</v>
      </c>
      <c r="AJ41" t="str">
        <f>AND(#REF!,"AAAAAH//9SM=")</f>
        <v>#REF!</v>
      </c>
      <c r="AK41" t="str">
        <f>AND(#REF!,"AAAAAH//9SQ=")</f>
        <v>#REF!</v>
      </c>
      <c r="AL41" t="str">
        <f>AND(#REF!,"AAAAAH//9SU=")</f>
        <v>#REF!</v>
      </c>
      <c r="AM41" t="str">
        <f>AND(#REF!,"AAAAAH//9SY=")</f>
        <v>#REF!</v>
      </c>
      <c r="AN41" t="str">
        <f>AND(#REF!,"AAAAAH//9Sc=")</f>
        <v>#REF!</v>
      </c>
      <c r="AO41" t="str">
        <f>AND(#REF!,"AAAAAH//9Sg=")</f>
        <v>#REF!</v>
      </c>
      <c r="AP41" t="str">
        <f>AND(#REF!,"AAAAAH//9Sk=")</f>
        <v>#REF!</v>
      </c>
      <c r="AQ41" t="str">
        <f>AND(#REF!,"AAAAAH//9So=")</f>
        <v>#REF!</v>
      </c>
      <c r="AR41" t="str">
        <f>AND(#REF!,"AAAAAH//9Ss=")</f>
        <v>#REF!</v>
      </c>
      <c r="AS41" t="str">
        <f>AND(#REF!,"AAAAAH//9Sw=")</f>
        <v>#REF!</v>
      </c>
      <c r="AT41" t="str">
        <f>AND(#REF!,"AAAAAH//9S0=")</f>
        <v>#REF!</v>
      </c>
      <c r="AU41" t="str">
        <f>AND(#REF!,"AAAAAH//9S4=")</f>
        <v>#REF!</v>
      </c>
      <c r="AV41" t="str">
        <f>AND(#REF!,"AAAAAH//9S8=")</f>
        <v>#REF!</v>
      </c>
      <c r="AW41" t="str">
        <f>AND(#REF!,"AAAAAH//9TA=")</f>
        <v>#REF!</v>
      </c>
      <c r="AX41" t="str">
        <f>AND(#REF!,"AAAAAH//9TE=")</f>
        <v>#REF!</v>
      </c>
      <c r="AY41" t="str">
        <f>AND(#REF!,"AAAAAH//9TI=")</f>
        <v>#REF!</v>
      </c>
      <c r="AZ41" t="str">
        <f>AND(#REF!,"AAAAAH//9TM=")</f>
        <v>#REF!</v>
      </c>
      <c r="BA41" t="str">
        <f>AND(#REF!,"AAAAAH//9TQ=")</f>
        <v>#REF!</v>
      </c>
      <c r="BB41" t="str">
        <f>AND(#REF!,"AAAAAH//9TU=")</f>
        <v>#REF!</v>
      </c>
      <c r="BC41" t="str">
        <f>AND(#REF!,"AAAAAH//9TY=")</f>
        <v>#REF!</v>
      </c>
      <c r="BD41" t="str">
        <f>AND(#REF!,"AAAAAH//9Tc=")</f>
        <v>#REF!</v>
      </c>
      <c r="BE41" t="str">
        <f>AND(#REF!,"AAAAAH//9Tg=")</f>
        <v>#REF!</v>
      </c>
      <c r="BF41" t="str">
        <f>AND(#REF!,"AAAAAH//9Tk=")</f>
        <v>#REF!</v>
      </c>
      <c r="BG41" t="str">
        <f>AND(#REF!,"AAAAAH//9To=")</f>
        <v>#REF!</v>
      </c>
      <c r="BH41" t="str">
        <f>AND(#REF!,"AAAAAH//9Ts=")</f>
        <v>#REF!</v>
      </c>
      <c r="BI41" t="str">
        <f>AND(#REF!,"AAAAAH//9Tw=")</f>
        <v>#REF!</v>
      </c>
      <c r="BJ41" t="str">
        <f>AND(#REF!,"AAAAAH//9T0=")</f>
        <v>#REF!</v>
      </c>
      <c r="BK41" t="str">
        <f>AND(#REF!,"AAAAAH//9T4=")</f>
        <v>#REF!</v>
      </c>
      <c r="BL41" t="str">
        <f>AND(#REF!,"AAAAAH//9T8=")</f>
        <v>#REF!</v>
      </c>
      <c r="BM41" t="str">
        <f>AND(#REF!,"AAAAAH//9UA=")</f>
        <v>#REF!</v>
      </c>
      <c r="BN41" t="str">
        <f>AND(#REF!,"AAAAAH//9UE=")</f>
        <v>#REF!</v>
      </c>
      <c r="BO41" t="str">
        <f>AND(#REF!,"AAAAAH//9UI=")</f>
        <v>#REF!</v>
      </c>
      <c r="BP41" t="str">
        <f>AND(#REF!,"AAAAAH//9UM=")</f>
        <v>#REF!</v>
      </c>
      <c r="BQ41" t="str">
        <f>AND(#REF!,"AAAAAH//9UQ=")</f>
        <v>#REF!</v>
      </c>
      <c r="BR41" t="str">
        <f>AND(#REF!,"AAAAAH//9UU=")</f>
        <v>#REF!</v>
      </c>
      <c r="BS41" t="str">
        <f>AND(#REF!,"AAAAAH//9UY=")</f>
        <v>#REF!</v>
      </c>
      <c r="BT41" t="str">
        <f>AND(#REF!,"AAAAAH//9Uc=")</f>
        <v>#REF!</v>
      </c>
      <c r="BU41" t="str">
        <f>AND(#REF!,"AAAAAH//9Ug=")</f>
        <v>#REF!</v>
      </c>
      <c r="BV41" t="str">
        <f>AND(#REF!,"AAAAAH//9Uk=")</f>
        <v>#REF!</v>
      </c>
      <c r="BW41" t="str">
        <f>AND(#REF!,"AAAAAH//9Uo=")</f>
        <v>#REF!</v>
      </c>
      <c r="BX41" t="str">
        <f>AND(#REF!,"AAAAAH//9Us=")</f>
        <v>#REF!</v>
      </c>
      <c r="BY41" t="str">
        <f>AND(#REF!,"AAAAAH//9Uw=")</f>
        <v>#REF!</v>
      </c>
      <c r="BZ41" t="str">
        <f>AND(#REF!,"AAAAAH//9U0=")</f>
        <v>#REF!</v>
      </c>
      <c r="CA41" t="str">
        <f>AND(#REF!,"AAAAAH//9U4=")</f>
        <v>#REF!</v>
      </c>
      <c r="CB41" t="str">
        <f>AND(#REF!,"AAAAAH//9U8=")</f>
        <v>#REF!</v>
      </c>
      <c r="CC41" t="str">
        <f>AND(#REF!,"AAAAAH//9VA=")</f>
        <v>#REF!</v>
      </c>
      <c r="CD41" t="str">
        <f>AND(#REF!,"AAAAAH//9VE=")</f>
        <v>#REF!</v>
      </c>
      <c r="CE41" t="str">
        <f>AND(#REF!,"AAAAAH//9VI=")</f>
        <v>#REF!</v>
      </c>
      <c r="CF41" t="str">
        <f>AND(#REF!,"AAAAAH//9VM=")</f>
        <v>#REF!</v>
      </c>
      <c r="CG41" t="str">
        <f>AND(#REF!,"AAAAAH//9VQ=")</f>
        <v>#REF!</v>
      </c>
      <c r="CH41" t="str">
        <f>AND(#REF!,"AAAAAH//9VU=")</f>
        <v>#REF!</v>
      </c>
      <c r="CI41" t="str">
        <f>AND(#REF!,"AAAAAH//9VY=")</f>
        <v>#REF!</v>
      </c>
      <c r="CJ41" t="str">
        <f>AND(#REF!,"AAAAAH//9Vc=")</f>
        <v>#REF!</v>
      </c>
      <c r="CK41" t="str">
        <f>AND(#REF!,"AAAAAH//9Vg=")</f>
        <v>#REF!</v>
      </c>
      <c r="CL41" t="str">
        <f>IF(#REF!,"AAAAAH//9Vk=",0)</f>
        <v>#REF!</v>
      </c>
      <c r="CM41" t="str">
        <f>AND(#REF!,"AAAAAH//9Vo=")</f>
        <v>#REF!</v>
      </c>
      <c r="CN41" t="str">
        <f>AND(#REF!,"AAAAAH//9Vs=")</f>
        <v>#REF!</v>
      </c>
      <c r="CO41" t="str">
        <f>AND(#REF!,"AAAAAH//9Vw=")</f>
        <v>#REF!</v>
      </c>
      <c r="CP41" t="str">
        <f>AND(#REF!,"AAAAAH//9V0=")</f>
        <v>#REF!</v>
      </c>
      <c r="CQ41" t="str">
        <f>AND(#REF!,"AAAAAH//9V4=")</f>
        <v>#REF!</v>
      </c>
      <c r="CR41" t="str">
        <f>AND(#REF!,"AAAAAH//9V8=")</f>
        <v>#REF!</v>
      </c>
      <c r="CS41" t="str">
        <f>AND(#REF!,"AAAAAH//9WA=")</f>
        <v>#REF!</v>
      </c>
      <c r="CT41" t="str">
        <f>AND(#REF!,"AAAAAH//9WE=")</f>
        <v>#REF!</v>
      </c>
      <c r="CU41" t="str">
        <f>AND(#REF!,"AAAAAH//9WI=")</f>
        <v>#REF!</v>
      </c>
      <c r="CV41" t="str">
        <f>AND(#REF!,"AAAAAH//9WM=")</f>
        <v>#REF!</v>
      </c>
      <c r="CW41" t="str">
        <f>AND(#REF!,"AAAAAH//9WQ=")</f>
        <v>#REF!</v>
      </c>
      <c r="CX41" t="str">
        <f>AND(#REF!,"AAAAAH//9WU=")</f>
        <v>#REF!</v>
      </c>
      <c r="CY41" t="str">
        <f>AND(#REF!,"AAAAAH//9WY=")</f>
        <v>#REF!</v>
      </c>
      <c r="CZ41" t="str">
        <f>AND(#REF!,"AAAAAH//9Wc=")</f>
        <v>#REF!</v>
      </c>
      <c r="DA41" t="str">
        <f>AND(#REF!,"AAAAAH//9Wg=")</f>
        <v>#REF!</v>
      </c>
      <c r="DB41" t="str">
        <f>AND(#REF!,"AAAAAH//9Wk=")</f>
        <v>#REF!</v>
      </c>
      <c r="DC41" t="str">
        <f>AND(#REF!,"AAAAAH//9Wo=")</f>
        <v>#REF!</v>
      </c>
      <c r="DD41" t="str">
        <f>AND(#REF!,"AAAAAH//9Ws=")</f>
        <v>#REF!</v>
      </c>
      <c r="DE41" t="str">
        <f>AND(#REF!,"AAAAAH//9Ww=")</f>
        <v>#REF!</v>
      </c>
      <c r="DF41" t="str">
        <f>AND(#REF!,"AAAAAH//9W0=")</f>
        <v>#REF!</v>
      </c>
      <c r="DG41" t="str">
        <f>AND(#REF!,"AAAAAH//9W4=")</f>
        <v>#REF!</v>
      </c>
      <c r="DH41" t="str">
        <f>AND(#REF!,"AAAAAH//9W8=")</f>
        <v>#REF!</v>
      </c>
      <c r="DI41" t="str">
        <f>AND(#REF!,"AAAAAH//9XA=")</f>
        <v>#REF!</v>
      </c>
      <c r="DJ41" t="str">
        <f>AND(#REF!,"AAAAAH//9XE=")</f>
        <v>#REF!</v>
      </c>
      <c r="DK41" t="str">
        <f>AND(#REF!,"AAAAAH//9XI=")</f>
        <v>#REF!</v>
      </c>
      <c r="DL41" t="str">
        <f>AND(#REF!,"AAAAAH//9XM=")</f>
        <v>#REF!</v>
      </c>
      <c r="DM41" t="str">
        <f>AND(#REF!,"AAAAAH//9XQ=")</f>
        <v>#REF!</v>
      </c>
      <c r="DN41" t="str">
        <f>AND(#REF!,"AAAAAH//9XU=")</f>
        <v>#REF!</v>
      </c>
      <c r="DO41" t="str">
        <f>AND(#REF!,"AAAAAH//9XY=")</f>
        <v>#REF!</v>
      </c>
      <c r="DP41" t="str">
        <f>AND(#REF!,"AAAAAH//9Xc=")</f>
        <v>#REF!</v>
      </c>
      <c r="DQ41" t="str">
        <f>AND(#REF!,"AAAAAH//9Xg=")</f>
        <v>#REF!</v>
      </c>
      <c r="DR41" t="str">
        <f>AND(#REF!,"AAAAAH//9Xk=")</f>
        <v>#REF!</v>
      </c>
      <c r="DS41" t="str">
        <f>AND(#REF!,"AAAAAH//9Xo=")</f>
        <v>#REF!</v>
      </c>
      <c r="DT41" t="str">
        <f>AND(#REF!,"AAAAAH//9Xs=")</f>
        <v>#REF!</v>
      </c>
      <c r="DU41" t="str">
        <f>AND(#REF!,"AAAAAH//9Xw=")</f>
        <v>#REF!</v>
      </c>
      <c r="DV41" t="str">
        <f>AND(#REF!,"AAAAAH//9X0=")</f>
        <v>#REF!</v>
      </c>
      <c r="DW41" t="str">
        <f>AND(#REF!,"AAAAAH//9X4=")</f>
        <v>#REF!</v>
      </c>
      <c r="DX41" t="str">
        <f>AND(#REF!,"AAAAAH//9X8=")</f>
        <v>#REF!</v>
      </c>
      <c r="DY41" t="str">
        <f>AND(#REF!,"AAAAAH//9YA=")</f>
        <v>#REF!</v>
      </c>
      <c r="DZ41" t="str">
        <f>AND(#REF!,"AAAAAH//9YE=")</f>
        <v>#REF!</v>
      </c>
      <c r="EA41" t="str">
        <f>AND(#REF!,"AAAAAH//9YI=")</f>
        <v>#REF!</v>
      </c>
      <c r="EB41" t="str">
        <f>AND(#REF!,"AAAAAH//9YM=")</f>
        <v>#REF!</v>
      </c>
      <c r="EC41" t="str">
        <f>AND(#REF!,"AAAAAH//9YQ=")</f>
        <v>#REF!</v>
      </c>
      <c r="ED41" t="str">
        <f>AND(#REF!,"AAAAAH//9YU=")</f>
        <v>#REF!</v>
      </c>
      <c r="EE41" t="str">
        <f>AND(#REF!,"AAAAAH//9YY=")</f>
        <v>#REF!</v>
      </c>
      <c r="EF41" t="str">
        <f>AND(#REF!,"AAAAAH//9Yc=")</f>
        <v>#REF!</v>
      </c>
      <c r="EG41" t="str">
        <f>AND(#REF!,"AAAAAH//9Yg=")</f>
        <v>#REF!</v>
      </c>
      <c r="EH41" t="str">
        <f>AND(#REF!,"AAAAAH//9Yk=")</f>
        <v>#REF!</v>
      </c>
      <c r="EI41" t="str">
        <f>AND(#REF!,"AAAAAH//9Yo=")</f>
        <v>#REF!</v>
      </c>
      <c r="EJ41" t="str">
        <f>AND(#REF!,"AAAAAH//9Ys=")</f>
        <v>#REF!</v>
      </c>
      <c r="EK41" t="str">
        <f>AND(#REF!,"AAAAAH//9Yw=")</f>
        <v>#REF!</v>
      </c>
      <c r="EL41" t="str">
        <f>AND(#REF!,"AAAAAH//9Y0=")</f>
        <v>#REF!</v>
      </c>
      <c r="EM41" t="str">
        <f>AND(#REF!,"AAAAAH//9Y4=")</f>
        <v>#REF!</v>
      </c>
      <c r="EN41" t="str">
        <f>AND(#REF!,"AAAAAH//9Y8=")</f>
        <v>#REF!</v>
      </c>
      <c r="EO41" t="str">
        <f>AND(#REF!,"AAAAAH//9ZA=")</f>
        <v>#REF!</v>
      </c>
      <c r="EP41" t="str">
        <f>AND(#REF!,"AAAAAH//9ZE=")</f>
        <v>#REF!</v>
      </c>
      <c r="EQ41" t="str">
        <f>AND(#REF!,"AAAAAH//9ZI=")</f>
        <v>#REF!</v>
      </c>
      <c r="ER41" t="str">
        <f>AND(#REF!,"AAAAAH//9ZM=")</f>
        <v>#REF!</v>
      </c>
      <c r="ES41" t="str">
        <f>AND(#REF!,"AAAAAH//9ZQ=")</f>
        <v>#REF!</v>
      </c>
      <c r="ET41" t="str">
        <f>AND(#REF!,"AAAAAH//9ZU=")</f>
        <v>#REF!</v>
      </c>
      <c r="EU41" t="str">
        <f>AND(#REF!,"AAAAAH//9ZY=")</f>
        <v>#REF!</v>
      </c>
      <c r="EV41" t="str">
        <f>AND(#REF!,"AAAAAH//9Zc=")</f>
        <v>#REF!</v>
      </c>
      <c r="EW41" t="str">
        <f>AND(#REF!,"AAAAAH//9Zg=")</f>
        <v>#REF!</v>
      </c>
      <c r="EX41" t="str">
        <f>AND(#REF!,"AAAAAH//9Zk=")</f>
        <v>#REF!</v>
      </c>
      <c r="EY41" t="str">
        <f>AND(#REF!,"AAAAAH//9Zo=")</f>
        <v>#REF!</v>
      </c>
      <c r="EZ41" t="str">
        <f>AND(#REF!,"AAAAAH//9Zs=")</f>
        <v>#REF!</v>
      </c>
      <c r="FA41" t="str">
        <f>AND(#REF!,"AAAAAH//9Zw=")</f>
        <v>#REF!</v>
      </c>
      <c r="FB41" t="str">
        <f>AND(#REF!,"AAAAAH//9Z0=")</f>
        <v>#REF!</v>
      </c>
      <c r="FC41" t="str">
        <f>AND(#REF!,"AAAAAH//9Z4=")</f>
        <v>#REF!</v>
      </c>
      <c r="FD41" t="str">
        <f>AND(#REF!,"AAAAAH//9Z8=")</f>
        <v>#REF!</v>
      </c>
      <c r="FE41" t="str">
        <f>AND(#REF!,"AAAAAH//9aA=")</f>
        <v>#REF!</v>
      </c>
      <c r="FF41" t="str">
        <f>AND(#REF!,"AAAAAH//9aE=")</f>
        <v>#REF!</v>
      </c>
      <c r="FG41" t="str">
        <f>AND(#REF!,"AAAAAH//9aI=")</f>
        <v>#REF!</v>
      </c>
      <c r="FH41" t="str">
        <f>AND(#REF!,"AAAAAH//9aM=")</f>
        <v>#REF!</v>
      </c>
      <c r="FI41" t="str">
        <f>AND(#REF!,"AAAAAH//9aQ=")</f>
        <v>#REF!</v>
      </c>
      <c r="FJ41" t="str">
        <f>IF(#REF!,"AAAAAH//9aU=",0)</f>
        <v>#REF!</v>
      </c>
      <c r="FK41" t="str">
        <f>AND(#REF!,"AAAAAH//9aY=")</f>
        <v>#REF!</v>
      </c>
      <c r="FL41" t="str">
        <f>AND(#REF!,"AAAAAH//9ac=")</f>
        <v>#REF!</v>
      </c>
      <c r="FM41" t="str">
        <f>AND(#REF!,"AAAAAH//9ag=")</f>
        <v>#REF!</v>
      </c>
      <c r="FN41" t="str">
        <f>AND(#REF!,"AAAAAH//9ak=")</f>
        <v>#REF!</v>
      </c>
      <c r="FO41" t="str">
        <f>AND(#REF!,"AAAAAH//9ao=")</f>
        <v>#REF!</v>
      </c>
      <c r="FP41" t="str">
        <f>AND(#REF!,"AAAAAH//9as=")</f>
        <v>#REF!</v>
      </c>
      <c r="FQ41" t="str">
        <f>AND(#REF!,"AAAAAH//9aw=")</f>
        <v>#REF!</v>
      </c>
      <c r="FR41" t="str">
        <f>AND(#REF!,"AAAAAH//9a0=")</f>
        <v>#REF!</v>
      </c>
      <c r="FS41" t="str">
        <f>AND(#REF!,"AAAAAH//9a4=")</f>
        <v>#REF!</v>
      </c>
      <c r="FT41" t="str">
        <f>AND(#REF!,"AAAAAH//9a8=")</f>
        <v>#REF!</v>
      </c>
      <c r="FU41" t="str">
        <f>AND(#REF!,"AAAAAH//9bA=")</f>
        <v>#REF!</v>
      </c>
      <c r="FV41" t="str">
        <f>AND(#REF!,"AAAAAH//9bE=")</f>
        <v>#REF!</v>
      </c>
      <c r="FW41" t="str">
        <f>AND(#REF!,"AAAAAH//9bI=")</f>
        <v>#REF!</v>
      </c>
      <c r="FX41" t="str">
        <f>AND(#REF!,"AAAAAH//9bM=")</f>
        <v>#REF!</v>
      </c>
      <c r="FY41" t="str">
        <f>AND(#REF!,"AAAAAH//9bQ=")</f>
        <v>#REF!</v>
      </c>
      <c r="FZ41" t="str">
        <f>AND(#REF!,"AAAAAH//9bU=")</f>
        <v>#REF!</v>
      </c>
      <c r="GA41" t="str">
        <f>AND(#REF!,"AAAAAH//9bY=")</f>
        <v>#REF!</v>
      </c>
      <c r="GB41" t="str">
        <f>AND(#REF!,"AAAAAH//9bc=")</f>
        <v>#REF!</v>
      </c>
      <c r="GC41" t="str">
        <f>AND(#REF!,"AAAAAH//9bg=")</f>
        <v>#REF!</v>
      </c>
      <c r="GD41" t="str">
        <f>AND(#REF!,"AAAAAH//9bk=")</f>
        <v>#REF!</v>
      </c>
      <c r="GE41" t="str">
        <f>AND(#REF!,"AAAAAH//9bo=")</f>
        <v>#REF!</v>
      </c>
      <c r="GF41" t="str">
        <f>AND(#REF!,"AAAAAH//9bs=")</f>
        <v>#REF!</v>
      </c>
      <c r="GG41" t="str">
        <f>AND(#REF!,"AAAAAH//9bw=")</f>
        <v>#REF!</v>
      </c>
      <c r="GH41" t="str">
        <f>AND(#REF!,"AAAAAH//9b0=")</f>
        <v>#REF!</v>
      </c>
      <c r="GI41" t="str">
        <f>AND(#REF!,"AAAAAH//9b4=")</f>
        <v>#REF!</v>
      </c>
      <c r="GJ41" t="str">
        <f>AND(#REF!,"AAAAAH//9b8=")</f>
        <v>#REF!</v>
      </c>
      <c r="GK41" t="str">
        <f>AND(#REF!,"AAAAAH//9cA=")</f>
        <v>#REF!</v>
      </c>
      <c r="GL41" t="str">
        <f>AND(#REF!,"AAAAAH//9cE=")</f>
        <v>#REF!</v>
      </c>
      <c r="GM41" t="str">
        <f>AND(#REF!,"AAAAAH//9cI=")</f>
        <v>#REF!</v>
      </c>
      <c r="GN41" t="str">
        <f>AND(#REF!,"AAAAAH//9cM=")</f>
        <v>#REF!</v>
      </c>
      <c r="GO41" t="str">
        <f>AND(#REF!,"AAAAAH//9cQ=")</f>
        <v>#REF!</v>
      </c>
      <c r="GP41" t="str">
        <f>AND(#REF!,"AAAAAH//9cU=")</f>
        <v>#REF!</v>
      </c>
      <c r="GQ41" t="str">
        <f>AND(#REF!,"AAAAAH//9cY=")</f>
        <v>#REF!</v>
      </c>
      <c r="GR41" t="str">
        <f>AND(#REF!,"AAAAAH//9cc=")</f>
        <v>#REF!</v>
      </c>
      <c r="GS41" t="str">
        <f>AND(#REF!,"AAAAAH//9cg=")</f>
        <v>#REF!</v>
      </c>
      <c r="GT41" t="str">
        <f>AND(#REF!,"AAAAAH//9ck=")</f>
        <v>#REF!</v>
      </c>
      <c r="GU41" t="str">
        <f>AND(#REF!,"AAAAAH//9co=")</f>
        <v>#REF!</v>
      </c>
      <c r="GV41" t="str">
        <f>AND(#REF!,"AAAAAH//9cs=")</f>
        <v>#REF!</v>
      </c>
      <c r="GW41" t="str">
        <f>AND(#REF!,"AAAAAH//9cw=")</f>
        <v>#REF!</v>
      </c>
      <c r="GX41" t="str">
        <f>AND(#REF!,"AAAAAH//9c0=")</f>
        <v>#REF!</v>
      </c>
      <c r="GY41" t="str">
        <f>AND(#REF!,"AAAAAH//9c4=")</f>
        <v>#REF!</v>
      </c>
      <c r="GZ41" t="str">
        <f>AND(#REF!,"AAAAAH//9c8=")</f>
        <v>#REF!</v>
      </c>
      <c r="HA41" t="str">
        <f>AND(#REF!,"AAAAAH//9dA=")</f>
        <v>#REF!</v>
      </c>
      <c r="HB41" t="str">
        <f>AND(#REF!,"AAAAAH//9dE=")</f>
        <v>#REF!</v>
      </c>
      <c r="HC41" t="str">
        <f>AND(#REF!,"AAAAAH//9dI=")</f>
        <v>#REF!</v>
      </c>
      <c r="HD41" t="str">
        <f>AND(#REF!,"AAAAAH//9dM=")</f>
        <v>#REF!</v>
      </c>
      <c r="HE41" t="str">
        <f>AND(#REF!,"AAAAAH//9dQ=")</f>
        <v>#REF!</v>
      </c>
      <c r="HF41" t="str">
        <f>AND(#REF!,"AAAAAH//9dU=")</f>
        <v>#REF!</v>
      </c>
      <c r="HG41" t="str">
        <f>AND(#REF!,"AAAAAH//9dY=")</f>
        <v>#REF!</v>
      </c>
      <c r="HH41" t="str">
        <f>AND(#REF!,"AAAAAH//9dc=")</f>
        <v>#REF!</v>
      </c>
      <c r="HI41" t="str">
        <f>AND(#REF!,"AAAAAH//9dg=")</f>
        <v>#REF!</v>
      </c>
      <c r="HJ41" t="str">
        <f>AND(#REF!,"AAAAAH//9dk=")</f>
        <v>#REF!</v>
      </c>
      <c r="HK41" t="str">
        <f>AND(#REF!,"AAAAAH//9do=")</f>
        <v>#REF!</v>
      </c>
      <c r="HL41" t="str">
        <f>AND(#REF!,"AAAAAH//9ds=")</f>
        <v>#REF!</v>
      </c>
      <c r="HM41" t="str">
        <f>AND(#REF!,"AAAAAH//9dw=")</f>
        <v>#REF!</v>
      </c>
      <c r="HN41" t="str">
        <f>AND(#REF!,"AAAAAH//9d0=")</f>
        <v>#REF!</v>
      </c>
      <c r="HO41" t="str">
        <f>AND(#REF!,"AAAAAH//9d4=")</f>
        <v>#REF!</v>
      </c>
      <c r="HP41" t="str">
        <f>AND(#REF!,"AAAAAH//9d8=")</f>
        <v>#REF!</v>
      </c>
      <c r="HQ41" t="str">
        <f>AND(#REF!,"AAAAAH//9eA=")</f>
        <v>#REF!</v>
      </c>
      <c r="HR41" t="str">
        <f>AND(#REF!,"AAAAAH//9eE=")</f>
        <v>#REF!</v>
      </c>
      <c r="HS41" t="str">
        <f>AND(#REF!,"AAAAAH//9eI=")</f>
        <v>#REF!</v>
      </c>
      <c r="HT41" t="str">
        <f>AND(#REF!,"AAAAAH//9eM=")</f>
        <v>#REF!</v>
      </c>
      <c r="HU41" t="str">
        <f>AND(#REF!,"AAAAAH//9eQ=")</f>
        <v>#REF!</v>
      </c>
      <c r="HV41" t="str">
        <f>AND(#REF!,"AAAAAH//9eU=")</f>
        <v>#REF!</v>
      </c>
      <c r="HW41" t="str">
        <f>AND(#REF!,"AAAAAH//9eY=")</f>
        <v>#REF!</v>
      </c>
      <c r="HX41" t="str">
        <f>AND(#REF!,"AAAAAH//9ec=")</f>
        <v>#REF!</v>
      </c>
      <c r="HY41" t="str">
        <f>AND(#REF!,"AAAAAH//9eg=")</f>
        <v>#REF!</v>
      </c>
      <c r="HZ41" t="str">
        <f>AND(#REF!,"AAAAAH//9ek=")</f>
        <v>#REF!</v>
      </c>
      <c r="IA41" t="str">
        <f>AND(#REF!,"AAAAAH//9eo=")</f>
        <v>#REF!</v>
      </c>
      <c r="IB41" t="str">
        <f>AND(#REF!,"AAAAAH//9es=")</f>
        <v>#REF!</v>
      </c>
      <c r="IC41" t="str">
        <f>AND(#REF!,"AAAAAH//9ew=")</f>
        <v>#REF!</v>
      </c>
      <c r="ID41" t="str">
        <f>AND(#REF!,"AAAAAH//9e0=")</f>
        <v>#REF!</v>
      </c>
      <c r="IE41" t="str">
        <f>AND(#REF!,"AAAAAH//9e4=")</f>
        <v>#REF!</v>
      </c>
      <c r="IF41" t="str">
        <f>AND(#REF!,"AAAAAH//9e8=")</f>
        <v>#REF!</v>
      </c>
      <c r="IG41" t="str">
        <f>AND(#REF!,"AAAAAH//9fA=")</f>
        <v>#REF!</v>
      </c>
      <c r="IH41" t="str">
        <f>IF(#REF!,"AAAAAH//9fE=",0)</f>
        <v>#REF!</v>
      </c>
      <c r="II41" t="str">
        <f>AND(#REF!,"AAAAAH//9fI=")</f>
        <v>#REF!</v>
      </c>
      <c r="IJ41" t="str">
        <f>AND(#REF!,"AAAAAH//9fM=")</f>
        <v>#REF!</v>
      </c>
      <c r="IK41" t="str">
        <f>AND(#REF!,"AAAAAH//9fQ=")</f>
        <v>#REF!</v>
      </c>
      <c r="IL41" t="str">
        <f>AND(#REF!,"AAAAAH//9fU=")</f>
        <v>#REF!</v>
      </c>
      <c r="IM41" t="str">
        <f>AND(#REF!,"AAAAAH//9fY=")</f>
        <v>#REF!</v>
      </c>
      <c r="IN41" t="str">
        <f>AND(#REF!,"AAAAAH//9fc=")</f>
        <v>#REF!</v>
      </c>
      <c r="IO41" t="str">
        <f>AND(#REF!,"AAAAAH//9fg=")</f>
        <v>#REF!</v>
      </c>
      <c r="IP41" t="str">
        <f>AND(#REF!,"AAAAAH//9fk=")</f>
        <v>#REF!</v>
      </c>
      <c r="IQ41" t="str">
        <f>AND(#REF!,"AAAAAH//9fo=")</f>
        <v>#REF!</v>
      </c>
      <c r="IR41" t="str">
        <f>AND(#REF!,"AAAAAH//9fs=")</f>
        <v>#REF!</v>
      </c>
      <c r="IS41" t="str">
        <f>AND(#REF!,"AAAAAH//9fw=")</f>
        <v>#REF!</v>
      </c>
      <c r="IT41" t="str">
        <f>AND(#REF!,"AAAAAH//9f0=")</f>
        <v>#REF!</v>
      </c>
      <c r="IU41" t="str">
        <f>AND(#REF!,"AAAAAH//9f4=")</f>
        <v>#REF!</v>
      </c>
      <c r="IV41" t="str">
        <f>AND(#REF!,"AAAAAH//9f8=")</f>
        <v>#REF!</v>
      </c>
    </row>
    <row r="42" ht="15.75" customHeight="1">
      <c r="A42" t="str">
        <f>AND(#REF!,"AAAAAD8+/gA=")</f>
        <v>#REF!</v>
      </c>
      <c r="B42" t="str">
        <f>AND(#REF!,"AAAAAD8+/gE=")</f>
        <v>#REF!</v>
      </c>
      <c r="C42" t="str">
        <f>AND(#REF!,"AAAAAD8+/gI=")</f>
        <v>#REF!</v>
      </c>
      <c r="D42" t="str">
        <f>AND(#REF!,"AAAAAD8+/gM=")</f>
        <v>#REF!</v>
      </c>
      <c r="E42" t="str">
        <f>AND(#REF!,"AAAAAD8+/gQ=")</f>
        <v>#REF!</v>
      </c>
      <c r="F42" t="str">
        <f>AND(#REF!,"AAAAAD8+/gU=")</f>
        <v>#REF!</v>
      </c>
      <c r="G42" t="str">
        <f>AND(#REF!,"AAAAAD8+/gY=")</f>
        <v>#REF!</v>
      </c>
      <c r="H42" t="str">
        <f>AND(#REF!,"AAAAAD8+/gc=")</f>
        <v>#REF!</v>
      </c>
      <c r="I42" t="str">
        <f>AND(#REF!,"AAAAAD8+/gg=")</f>
        <v>#REF!</v>
      </c>
      <c r="J42" t="str">
        <f>AND(#REF!,"AAAAAD8+/gk=")</f>
        <v>#REF!</v>
      </c>
      <c r="K42" t="str">
        <f>AND(#REF!,"AAAAAD8+/go=")</f>
        <v>#REF!</v>
      </c>
      <c r="L42" t="str">
        <f>AND(#REF!,"AAAAAD8+/gs=")</f>
        <v>#REF!</v>
      </c>
      <c r="M42" t="str">
        <f>AND(#REF!,"AAAAAD8+/gw=")</f>
        <v>#REF!</v>
      </c>
      <c r="N42" t="str">
        <f>AND(#REF!,"AAAAAD8+/g0=")</f>
        <v>#REF!</v>
      </c>
      <c r="O42" t="str">
        <f>AND(#REF!,"AAAAAD8+/g4=")</f>
        <v>#REF!</v>
      </c>
      <c r="P42" t="str">
        <f>AND(#REF!,"AAAAAD8+/g8=")</f>
        <v>#REF!</v>
      </c>
      <c r="Q42" t="str">
        <f>AND(#REF!,"AAAAAD8+/hA=")</f>
        <v>#REF!</v>
      </c>
      <c r="R42" t="str">
        <f>AND(#REF!,"AAAAAD8+/hE=")</f>
        <v>#REF!</v>
      </c>
      <c r="S42" t="str">
        <f>AND(#REF!,"AAAAAD8+/hI=")</f>
        <v>#REF!</v>
      </c>
      <c r="T42" t="str">
        <f>AND(#REF!,"AAAAAD8+/hM=")</f>
        <v>#REF!</v>
      </c>
      <c r="U42" t="str">
        <f>AND(#REF!,"AAAAAD8+/hQ=")</f>
        <v>#REF!</v>
      </c>
      <c r="V42" t="str">
        <f>AND(#REF!,"AAAAAD8+/hU=")</f>
        <v>#REF!</v>
      </c>
      <c r="W42" t="str">
        <f>AND(#REF!,"AAAAAD8+/hY=")</f>
        <v>#REF!</v>
      </c>
      <c r="X42" t="str">
        <f>AND(#REF!,"AAAAAD8+/hc=")</f>
        <v>#REF!</v>
      </c>
      <c r="Y42" t="str">
        <f>AND(#REF!,"AAAAAD8+/hg=")</f>
        <v>#REF!</v>
      </c>
      <c r="Z42" t="str">
        <f>AND(#REF!,"AAAAAD8+/hk=")</f>
        <v>#REF!</v>
      </c>
      <c r="AA42" t="str">
        <f>AND(#REF!,"AAAAAD8+/ho=")</f>
        <v>#REF!</v>
      </c>
      <c r="AB42" t="str">
        <f>AND(#REF!,"AAAAAD8+/hs=")</f>
        <v>#REF!</v>
      </c>
      <c r="AC42" t="str">
        <f>AND(#REF!,"AAAAAD8+/hw=")</f>
        <v>#REF!</v>
      </c>
      <c r="AD42" t="str">
        <f>AND(#REF!,"AAAAAD8+/h0=")</f>
        <v>#REF!</v>
      </c>
      <c r="AE42" t="str">
        <f>AND(#REF!,"AAAAAD8+/h4=")</f>
        <v>#REF!</v>
      </c>
      <c r="AF42" t="str">
        <f>AND(#REF!,"AAAAAD8+/h8=")</f>
        <v>#REF!</v>
      </c>
      <c r="AG42" t="str">
        <f>AND(#REF!,"AAAAAD8+/iA=")</f>
        <v>#REF!</v>
      </c>
      <c r="AH42" t="str">
        <f>AND(#REF!,"AAAAAD8+/iE=")</f>
        <v>#REF!</v>
      </c>
      <c r="AI42" t="str">
        <f>AND(#REF!,"AAAAAD8+/iI=")</f>
        <v>#REF!</v>
      </c>
      <c r="AJ42" t="str">
        <f>AND(#REF!,"AAAAAD8+/iM=")</f>
        <v>#REF!</v>
      </c>
      <c r="AK42" t="str">
        <f>AND(#REF!,"AAAAAD8+/iQ=")</f>
        <v>#REF!</v>
      </c>
      <c r="AL42" t="str">
        <f>AND(#REF!,"AAAAAD8+/iU=")</f>
        <v>#REF!</v>
      </c>
      <c r="AM42" t="str">
        <f>AND(#REF!,"AAAAAD8+/iY=")</f>
        <v>#REF!</v>
      </c>
      <c r="AN42" t="str">
        <f>AND(#REF!,"AAAAAD8+/ic=")</f>
        <v>#REF!</v>
      </c>
      <c r="AO42" t="str">
        <f>AND(#REF!,"AAAAAD8+/ig=")</f>
        <v>#REF!</v>
      </c>
      <c r="AP42" t="str">
        <f>AND(#REF!,"AAAAAD8+/ik=")</f>
        <v>#REF!</v>
      </c>
      <c r="AQ42" t="str">
        <f>AND(#REF!,"AAAAAD8+/io=")</f>
        <v>#REF!</v>
      </c>
      <c r="AR42" t="str">
        <f>AND(#REF!,"AAAAAD8+/is=")</f>
        <v>#REF!</v>
      </c>
      <c r="AS42" t="str">
        <f>AND(#REF!,"AAAAAD8+/iw=")</f>
        <v>#REF!</v>
      </c>
      <c r="AT42" t="str">
        <f>AND(#REF!,"AAAAAD8+/i0=")</f>
        <v>#REF!</v>
      </c>
      <c r="AU42" t="str">
        <f>AND(#REF!,"AAAAAD8+/i4=")</f>
        <v>#REF!</v>
      </c>
      <c r="AV42" t="str">
        <f>AND(#REF!,"AAAAAD8+/i8=")</f>
        <v>#REF!</v>
      </c>
      <c r="AW42" t="str">
        <f>AND(#REF!,"AAAAAD8+/jA=")</f>
        <v>#REF!</v>
      </c>
      <c r="AX42" t="str">
        <f>AND(#REF!,"AAAAAD8+/jE=")</f>
        <v>#REF!</v>
      </c>
      <c r="AY42" t="str">
        <f>AND(#REF!,"AAAAAD8+/jI=")</f>
        <v>#REF!</v>
      </c>
      <c r="AZ42" t="str">
        <f>AND(#REF!,"AAAAAD8+/jM=")</f>
        <v>#REF!</v>
      </c>
      <c r="BA42" t="str">
        <f>AND(#REF!,"AAAAAD8+/jQ=")</f>
        <v>#REF!</v>
      </c>
      <c r="BB42" t="str">
        <f>AND(#REF!,"AAAAAD8+/jU=")</f>
        <v>#REF!</v>
      </c>
      <c r="BC42" t="str">
        <f>AND(#REF!,"AAAAAD8+/jY=")</f>
        <v>#REF!</v>
      </c>
      <c r="BD42" t="str">
        <f>AND(#REF!,"AAAAAD8+/jc=")</f>
        <v>#REF!</v>
      </c>
      <c r="BE42" t="str">
        <f>AND(#REF!,"AAAAAD8+/jg=")</f>
        <v>#REF!</v>
      </c>
      <c r="BF42" t="str">
        <f>AND(#REF!,"AAAAAD8+/jk=")</f>
        <v>#REF!</v>
      </c>
      <c r="BG42" t="str">
        <f>AND(#REF!,"AAAAAD8+/jo=")</f>
        <v>#REF!</v>
      </c>
      <c r="BH42" t="str">
        <f>AND(#REF!,"AAAAAD8+/js=")</f>
        <v>#REF!</v>
      </c>
      <c r="BI42" t="str">
        <f>AND(#REF!,"AAAAAD8+/jw=")</f>
        <v>#REF!</v>
      </c>
      <c r="BJ42" t="str">
        <f>IF(#REF!,"AAAAAD8+/j0=",0)</f>
        <v>#REF!</v>
      </c>
      <c r="BK42" t="str">
        <f>AND(#REF!,"AAAAAD8+/j4=")</f>
        <v>#REF!</v>
      </c>
      <c r="BL42" t="str">
        <f>AND(#REF!,"AAAAAD8+/j8=")</f>
        <v>#REF!</v>
      </c>
      <c r="BM42" t="str">
        <f>AND(#REF!,"AAAAAD8+/kA=")</f>
        <v>#REF!</v>
      </c>
      <c r="BN42" t="str">
        <f>AND(#REF!,"AAAAAD8+/kE=")</f>
        <v>#REF!</v>
      </c>
      <c r="BO42" t="str">
        <f>AND(#REF!,"AAAAAD8+/kI=")</f>
        <v>#REF!</v>
      </c>
      <c r="BP42" t="str">
        <f>AND(#REF!,"AAAAAD8+/kM=")</f>
        <v>#REF!</v>
      </c>
      <c r="BQ42" t="str">
        <f>AND(#REF!,"AAAAAD8+/kQ=")</f>
        <v>#REF!</v>
      </c>
      <c r="BR42" t="str">
        <f>AND(#REF!,"AAAAAD8+/kU=")</f>
        <v>#REF!</v>
      </c>
      <c r="BS42" t="str">
        <f>AND(#REF!,"AAAAAD8+/kY=")</f>
        <v>#REF!</v>
      </c>
      <c r="BT42" t="str">
        <f>AND(#REF!,"AAAAAD8+/kc=")</f>
        <v>#REF!</v>
      </c>
      <c r="BU42" t="str">
        <f>AND(#REF!,"AAAAAD8+/kg=")</f>
        <v>#REF!</v>
      </c>
      <c r="BV42" t="str">
        <f>AND(#REF!,"AAAAAD8+/kk=")</f>
        <v>#REF!</v>
      </c>
      <c r="BW42" t="str">
        <f>AND(#REF!,"AAAAAD8+/ko=")</f>
        <v>#REF!</v>
      </c>
      <c r="BX42" t="str">
        <f>AND(#REF!,"AAAAAD8+/ks=")</f>
        <v>#REF!</v>
      </c>
      <c r="BY42" t="str">
        <f>AND(#REF!,"AAAAAD8+/kw=")</f>
        <v>#REF!</v>
      </c>
      <c r="BZ42" t="str">
        <f>AND(#REF!,"AAAAAD8+/k0=")</f>
        <v>#REF!</v>
      </c>
      <c r="CA42" t="str">
        <f>AND(#REF!,"AAAAAD8+/k4=")</f>
        <v>#REF!</v>
      </c>
      <c r="CB42" t="str">
        <f>AND(#REF!,"AAAAAD8+/k8=")</f>
        <v>#REF!</v>
      </c>
      <c r="CC42" t="str">
        <f>AND(#REF!,"AAAAAD8+/lA=")</f>
        <v>#REF!</v>
      </c>
      <c r="CD42" t="str">
        <f>AND(#REF!,"AAAAAD8+/lE=")</f>
        <v>#REF!</v>
      </c>
      <c r="CE42" t="str">
        <f>AND(#REF!,"AAAAAD8+/lI=")</f>
        <v>#REF!</v>
      </c>
      <c r="CF42" t="str">
        <f>AND(#REF!,"AAAAAD8+/lM=")</f>
        <v>#REF!</v>
      </c>
      <c r="CG42" t="str">
        <f>AND(#REF!,"AAAAAD8+/lQ=")</f>
        <v>#REF!</v>
      </c>
      <c r="CH42" t="str">
        <f>AND(#REF!,"AAAAAD8+/lU=")</f>
        <v>#REF!</v>
      </c>
      <c r="CI42" t="str">
        <f>AND(#REF!,"AAAAAD8+/lY=")</f>
        <v>#REF!</v>
      </c>
      <c r="CJ42" t="str">
        <f>AND(#REF!,"AAAAAD8+/lc=")</f>
        <v>#REF!</v>
      </c>
      <c r="CK42" t="str">
        <f>AND(#REF!,"AAAAAD8+/lg=")</f>
        <v>#REF!</v>
      </c>
      <c r="CL42" t="str">
        <f>AND(#REF!,"AAAAAD8+/lk=")</f>
        <v>#REF!</v>
      </c>
      <c r="CM42" t="str">
        <f>AND(#REF!,"AAAAAD8+/lo=")</f>
        <v>#REF!</v>
      </c>
      <c r="CN42" t="str">
        <f>AND(#REF!,"AAAAAD8+/ls=")</f>
        <v>#REF!</v>
      </c>
      <c r="CO42" t="str">
        <f>AND(#REF!,"AAAAAD8+/lw=")</f>
        <v>#REF!</v>
      </c>
      <c r="CP42" t="str">
        <f>AND(#REF!,"AAAAAD8+/l0=")</f>
        <v>#REF!</v>
      </c>
      <c r="CQ42" t="str">
        <f>AND(#REF!,"AAAAAD8+/l4=")</f>
        <v>#REF!</v>
      </c>
      <c r="CR42" t="str">
        <f>AND(#REF!,"AAAAAD8+/l8=")</f>
        <v>#REF!</v>
      </c>
      <c r="CS42" t="str">
        <f>AND(#REF!,"AAAAAD8+/mA=")</f>
        <v>#REF!</v>
      </c>
      <c r="CT42" t="str">
        <f>AND(#REF!,"AAAAAD8+/mE=")</f>
        <v>#REF!</v>
      </c>
      <c r="CU42" t="str">
        <f>AND(#REF!,"AAAAAD8+/mI=")</f>
        <v>#REF!</v>
      </c>
      <c r="CV42" t="str">
        <f>AND(#REF!,"AAAAAD8+/mM=")</f>
        <v>#REF!</v>
      </c>
      <c r="CW42" t="str">
        <f>AND(#REF!,"AAAAAD8+/mQ=")</f>
        <v>#REF!</v>
      </c>
      <c r="CX42" t="str">
        <f>AND(#REF!,"AAAAAD8+/mU=")</f>
        <v>#REF!</v>
      </c>
      <c r="CY42" t="str">
        <f>AND(#REF!,"AAAAAD8+/mY=")</f>
        <v>#REF!</v>
      </c>
      <c r="CZ42" t="str">
        <f>AND(#REF!,"AAAAAD8+/mc=")</f>
        <v>#REF!</v>
      </c>
      <c r="DA42" t="str">
        <f>AND(#REF!,"AAAAAD8+/mg=")</f>
        <v>#REF!</v>
      </c>
      <c r="DB42" t="str">
        <f>AND(#REF!,"AAAAAD8+/mk=")</f>
        <v>#REF!</v>
      </c>
      <c r="DC42" t="str">
        <f>AND(#REF!,"AAAAAD8+/mo=")</f>
        <v>#REF!</v>
      </c>
      <c r="DD42" t="str">
        <f>AND(#REF!,"AAAAAD8+/ms=")</f>
        <v>#REF!</v>
      </c>
      <c r="DE42" t="str">
        <f>AND(#REF!,"AAAAAD8+/mw=")</f>
        <v>#REF!</v>
      </c>
      <c r="DF42" t="str">
        <f>AND(#REF!,"AAAAAD8+/m0=")</f>
        <v>#REF!</v>
      </c>
      <c r="DG42" t="str">
        <f>AND(#REF!,"AAAAAD8+/m4=")</f>
        <v>#REF!</v>
      </c>
      <c r="DH42" t="str">
        <f>AND(#REF!,"AAAAAD8+/m8=")</f>
        <v>#REF!</v>
      </c>
      <c r="DI42" t="str">
        <f>AND(#REF!,"AAAAAD8+/nA=")</f>
        <v>#REF!</v>
      </c>
      <c r="DJ42" t="str">
        <f>AND(#REF!,"AAAAAD8+/nE=")</f>
        <v>#REF!</v>
      </c>
      <c r="DK42" t="str">
        <f>AND(#REF!,"AAAAAD8+/nI=")</f>
        <v>#REF!</v>
      </c>
      <c r="DL42" t="str">
        <f>AND(#REF!,"AAAAAD8+/nM=")</f>
        <v>#REF!</v>
      </c>
      <c r="DM42" t="str">
        <f>AND(#REF!,"AAAAAD8+/nQ=")</f>
        <v>#REF!</v>
      </c>
      <c r="DN42" t="str">
        <f>AND(#REF!,"AAAAAD8+/nU=")</f>
        <v>#REF!</v>
      </c>
      <c r="DO42" t="str">
        <f>AND(#REF!,"AAAAAD8+/nY=")</f>
        <v>#REF!</v>
      </c>
      <c r="DP42" t="str">
        <f>AND(#REF!,"AAAAAD8+/nc=")</f>
        <v>#REF!</v>
      </c>
      <c r="DQ42" t="str">
        <f>AND(#REF!,"AAAAAD8+/ng=")</f>
        <v>#REF!</v>
      </c>
      <c r="DR42" t="str">
        <f>AND(#REF!,"AAAAAD8+/nk=")</f>
        <v>#REF!</v>
      </c>
      <c r="DS42" t="str">
        <f>AND(#REF!,"AAAAAD8+/no=")</f>
        <v>#REF!</v>
      </c>
      <c r="DT42" t="str">
        <f>AND(#REF!,"AAAAAD8+/ns=")</f>
        <v>#REF!</v>
      </c>
      <c r="DU42" t="str">
        <f>AND(#REF!,"AAAAAD8+/nw=")</f>
        <v>#REF!</v>
      </c>
      <c r="DV42" t="str">
        <f>AND(#REF!,"AAAAAD8+/n0=")</f>
        <v>#REF!</v>
      </c>
      <c r="DW42" t="str">
        <f>AND(#REF!,"AAAAAD8+/n4=")</f>
        <v>#REF!</v>
      </c>
      <c r="DX42" t="str">
        <f>AND(#REF!,"AAAAAD8+/n8=")</f>
        <v>#REF!</v>
      </c>
      <c r="DY42" t="str">
        <f>AND(#REF!,"AAAAAD8+/oA=")</f>
        <v>#REF!</v>
      </c>
      <c r="DZ42" t="str">
        <f>AND(#REF!,"AAAAAD8+/oE=")</f>
        <v>#REF!</v>
      </c>
      <c r="EA42" t="str">
        <f>AND(#REF!,"AAAAAD8+/oI=")</f>
        <v>#REF!</v>
      </c>
      <c r="EB42" t="str">
        <f>AND(#REF!,"AAAAAD8+/oM=")</f>
        <v>#REF!</v>
      </c>
      <c r="EC42" t="str">
        <f>AND(#REF!,"AAAAAD8+/oQ=")</f>
        <v>#REF!</v>
      </c>
      <c r="ED42" t="str">
        <f>AND(#REF!,"AAAAAD8+/oU=")</f>
        <v>#REF!</v>
      </c>
      <c r="EE42" t="str">
        <f>AND(#REF!,"AAAAAD8+/oY=")</f>
        <v>#REF!</v>
      </c>
      <c r="EF42" t="str">
        <f>AND(#REF!,"AAAAAD8+/oc=")</f>
        <v>#REF!</v>
      </c>
      <c r="EG42" t="str">
        <f>AND(#REF!,"AAAAAD8+/og=")</f>
        <v>#REF!</v>
      </c>
      <c r="EH42" t="str">
        <f>IF(#REF!,"AAAAAD8+/ok=",0)</f>
        <v>#REF!</v>
      </c>
      <c r="EI42" t="str">
        <f>AND(#REF!,"AAAAAD8+/oo=")</f>
        <v>#REF!</v>
      </c>
      <c r="EJ42" t="str">
        <f>AND(#REF!,"AAAAAD8+/os=")</f>
        <v>#REF!</v>
      </c>
      <c r="EK42" t="str">
        <f>AND(#REF!,"AAAAAD8+/ow=")</f>
        <v>#REF!</v>
      </c>
      <c r="EL42" t="str">
        <f>AND(#REF!,"AAAAAD8+/o0=")</f>
        <v>#REF!</v>
      </c>
      <c r="EM42" t="str">
        <f>AND(#REF!,"AAAAAD8+/o4=")</f>
        <v>#REF!</v>
      </c>
      <c r="EN42" t="str">
        <f>AND(#REF!,"AAAAAD8+/o8=")</f>
        <v>#REF!</v>
      </c>
      <c r="EO42" t="str">
        <f>AND(#REF!,"AAAAAD8+/pA=")</f>
        <v>#REF!</v>
      </c>
      <c r="EP42" t="str">
        <f>AND(#REF!,"AAAAAD8+/pE=")</f>
        <v>#REF!</v>
      </c>
      <c r="EQ42" t="str">
        <f>AND(#REF!,"AAAAAD8+/pI=")</f>
        <v>#REF!</v>
      </c>
      <c r="ER42" t="str">
        <f>AND(#REF!,"AAAAAD8+/pM=")</f>
        <v>#REF!</v>
      </c>
      <c r="ES42" t="str">
        <f>AND(#REF!,"AAAAAD8+/pQ=")</f>
        <v>#REF!</v>
      </c>
      <c r="ET42" t="str">
        <f>AND(#REF!,"AAAAAD8+/pU=")</f>
        <v>#REF!</v>
      </c>
      <c r="EU42" t="str">
        <f>AND(#REF!,"AAAAAD8+/pY=")</f>
        <v>#REF!</v>
      </c>
      <c r="EV42" t="str">
        <f>AND(#REF!,"AAAAAD8+/pc=")</f>
        <v>#REF!</v>
      </c>
      <c r="EW42" t="str">
        <f>AND(#REF!,"AAAAAD8+/pg=")</f>
        <v>#REF!</v>
      </c>
      <c r="EX42" t="str">
        <f>AND(#REF!,"AAAAAD8+/pk=")</f>
        <v>#REF!</v>
      </c>
      <c r="EY42" t="str">
        <f>AND(#REF!,"AAAAAD8+/po=")</f>
        <v>#REF!</v>
      </c>
      <c r="EZ42" t="str">
        <f>AND(#REF!,"AAAAAD8+/ps=")</f>
        <v>#REF!</v>
      </c>
      <c r="FA42" t="str">
        <f>AND(#REF!,"AAAAAD8+/pw=")</f>
        <v>#REF!</v>
      </c>
      <c r="FB42" t="str">
        <f>AND(#REF!,"AAAAAD8+/p0=")</f>
        <v>#REF!</v>
      </c>
      <c r="FC42" t="str">
        <f>AND(#REF!,"AAAAAD8+/p4=")</f>
        <v>#REF!</v>
      </c>
      <c r="FD42" t="str">
        <f>AND(#REF!,"AAAAAD8+/p8=")</f>
        <v>#REF!</v>
      </c>
      <c r="FE42" t="str">
        <f>AND(#REF!,"AAAAAD8+/qA=")</f>
        <v>#REF!</v>
      </c>
      <c r="FF42" t="str">
        <f>AND(#REF!,"AAAAAD8+/qE=")</f>
        <v>#REF!</v>
      </c>
      <c r="FG42" t="str">
        <f>AND(#REF!,"AAAAAD8+/qI=")</f>
        <v>#REF!</v>
      </c>
      <c r="FH42" t="str">
        <f>AND(#REF!,"AAAAAD8+/qM=")</f>
        <v>#REF!</v>
      </c>
      <c r="FI42" t="str">
        <f>AND(#REF!,"AAAAAD8+/qQ=")</f>
        <v>#REF!</v>
      </c>
      <c r="FJ42" t="str">
        <f>AND(#REF!,"AAAAAD8+/qU=")</f>
        <v>#REF!</v>
      </c>
      <c r="FK42" t="str">
        <f>AND(#REF!,"AAAAAD8+/qY=")</f>
        <v>#REF!</v>
      </c>
      <c r="FL42" t="str">
        <f>AND(#REF!,"AAAAAD8+/qc=")</f>
        <v>#REF!</v>
      </c>
      <c r="FM42" t="str">
        <f>AND(#REF!,"AAAAAD8+/qg=")</f>
        <v>#REF!</v>
      </c>
      <c r="FN42" t="str">
        <f>AND(#REF!,"AAAAAD8+/qk=")</f>
        <v>#REF!</v>
      </c>
      <c r="FO42" t="str">
        <f>AND(#REF!,"AAAAAD8+/qo=")</f>
        <v>#REF!</v>
      </c>
      <c r="FP42" t="str">
        <f>AND(#REF!,"AAAAAD8+/qs=")</f>
        <v>#REF!</v>
      </c>
      <c r="FQ42" t="str">
        <f>AND(#REF!,"AAAAAD8+/qw=")</f>
        <v>#REF!</v>
      </c>
      <c r="FR42" t="str">
        <f>AND(#REF!,"AAAAAD8+/q0=")</f>
        <v>#REF!</v>
      </c>
      <c r="FS42" t="str">
        <f>AND(#REF!,"AAAAAD8+/q4=")</f>
        <v>#REF!</v>
      </c>
      <c r="FT42" t="str">
        <f>AND(#REF!,"AAAAAD8+/q8=")</f>
        <v>#REF!</v>
      </c>
      <c r="FU42" t="str">
        <f>AND(#REF!,"AAAAAD8+/rA=")</f>
        <v>#REF!</v>
      </c>
      <c r="FV42" t="str">
        <f>AND(#REF!,"AAAAAD8+/rE=")</f>
        <v>#REF!</v>
      </c>
      <c r="FW42" t="str">
        <f>AND(#REF!,"AAAAAD8+/rI=")</f>
        <v>#REF!</v>
      </c>
      <c r="FX42" t="str">
        <f>AND(#REF!,"AAAAAD8+/rM=")</f>
        <v>#REF!</v>
      </c>
      <c r="FY42" t="str">
        <f>AND(#REF!,"AAAAAD8+/rQ=")</f>
        <v>#REF!</v>
      </c>
      <c r="FZ42" t="str">
        <f>AND(#REF!,"AAAAAD8+/rU=")</f>
        <v>#REF!</v>
      </c>
      <c r="GA42" t="str">
        <f>AND(#REF!,"AAAAAD8+/rY=")</f>
        <v>#REF!</v>
      </c>
      <c r="GB42" t="str">
        <f>AND(#REF!,"AAAAAD8+/rc=")</f>
        <v>#REF!</v>
      </c>
      <c r="GC42" t="str">
        <f>AND(#REF!,"AAAAAD8+/rg=")</f>
        <v>#REF!</v>
      </c>
      <c r="GD42" t="str">
        <f>AND(#REF!,"AAAAAD8+/rk=")</f>
        <v>#REF!</v>
      </c>
      <c r="GE42" t="str">
        <f>AND(#REF!,"AAAAAD8+/ro=")</f>
        <v>#REF!</v>
      </c>
      <c r="GF42" t="str">
        <f>AND(#REF!,"AAAAAD8+/rs=")</f>
        <v>#REF!</v>
      </c>
      <c r="GG42" t="str">
        <f>AND(#REF!,"AAAAAD8+/rw=")</f>
        <v>#REF!</v>
      </c>
      <c r="GH42" t="str">
        <f>AND(#REF!,"AAAAAD8+/r0=")</f>
        <v>#REF!</v>
      </c>
      <c r="GI42" t="str">
        <f>AND(#REF!,"AAAAAD8+/r4=")</f>
        <v>#REF!</v>
      </c>
      <c r="GJ42" t="str">
        <f>AND(#REF!,"AAAAAD8+/r8=")</f>
        <v>#REF!</v>
      </c>
      <c r="GK42" t="str">
        <f>AND(#REF!,"AAAAAD8+/sA=")</f>
        <v>#REF!</v>
      </c>
      <c r="GL42" t="str">
        <f>AND(#REF!,"AAAAAD8+/sE=")</f>
        <v>#REF!</v>
      </c>
      <c r="GM42" t="str">
        <f>AND(#REF!,"AAAAAD8+/sI=")</f>
        <v>#REF!</v>
      </c>
      <c r="GN42" t="str">
        <f>AND(#REF!,"AAAAAD8+/sM=")</f>
        <v>#REF!</v>
      </c>
      <c r="GO42" t="str">
        <f>AND(#REF!,"AAAAAD8+/sQ=")</f>
        <v>#REF!</v>
      </c>
      <c r="GP42" t="str">
        <f>AND(#REF!,"AAAAAD8+/sU=")</f>
        <v>#REF!</v>
      </c>
      <c r="GQ42" t="str">
        <f>AND(#REF!,"AAAAAD8+/sY=")</f>
        <v>#REF!</v>
      </c>
      <c r="GR42" t="str">
        <f>AND(#REF!,"AAAAAD8+/sc=")</f>
        <v>#REF!</v>
      </c>
      <c r="GS42" t="str">
        <f>AND(#REF!,"AAAAAD8+/sg=")</f>
        <v>#REF!</v>
      </c>
      <c r="GT42" t="str">
        <f>AND(#REF!,"AAAAAD8+/sk=")</f>
        <v>#REF!</v>
      </c>
      <c r="GU42" t="str">
        <f>AND(#REF!,"AAAAAD8+/so=")</f>
        <v>#REF!</v>
      </c>
      <c r="GV42" t="str">
        <f>AND(#REF!,"AAAAAD8+/ss=")</f>
        <v>#REF!</v>
      </c>
      <c r="GW42" t="str">
        <f>AND(#REF!,"AAAAAD8+/sw=")</f>
        <v>#REF!</v>
      </c>
      <c r="GX42" t="str">
        <f>AND(#REF!,"AAAAAD8+/s0=")</f>
        <v>#REF!</v>
      </c>
      <c r="GY42" t="str">
        <f>AND(#REF!,"AAAAAD8+/s4=")</f>
        <v>#REF!</v>
      </c>
      <c r="GZ42" t="str">
        <f>AND(#REF!,"AAAAAD8+/s8=")</f>
        <v>#REF!</v>
      </c>
      <c r="HA42" t="str">
        <f>AND(#REF!,"AAAAAD8+/tA=")</f>
        <v>#REF!</v>
      </c>
      <c r="HB42" t="str">
        <f>AND(#REF!,"AAAAAD8+/tE=")</f>
        <v>#REF!</v>
      </c>
      <c r="HC42" t="str">
        <f>AND(#REF!,"AAAAAD8+/tI=")</f>
        <v>#REF!</v>
      </c>
      <c r="HD42" t="str">
        <f>AND(#REF!,"AAAAAD8+/tM=")</f>
        <v>#REF!</v>
      </c>
      <c r="HE42" t="str">
        <f>AND(#REF!,"AAAAAD8+/tQ=")</f>
        <v>#REF!</v>
      </c>
      <c r="HF42" t="str">
        <f>IF(#REF!,"AAAAAD8+/tU=",0)</f>
        <v>#REF!</v>
      </c>
      <c r="HG42" t="str">
        <f>AND(#REF!,"AAAAAD8+/tY=")</f>
        <v>#REF!</v>
      </c>
      <c r="HH42" t="str">
        <f>AND(#REF!,"AAAAAD8+/tc=")</f>
        <v>#REF!</v>
      </c>
      <c r="HI42" t="str">
        <f>AND(#REF!,"AAAAAD8+/tg=")</f>
        <v>#REF!</v>
      </c>
      <c r="HJ42" t="str">
        <f>AND(#REF!,"AAAAAD8+/tk=")</f>
        <v>#REF!</v>
      </c>
      <c r="HK42" t="str">
        <f>AND(#REF!,"AAAAAD8+/to=")</f>
        <v>#REF!</v>
      </c>
      <c r="HL42" t="str">
        <f>AND(#REF!,"AAAAAD8+/ts=")</f>
        <v>#REF!</v>
      </c>
      <c r="HM42" t="str">
        <f>AND(#REF!,"AAAAAD8+/tw=")</f>
        <v>#REF!</v>
      </c>
      <c r="HN42" t="str">
        <f>AND(#REF!,"AAAAAD8+/t0=")</f>
        <v>#REF!</v>
      </c>
      <c r="HO42" t="str">
        <f>AND(#REF!,"AAAAAD8+/t4=")</f>
        <v>#REF!</v>
      </c>
      <c r="HP42" t="str">
        <f>AND(#REF!,"AAAAAD8+/t8=")</f>
        <v>#REF!</v>
      </c>
      <c r="HQ42" t="str">
        <f>AND(#REF!,"AAAAAD8+/uA=")</f>
        <v>#REF!</v>
      </c>
      <c r="HR42" t="str">
        <f>AND(#REF!,"AAAAAD8+/uE=")</f>
        <v>#REF!</v>
      </c>
      <c r="HS42" t="str">
        <f>AND(#REF!,"AAAAAD8+/uI=")</f>
        <v>#REF!</v>
      </c>
      <c r="HT42" t="str">
        <f>AND(#REF!,"AAAAAD8+/uM=")</f>
        <v>#REF!</v>
      </c>
      <c r="HU42" t="str">
        <f>AND(#REF!,"AAAAAD8+/uQ=")</f>
        <v>#REF!</v>
      </c>
      <c r="HV42" t="str">
        <f>AND(#REF!,"AAAAAD8+/uU=")</f>
        <v>#REF!</v>
      </c>
      <c r="HW42" t="str">
        <f>AND(#REF!,"AAAAAD8+/uY=")</f>
        <v>#REF!</v>
      </c>
      <c r="HX42" t="str">
        <f>AND(#REF!,"AAAAAD8+/uc=")</f>
        <v>#REF!</v>
      </c>
      <c r="HY42" t="str">
        <f>AND(#REF!,"AAAAAD8+/ug=")</f>
        <v>#REF!</v>
      </c>
      <c r="HZ42" t="str">
        <f>AND(#REF!,"AAAAAD8+/uk=")</f>
        <v>#REF!</v>
      </c>
      <c r="IA42" t="str">
        <f>AND(#REF!,"AAAAAD8+/uo=")</f>
        <v>#REF!</v>
      </c>
      <c r="IB42" t="str">
        <f>AND(#REF!,"AAAAAD8+/us=")</f>
        <v>#REF!</v>
      </c>
      <c r="IC42" t="str">
        <f>AND(#REF!,"AAAAAD8+/uw=")</f>
        <v>#REF!</v>
      </c>
      <c r="ID42" t="str">
        <f>AND(#REF!,"AAAAAD8+/u0=")</f>
        <v>#REF!</v>
      </c>
      <c r="IE42" t="str">
        <f>AND(#REF!,"AAAAAD8+/u4=")</f>
        <v>#REF!</v>
      </c>
      <c r="IF42" t="str">
        <f>AND(#REF!,"AAAAAD8+/u8=")</f>
        <v>#REF!</v>
      </c>
      <c r="IG42" t="str">
        <f>AND(#REF!,"AAAAAD8+/vA=")</f>
        <v>#REF!</v>
      </c>
      <c r="IH42" t="str">
        <f>AND(#REF!,"AAAAAD8+/vE=")</f>
        <v>#REF!</v>
      </c>
      <c r="II42" t="str">
        <f>AND(#REF!,"AAAAAD8+/vI=")</f>
        <v>#REF!</v>
      </c>
      <c r="IJ42" t="str">
        <f>AND(#REF!,"AAAAAD8+/vM=")</f>
        <v>#REF!</v>
      </c>
      <c r="IK42" t="str">
        <f>AND(#REF!,"AAAAAD8+/vQ=")</f>
        <v>#REF!</v>
      </c>
      <c r="IL42" t="str">
        <f>AND(#REF!,"AAAAAD8+/vU=")</f>
        <v>#REF!</v>
      </c>
      <c r="IM42" t="str">
        <f>AND(#REF!,"AAAAAD8+/vY=")</f>
        <v>#REF!</v>
      </c>
      <c r="IN42" t="str">
        <f>AND(#REF!,"AAAAAD8+/vc=")</f>
        <v>#REF!</v>
      </c>
      <c r="IO42" t="str">
        <f>AND(#REF!,"AAAAAD8+/vg=")</f>
        <v>#REF!</v>
      </c>
      <c r="IP42" t="str">
        <f>AND(#REF!,"AAAAAD8+/vk=")</f>
        <v>#REF!</v>
      </c>
      <c r="IQ42" t="str">
        <f>AND(#REF!,"AAAAAD8+/vo=")</f>
        <v>#REF!</v>
      </c>
      <c r="IR42" t="str">
        <f>AND(#REF!,"AAAAAD8+/vs=")</f>
        <v>#REF!</v>
      </c>
      <c r="IS42" t="str">
        <f>AND(#REF!,"AAAAAD8+/vw=")</f>
        <v>#REF!</v>
      </c>
      <c r="IT42" t="str">
        <f>AND(#REF!,"AAAAAD8+/v0=")</f>
        <v>#REF!</v>
      </c>
      <c r="IU42" t="str">
        <f>AND(#REF!,"AAAAAD8+/v4=")</f>
        <v>#REF!</v>
      </c>
      <c r="IV42" t="str">
        <f>AND(#REF!,"AAAAAD8+/v8=")</f>
        <v>#REF!</v>
      </c>
    </row>
    <row r="43" ht="15.75" customHeight="1">
      <c r="A43" t="str">
        <f>AND(#REF!,"AAAAAH93ywA=")</f>
        <v>#REF!</v>
      </c>
      <c r="B43" t="str">
        <f>AND(#REF!,"AAAAAH93ywE=")</f>
        <v>#REF!</v>
      </c>
      <c r="C43" t="str">
        <f>AND(#REF!,"AAAAAH93ywI=")</f>
        <v>#REF!</v>
      </c>
      <c r="D43" t="str">
        <f>AND(#REF!,"AAAAAH93ywM=")</f>
        <v>#REF!</v>
      </c>
      <c r="E43" t="str">
        <f>AND(#REF!,"AAAAAH93ywQ=")</f>
        <v>#REF!</v>
      </c>
      <c r="F43" t="str">
        <f>AND(#REF!,"AAAAAH93ywU=")</f>
        <v>#REF!</v>
      </c>
      <c r="G43" t="str">
        <f>AND(#REF!,"AAAAAH93ywY=")</f>
        <v>#REF!</v>
      </c>
      <c r="H43" t="str">
        <f>AND(#REF!,"AAAAAH93ywc=")</f>
        <v>#REF!</v>
      </c>
      <c r="I43" t="str">
        <f>AND(#REF!,"AAAAAH93ywg=")</f>
        <v>#REF!</v>
      </c>
      <c r="J43" t="str">
        <f>AND(#REF!,"AAAAAH93ywk=")</f>
        <v>#REF!</v>
      </c>
      <c r="K43" t="str">
        <f>AND(#REF!,"AAAAAH93ywo=")</f>
        <v>#REF!</v>
      </c>
      <c r="L43" t="str">
        <f>AND(#REF!,"AAAAAH93yws=")</f>
        <v>#REF!</v>
      </c>
      <c r="M43" t="str">
        <f>AND(#REF!,"AAAAAH93yww=")</f>
        <v>#REF!</v>
      </c>
      <c r="N43" t="str">
        <f>AND(#REF!,"AAAAAH93yw0=")</f>
        <v>#REF!</v>
      </c>
      <c r="O43" t="str">
        <f>AND(#REF!,"AAAAAH93yw4=")</f>
        <v>#REF!</v>
      </c>
      <c r="P43" t="str">
        <f>AND(#REF!,"AAAAAH93yw8=")</f>
        <v>#REF!</v>
      </c>
      <c r="Q43" t="str">
        <f>AND(#REF!,"AAAAAH93yxA=")</f>
        <v>#REF!</v>
      </c>
      <c r="R43" t="str">
        <f>AND(#REF!,"AAAAAH93yxE=")</f>
        <v>#REF!</v>
      </c>
      <c r="S43" t="str">
        <f>AND(#REF!,"AAAAAH93yxI=")</f>
        <v>#REF!</v>
      </c>
      <c r="T43" t="str">
        <f>AND(#REF!,"AAAAAH93yxM=")</f>
        <v>#REF!</v>
      </c>
      <c r="U43" t="str">
        <f>AND(#REF!,"AAAAAH93yxQ=")</f>
        <v>#REF!</v>
      </c>
      <c r="V43" t="str">
        <f>AND(#REF!,"AAAAAH93yxU=")</f>
        <v>#REF!</v>
      </c>
      <c r="W43" t="str">
        <f>AND(#REF!,"AAAAAH93yxY=")</f>
        <v>#REF!</v>
      </c>
      <c r="X43" t="str">
        <f>AND(#REF!,"AAAAAH93yxc=")</f>
        <v>#REF!</v>
      </c>
      <c r="Y43" t="str">
        <f>AND(#REF!,"AAAAAH93yxg=")</f>
        <v>#REF!</v>
      </c>
      <c r="Z43" t="str">
        <f>AND(#REF!,"AAAAAH93yxk=")</f>
        <v>#REF!</v>
      </c>
      <c r="AA43" t="str">
        <f>AND(#REF!,"AAAAAH93yxo=")</f>
        <v>#REF!</v>
      </c>
      <c r="AB43" t="str">
        <f>AND(#REF!,"AAAAAH93yxs=")</f>
        <v>#REF!</v>
      </c>
      <c r="AC43" t="str">
        <f>AND(#REF!,"AAAAAH93yxw=")</f>
        <v>#REF!</v>
      </c>
      <c r="AD43" t="str">
        <f>AND(#REF!,"AAAAAH93yx0=")</f>
        <v>#REF!</v>
      </c>
      <c r="AE43" t="str">
        <f>AND(#REF!,"AAAAAH93yx4=")</f>
        <v>#REF!</v>
      </c>
      <c r="AF43" t="str">
        <f>AND(#REF!,"AAAAAH93yx8=")</f>
        <v>#REF!</v>
      </c>
      <c r="AG43" t="str">
        <f>AND(#REF!,"AAAAAH93yyA=")</f>
        <v>#REF!</v>
      </c>
      <c r="AH43" t="str">
        <f>IF(#REF!,"AAAAAH93yyE=",0)</f>
        <v>#REF!</v>
      </c>
      <c r="AI43" t="str">
        <f>AND(#REF!,"AAAAAH93yyI=")</f>
        <v>#REF!</v>
      </c>
      <c r="AJ43" t="str">
        <f>AND(#REF!,"AAAAAH93yyM=")</f>
        <v>#REF!</v>
      </c>
      <c r="AK43" t="str">
        <f>AND(#REF!,"AAAAAH93yyQ=")</f>
        <v>#REF!</v>
      </c>
      <c r="AL43" t="str">
        <f>AND(#REF!,"AAAAAH93yyU=")</f>
        <v>#REF!</v>
      </c>
      <c r="AM43" t="str">
        <f>AND(#REF!,"AAAAAH93yyY=")</f>
        <v>#REF!</v>
      </c>
      <c r="AN43" t="str">
        <f>AND(#REF!,"AAAAAH93yyc=")</f>
        <v>#REF!</v>
      </c>
      <c r="AO43" t="str">
        <f>AND(#REF!,"AAAAAH93yyg=")</f>
        <v>#REF!</v>
      </c>
      <c r="AP43" t="str">
        <f>AND(#REF!,"AAAAAH93yyk=")</f>
        <v>#REF!</v>
      </c>
      <c r="AQ43" t="str">
        <f>AND(#REF!,"AAAAAH93yyo=")</f>
        <v>#REF!</v>
      </c>
      <c r="AR43" t="str">
        <f>AND(#REF!,"AAAAAH93yys=")</f>
        <v>#REF!</v>
      </c>
      <c r="AS43" t="str">
        <f>AND(#REF!,"AAAAAH93yyw=")</f>
        <v>#REF!</v>
      </c>
      <c r="AT43" t="str">
        <f>AND(#REF!,"AAAAAH93yy0=")</f>
        <v>#REF!</v>
      </c>
      <c r="AU43" t="str">
        <f>AND(#REF!,"AAAAAH93yy4=")</f>
        <v>#REF!</v>
      </c>
      <c r="AV43" t="str">
        <f>AND(#REF!,"AAAAAH93yy8=")</f>
        <v>#REF!</v>
      </c>
      <c r="AW43" t="str">
        <f>AND(#REF!,"AAAAAH93yzA=")</f>
        <v>#REF!</v>
      </c>
      <c r="AX43" t="str">
        <f>AND(#REF!,"AAAAAH93yzE=")</f>
        <v>#REF!</v>
      </c>
      <c r="AY43" t="str">
        <f>AND(#REF!,"AAAAAH93yzI=")</f>
        <v>#REF!</v>
      </c>
      <c r="AZ43" t="str">
        <f>AND(#REF!,"AAAAAH93yzM=")</f>
        <v>#REF!</v>
      </c>
      <c r="BA43" t="str">
        <f>AND(#REF!,"AAAAAH93yzQ=")</f>
        <v>#REF!</v>
      </c>
      <c r="BB43" t="str">
        <f>AND(#REF!,"AAAAAH93yzU=")</f>
        <v>#REF!</v>
      </c>
      <c r="BC43" t="str">
        <f>AND(#REF!,"AAAAAH93yzY=")</f>
        <v>#REF!</v>
      </c>
      <c r="BD43" t="str">
        <f>AND(#REF!,"AAAAAH93yzc=")</f>
        <v>#REF!</v>
      </c>
      <c r="BE43" t="str">
        <f>AND(#REF!,"AAAAAH93yzg=")</f>
        <v>#REF!</v>
      </c>
      <c r="BF43" t="str">
        <f>AND(#REF!,"AAAAAH93yzk=")</f>
        <v>#REF!</v>
      </c>
      <c r="BG43" t="str">
        <f>AND(#REF!,"AAAAAH93yzo=")</f>
        <v>#REF!</v>
      </c>
      <c r="BH43" t="str">
        <f>AND(#REF!,"AAAAAH93yzs=")</f>
        <v>#REF!</v>
      </c>
      <c r="BI43" t="str">
        <f>AND(#REF!,"AAAAAH93yzw=")</f>
        <v>#REF!</v>
      </c>
      <c r="BJ43" t="str">
        <f>AND(#REF!,"AAAAAH93yz0=")</f>
        <v>#REF!</v>
      </c>
      <c r="BK43" t="str">
        <f>AND(#REF!,"AAAAAH93yz4=")</f>
        <v>#REF!</v>
      </c>
      <c r="BL43" t="str">
        <f>AND(#REF!,"AAAAAH93yz8=")</f>
        <v>#REF!</v>
      </c>
      <c r="BM43" t="str">
        <f>AND(#REF!,"AAAAAH93y0A=")</f>
        <v>#REF!</v>
      </c>
      <c r="BN43" t="str">
        <f>AND(#REF!,"AAAAAH93y0E=")</f>
        <v>#REF!</v>
      </c>
      <c r="BO43" t="str">
        <f>AND(#REF!,"AAAAAH93y0I=")</f>
        <v>#REF!</v>
      </c>
      <c r="BP43" t="str">
        <f>AND(#REF!,"AAAAAH93y0M=")</f>
        <v>#REF!</v>
      </c>
      <c r="BQ43" t="str">
        <f>AND(#REF!,"AAAAAH93y0Q=")</f>
        <v>#REF!</v>
      </c>
      <c r="BR43" t="str">
        <f>AND(#REF!,"AAAAAH93y0U=")</f>
        <v>#REF!</v>
      </c>
      <c r="BS43" t="str">
        <f>AND(#REF!,"AAAAAH93y0Y=")</f>
        <v>#REF!</v>
      </c>
      <c r="BT43" t="str">
        <f>AND(#REF!,"AAAAAH93y0c=")</f>
        <v>#REF!</v>
      </c>
      <c r="BU43" t="str">
        <f>AND(#REF!,"AAAAAH93y0g=")</f>
        <v>#REF!</v>
      </c>
      <c r="BV43" t="str">
        <f>AND(#REF!,"AAAAAH93y0k=")</f>
        <v>#REF!</v>
      </c>
      <c r="BW43" t="str">
        <f>AND(#REF!,"AAAAAH93y0o=")</f>
        <v>#REF!</v>
      </c>
      <c r="BX43" t="str">
        <f>AND(#REF!,"AAAAAH93y0s=")</f>
        <v>#REF!</v>
      </c>
      <c r="BY43" t="str">
        <f>AND(#REF!,"AAAAAH93y0w=")</f>
        <v>#REF!</v>
      </c>
      <c r="BZ43" t="str">
        <f>AND(#REF!,"AAAAAH93y00=")</f>
        <v>#REF!</v>
      </c>
      <c r="CA43" t="str">
        <f>AND(#REF!,"AAAAAH93y04=")</f>
        <v>#REF!</v>
      </c>
      <c r="CB43" t="str">
        <f>AND(#REF!,"AAAAAH93y08=")</f>
        <v>#REF!</v>
      </c>
      <c r="CC43" t="str">
        <f>AND(#REF!,"AAAAAH93y1A=")</f>
        <v>#REF!</v>
      </c>
      <c r="CD43" t="str">
        <f>AND(#REF!,"AAAAAH93y1E=")</f>
        <v>#REF!</v>
      </c>
      <c r="CE43" t="str">
        <f>AND(#REF!,"AAAAAH93y1I=")</f>
        <v>#REF!</v>
      </c>
      <c r="CF43" t="str">
        <f>AND(#REF!,"AAAAAH93y1M=")</f>
        <v>#REF!</v>
      </c>
      <c r="CG43" t="str">
        <f>AND(#REF!,"AAAAAH93y1Q=")</f>
        <v>#REF!</v>
      </c>
      <c r="CH43" t="str">
        <f>AND(#REF!,"AAAAAH93y1U=")</f>
        <v>#REF!</v>
      </c>
      <c r="CI43" t="str">
        <f>AND(#REF!,"AAAAAH93y1Y=")</f>
        <v>#REF!</v>
      </c>
      <c r="CJ43" t="str">
        <f>AND(#REF!,"AAAAAH93y1c=")</f>
        <v>#REF!</v>
      </c>
      <c r="CK43" t="str">
        <f>AND(#REF!,"AAAAAH93y1g=")</f>
        <v>#REF!</v>
      </c>
      <c r="CL43" t="str">
        <f>AND(#REF!,"AAAAAH93y1k=")</f>
        <v>#REF!</v>
      </c>
      <c r="CM43" t="str">
        <f>AND(#REF!,"AAAAAH93y1o=")</f>
        <v>#REF!</v>
      </c>
      <c r="CN43" t="str">
        <f>AND(#REF!,"AAAAAH93y1s=")</f>
        <v>#REF!</v>
      </c>
      <c r="CO43" t="str">
        <f>AND(#REF!,"AAAAAH93y1w=")</f>
        <v>#REF!</v>
      </c>
      <c r="CP43" t="str">
        <f>AND(#REF!,"AAAAAH93y10=")</f>
        <v>#REF!</v>
      </c>
      <c r="CQ43" t="str">
        <f>AND(#REF!,"AAAAAH93y14=")</f>
        <v>#REF!</v>
      </c>
      <c r="CR43" t="str">
        <f>AND(#REF!,"AAAAAH93y18=")</f>
        <v>#REF!</v>
      </c>
      <c r="CS43" t="str">
        <f>AND(#REF!,"AAAAAH93y2A=")</f>
        <v>#REF!</v>
      </c>
      <c r="CT43" t="str">
        <f>AND(#REF!,"AAAAAH93y2E=")</f>
        <v>#REF!</v>
      </c>
      <c r="CU43" t="str">
        <f>AND(#REF!,"AAAAAH93y2I=")</f>
        <v>#REF!</v>
      </c>
      <c r="CV43" t="str">
        <f>AND(#REF!,"AAAAAH93y2M=")</f>
        <v>#REF!</v>
      </c>
      <c r="CW43" t="str">
        <f>AND(#REF!,"AAAAAH93y2Q=")</f>
        <v>#REF!</v>
      </c>
      <c r="CX43" t="str">
        <f>AND(#REF!,"AAAAAH93y2U=")</f>
        <v>#REF!</v>
      </c>
      <c r="CY43" t="str">
        <f>AND(#REF!,"AAAAAH93y2Y=")</f>
        <v>#REF!</v>
      </c>
      <c r="CZ43" t="str">
        <f>AND(#REF!,"AAAAAH93y2c=")</f>
        <v>#REF!</v>
      </c>
      <c r="DA43" t="str">
        <f>AND(#REF!,"AAAAAH93y2g=")</f>
        <v>#REF!</v>
      </c>
      <c r="DB43" t="str">
        <f>AND(#REF!,"AAAAAH93y2k=")</f>
        <v>#REF!</v>
      </c>
      <c r="DC43" t="str">
        <f>AND(#REF!,"AAAAAH93y2o=")</f>
        <v>#REF!</v>
      </c>
      <c r="DD43" t="str">
        <f>AND(#REF!,"AAAAAH93y2s=")</f>
        <v>#REF!</v>
      </c>
      <c r="DE43" t="str">
        <f>AND(#REF!,"AAAAAH93y2w=")</f>
        <v>#REF!</v>
      </c>
      <c r="DF43" t="str">
        <f>IF(#REF!,"AAAAAH93y20=",0)</f>
        <v>#REF!</v>
      </c>
      <c r="DG43" t="str">
        <f>AND(#REF!,"AAAAAH93y24=")</f>
        <v>#REF!</v>
      </c>
      <c r="DH43" t="str">
        <f>AND(#REF!,"AAAAAH93y28=")</f>
        <v>#REF!</v>
      </c>
      <c r="DI43" t="str">
        <f>AND(#REF!,"AAAAAH93y3A=")</f>
        <v>#REF!</v>
      </c>
      <c r="DJ43" t="str">
        <f>AND(#REF!,"AAAAAH93y3E=")</f>
        <v>#REF!</v>
      </c>
      <c r="DK43" t="str">
        <f>AND(#REF!,"AAAAAH93y3I=")</f>
        <v>#REF!</v>
      </c>
      <c r="DL43" t="str">
        <f>AND(#REF!,"AAAAAH93y3M=")</f>
        <v>#REF!</v>
      </c>
      <c r="DM43" t="str">
        <f>AND(#REF!,"AAAAAH93y3Q=")</f>
        <v>#REF!</v>
      </c>
      <c r="DN43" t="str">
        <f>AND(#REF!,"AAAAAH93y3U=")</f>
        <v>#REF!</v>
      </c>
      <c r="DO43" t="str">
        <f>AND(#REF!,"AAAAAH93y3Y=")</f>
        <v>#REF!</v>
      </c>
      <c r="DP43" t="str">
        <f>AND(#REF!,"AAAAAH93y3c=")</f>
        <v>#REF!</v>
      </c>
      <c r="DQ43" t="str">
        <f>AND(#REF!,"AAAAAH93y3g=")</f>
        <v>#REF!</v>
      </c>
      <c r="DR43" t="str">
        <f>AND(#REF!,"AAAAAH93y3k=")</f>
        <v>#REF!</v>
      </c>
      <c r="DS43" t="str">
        <f>AND(#REF!,"AAAAAH93y3o=")</f>
        <v>#REF!</v>
      </c>
      <c r="DT43" t="str">
        <f>AND(#REF!,"AAAAAH93y3s=")</f>
        <v>#REF!</v>
      </c>
      <c r="DU43" t="str">
        <f>AND(#REF!,"AAAAAH93y3w=")</f>
        <v>#REF!</v>
      </c>
      <c r="DV43" t="str">
        <f>AND(#REF!,"AAAAAH93y30=")</f>
        <v>#REF!</v>
      </c>
      <c r="DW43" t="str">
        <f>AND(#REF!,"AAAAAH93y34=")</f>
        <v>#REF!</v>
      </c>
      <c r="DX43" t="str">
        <f>AND(#REF!,"AAAAAH93y38=")</f>
        <v>#REF!</v>
      </c>
      <c r="DY43" t="str">
        <f>AND(#REF!,"AAAAAH93y4A=")</f>
        <v>#REF!</v>
      </c>
      <c r="DZ43" t="str">
        <f>AND(#REF!,"AAAAAH93y4E=")</f>
        <v>#REF!</v>
      </c>
      <c r="EA43" t="str">
        <f>AND(#REF!,"AAAAAH93y4I=")</f>
        <v>#REF!</v>
      </c>
      <c r="EB43" t="str">
        <f>AND(#REF!,"AAAAAH93y4M=")</f>
        <v>#REF!</v>
      </c>
      <c r="EC43" t="str">
        <f>AND(#REF!,"AAAAAH93y4Q=")</f>
        <v>#REF!</v>
      </c>
      <c r="ED43" t="str">
        <f>AND(#REF!,"AAAAAH93y4U=")</f>
        <v>#REF!</v>
      </c>
      <c r="EE43" t="str">
        <f>AND(#REF!,"AAAAAH93y4Y=")</f>
        <v>#REF!</v>
      </c>
      <c r="EF43" t="str">
        <f>AND(#REF!,"AAAAAH93y4c=")</f>
        <v>#REF!</v>
      </c>
      <c r="EG43" t="str">
        <f>AND(#REF!,"AAAAAH93y4g=")</f>
        <v>#REF!</v>
      </c>
      <c r="EH43" t="str">
        <f>AND(#REF!,"AAAAAH93y4k=")</f>
        <v>#REF!</v>
      </c>
      <c r="EI43" t="str">
        <f>AND(#REF!,"AAAAAH93y4o=")</f>
        <v>#REF!</v>
      </c>
      <c r="EJ43" t="str">
        <f>AND(#REF!,"AAAAAH93y4s=")</f>
        <v>#REF!</v>
      </c>
      <c r="EK43" t="str">
        <f>AND(#REF!,"AAAAAH93y4w=")</f>
        <v>#REF!</v>
      </c>
      <c r="EL43" t="str">
        <f>AND(#REF!,"AAAAAH93y40=")</f>
        <v>#REF!</v>
      </c>
      <c r="EM43" t="str">
        <f>AND(#REF!,"AAAAAH93y44=")</f>
        <v>#REF!</v>
      </c>
      <c r="EN43" t="str">
        <f>AND(#REF!,"AAAAAH93y48=")</f>
        <v>#REF!</v>
      </c>
      <c r="EO43" t="str">
        <f>AND(#REF!,"AAAAAH93y5A=")</f>
        <v>#REF!</v>
      </c>
      <c r="EP43" t="str">
        <f>AND(#REF!,"AAAAAH93y5E=")</f>
        <v>#REF!</v>
      </c>
      <c r="EQ43" t="str">
        <f>AND(#REF!,"AAAAAH93y5I=")</f>
        <v>#REF!</v>
      </c>
      <c r="ER43" t="str">
        <f>AND(#REF!,"AAAAAH93y5M=")</f>
        <v>#REF!</v>
      </c>
      <c r="ES43" t="str">
        <f>AND(#REF!,"AAAAAH93y5Q=")</f>
        <v>#REF!</v>
      </c>
      <c r="ET43" t="str">
        <f>AND(#REF!,"AAAAAH93y5U=")</f>
        <v>#REF!</v>
      </c>
      <c r="EU43" t="str">
        <f>AND(#REF!,"AAAAAH93y5Y=")</f>
        <v>#REF!</v>
      </c>
      <c r="EV43" t="str">
        <f>AND(#REF!,"AAAAAH93y5c=")</f>
        <v>#REF!</v>
      </c>
      <c r="EW43" t="str">
        <f>AND(#REF!,"AAAAAH93y5g=")</f>
        <v>#REF!</v>
      </c>
      <c r="EX43" t="str">
        <f>AND(#REF!,"AAAAAH93y5k=")</f>
        <v>#REF!</v>
      </c>
      <c r="EY43" t="str">
        <f>AND(#REF!,"AAAAAH93y5o=")</f>
        <v>#REF!</v>
      </c>
      <c r="EZ43" t="str">
        <f>AND(#REF!,"AAAAAH93y5s=")</f>
        <v>#REF!</v>
      </c>
      <c r="FA43" t="str">
        <f>AND(#REF!,"AAAAAH93y5w=")</f>
        <v>#REF!</v>
      </c>
      <c r="FB43" t="str">
        <f>AND(#REF!,"AAAAAH93y50=")</f>
        <v>#REF!</v>
      </c>
      <c r="FC43" t="str">
        <f>AND(#REF!,"AAAAAH93y54=")</f>
        <v>#REF!</v>
      </c>
      <c r="FD43" t="str">
        <f>AND(#REF!,"AAAAAH93y58=")</f>
        <v>#REF!</v>
      </c>
      <c r="FE43" t="str">
        <f>AND(#REF!,"AAAAAH93y6A=")</f>
        <v>#REF!</v>
      </c>
      <c r="FF43" t="str">
        <f>AND(#REF!,"AAAAAH93y6E=")</f>
        <v>#REF!</v>
      </c>
      <c r="FG43" t="str">
        <f>AND(#REF!,"AAAAAH93y6I=")</f>
        <v>#REF!</v>
      </c>
      <c r="FH43" t="str">
        <f>AND(#REF!,"AAAAAH93y6M=")</f>
        <v>#REF!</v>
      </c>
      <c r="FI43" t="str">
        <f>AND(#REF!,"AAAAAH93y6Q=")</f>
        <v>#REF!</v>
      </c>
      <c r="FJ43" t="str">
        <f>AND(#REF!,"AAAAAH93y6U=")</f>
        <v>#REF!</v>
      </c>
      <c r="FK43" t="str">
        <f>AND(#REF!,"AAAAAH93y6Y=")</f>
        <v>#REF!</v>
      </c>
      <c r="FL43" t="str">
        <f>AND(#REF!,"AAAAAH93y6c=")</f>
        <v>#REF!</v>
      </c>
      <c r="FM43" t="str">
        <f>AND(#REF!,"AAAAAH93y6g=")</f>
        <v>#REF!</v>
      </c>
      <c r="FN43" t="str">
        <f>AND(#REF!,"AAAAAH93y6k=")</f>
        <v>#REF!</v>
      </c>
      <c r="FO43" t="str">
        <f>AND(#REF!,"AAAAAH93y6o=")</f>
        <v>#REF!</v>
      </c>
      <c r="FP43" t="str">
        <f>AND(#REF!,"AAAAAH93y6s=")</f>
        <v>#REF!</v>
      </c>
      <c r="FQ43" t="str">
        <f>AND(#REF!,"AAAAAH93y6w=")</f>
        <v>#REF!</v>
      </c>
      <c r="FR43" t="str">
        <f>AND(#REF!,"AAAAAH93y60=")</f>
        <v>#REF!</v>
      </c>
      <c r="FS43" t="str">
        <f>AND(#REF!,"AAAAAH93y64=")</f>
        <v>#REF!</v>
      </c>
      <c r="FT43" t="str">
        <f>AND(#REF!,"AAAAAH93y68=")</f>
        <v>#REF!</v>
      </c>
      <c r="FU43" t="str">
        <f>AND(#REF!,"AAAAAH93y7A=")</f>
        <v>#REF!</v>
      </c>
      <c r="FV43" t="str">
        <f>AND(#REF!,"AAAAAH93y7E=")</f>
        <v>#REF!</v>
      </c>
      <c r="FW43" t="str">
        <f>AND(#REF!,"AAAAAH93y7I=")</f>
        <v>#REF!</v>
      </c>
      <c r="FX43" t="str">
        <f>AND(#REF!,"AAAAAH93y7M=")</f>
        <v>#REF!</v>
      </c>
      <c r="FY43" t="str">
        <f>AND(#REF!,"AAAAAH93y7Q=")</f>
        <v>#REF!</v>
      </c>
      <c r="FZ43" t="str">
        <f>AND(#REF!,"AAAAAH93y7U=")</f>
        <v>#REF!</v>
      </c>
      <c r="GA43" t="str">
        <f>AND(#REF!,"AAAAAH93y7Y=")</f>
        <v>#REF!</v>
      </c>
      <c r="GB43" t="str">
        <f>AND(#REF!,"AAAAAH93y7c=")</f>
        <v>#REF!</v>
      </c>
      <c r="GC43" t="str">
        <f>AND(#REF!,"AAAAAH93y7g=")</f>
        <v>#REF!</v>
      </c>
      <c r="GD43" t="str">
        <f>IF(#REF!,"AAAAAH93y7k=",0)</f>
        <v>#REF!</v>
      </c>
      <c r="GE43" t="str">
        <f>AND(#REF!,"AAAAAH93y7o=")</f>
        <v>#REF!</v>
      </c>
      <c r="GF43" t="str">
        <f>AND(#REF!,"AAAAAH93y7s=")</f>
        <v>#REF!</v>
      </c>
      <c r="GG43" t="str">
        <f>AND(#REF!,"AAAAAH93y7w=")</f>
        <v>#REF!</v>
      </c>
      <c r="GH43" t="str">
        <f>AND(#REF!,"AAAAAH93y70=")</f>
        <v>#REF!</v>
      </c>
      <c r="GI43" t="str">
        <f>AND(#REF!,"AAAAAH93y74=")</f>
        <v>#REF!</v>
      </c>
      <c r="GJ43" t="str">
        <f>AND(#REF!,"AAAAAH93y78=")</f>
        <v>#REF!</v>
      </c>
      <c r="GK43" t="str">
        <f>AND(#REF!,"AAAAAH93y8A=")</f>
        <v>#REF!</v>
      </c>
      <c r="GL43" t="str">
        <f>AND(#REF!,"AAAAAH93y8E=")</f>
        <v>#REF!</v>
      </c>
      <c r="GM43" t="str">
        <f>AND(#REF!,"AAAAAH93y8I=")</f>
        <v>#REF!</v>
      </c>
      <c r="GN43" t="str">
        <f>AND(#REF!,"AAAAAH93y8M=")</f>
        <v>#REF!</v>
      </c>
      <c r="GO43" t="str">
        <f>AND(#REF!,"AAAAAH93y8Q=")</f>
        <v>#REF!</v>
      </c>
      <c r="GP43" t="str">
        <f>AND(#REF!,"AAAAAH93y8U=")</f>
        <v>#REF!</v>
      </c>
      <c r="GQ43" t="str">
        <f>AND(#REF!,"AAAAAH93y8Y=")</f>
        <v>#REF!</v>
      </c>
      <c r="GR43" t="str">
        <f>AND(#REF!,"AAAAAH93y8c=")</f>
        <v>#REF!</v>
      </c>
      <c r="GS43" t="str">
        <f>AND(#REF!,"AAAAAH93y8g=")</f>
        <v>#REF!</v>
      </c>
      <c r="GT43" t="str">
        <f>AND(#REF!,"AAAAAH93y8k=")</f>
        <v>#REF!</v>
      </c>
      <c r="GU43" t="str">
        <f>AND(#REF!,"AAAAAH93y8o=")</f>
        <v>#REF!</v>
      </c>
      <c r="GV43" t="str">
        <f>AND(#REF!,"AAAAAH93y8s=")</f>
        <v>#REF!</v>
      </c>
      <c r="GW43" t="str">
        <f>AND(#REF!,"AAAAAH93y8w=")</f>
        <v>#REF!</v>
      </c>
      <c r="GX43" t="str">
        <f>AND(#REF!,"AAAAAH93y80=")</f>
        <v>#REF!</v>
      </c>
      <c r="GY43" t="str">
        <f>AND(#REF!,"AAAAAH93y84=")</f>
        <v>#REF!</v>
      </c>
      <c r="GZ43" t="str">
        <f>AND(#REF!,"AAAAAH93y88=")</f>
        <v>#REF!</v>
      </c>
      <c r="HA43" t="str">
        <f>AND(#REF!,"AAAAAH93y9A=")</f>
        <v>#REF!</v>
      </c>
      <c r="HB43" t="str">
        <f>AND(#REF!,"AAAAAH93y9E=")</f>
        <v>#REF!</v>
      </c>
      <c r="HC43" t="str">
        <f>AND(#REF!,"AAAAAH93y9I=")</f>
        <v>#REF!</v>
      </c>
      <c r="HD43" t="str">
        <f>AND(#REF!,"AAAAAH93y9M=")</f>
        <v>#REF!</v>
      </c>
      <c r="HE43" t="str">
        <f>AND(#REF!,"AAAAAH93y9Q=")</f>
        <v>#REF!</v>
      </c>
      <c r="HF43" t="str">
        <f>AND(#REF!,"AAAAAH93y9U=")</f>
        <v>#REF!</v>
      </c>
      <c r="HG43" t="str">
        <f>AND(#REF!,"AAAAAH93y9Y=")</f>
        <v>#REF!</v>
      </c>
      <c r="HH43" t="str">
        <f>AND(#REF!,"AAAAAH93y9c=")</f>
        <v>#REF!</v>
      </c>
      <c r="HI43" t="str">
        <f>AND(#REF!,"AAAAAH93y9g=")</f>
        <v>#REF!</v>
      </c>
      <c r="HJ43" t="str">
        <f>AND(#REF!,"AAAAAH93y9k=")</f>
        <v>#REF!</v>
      </c>
      <c r="HK43" t="str">
        <f>AND(#REF!,"AAAAAH93y9o=")</f>
        <v>#REF!</v>
      </c>
      <c r="HL43" t="str">
        <f>AND(#REF!,"AAAAAH93y9s=")</f>
        <v>#REF!</v>
      </c>
      <c r="HM43" t="str">
        <f>AND(#REF!,"AAAAAH93y9w=")</f>
        <v>#REF!</v>
      </c>
      <c r="HN43" t="str">
        <f>AND(#REF!,"AAAAAH93y90=")</f>
        <v>#REF!</v>
      </c>
      <c r="HO43" t="str">
        <f>AND(#REF!,"AAAAAH93y94=")</f>
        <v>#REF!</v>
      </c>
      <c r="HP43" t="str">
        <f>AND(#REF!,"AAAAAH93y98=")</f>
        <v>#REF!</v>
      </c>
      <c r="HQ43" t="str">
        <f>AND(#REF!,"AAAAAH93y+A=")</f>
        <v>#REF!</v>
      </c>
      <c r="HR43" t="str">
        <f>AND(#REF!,"AAAAAH93y+E=")</f>
        <v>#REF!</v>
      </c>
      <c r="HS43" t="str">
        <f>AND(#REF!,"AAAAAH93y+I=")</f>
        <v>#REF!</v>
      </c>
      <c r="HT43" t="str">
        <f>AND(#REF!,"AAAAAH93y+M=")</f>
        <v>#REF!</v>
      </c>
      <c r="HU43" t="str">
        <f>AND(#REF!,"AAAAAH93y+Q=")</f>
        <v>#REF!</v>
      </c>
      <c r="HV43" t="str">
        <f>AND(#REF!,"AAAAAH93y+U=")</f>
        <v>#REF!</v>
      </c>
      <c r="HW43" t="str">
        <f>AND(#REF!,"AAAAAH93y+Y=")</f>
        <v>#REF!</v>
      </c>
      <c r="HX43" t="str">
        <f>AND(#REF!,"AAAAAH93y+c=")</f>
        <v>#REF!</v>
      </c>
      <c r="HY43" t="str">
        <f>AND(#REF!,"AAAAAH93y+g=")</f>
        <v>#REF!</v>
      </c>
      <c r="HZ43" t="str">
        <f>AND(#REF!,"AAAAAH93y+k=")</f>
        <v>#REF!</v>
      </c>
      <c r="IA43" t="str">
        <f>AND(#REF!,"AAAAAH93y+o=")</f>
        <v>#REF!</v>
      </c>
      <c r="IB43" t="str">
        <f>AND(#REF!,"AAAAAH93y+s=")</f>
        <v>#REF!</v>
      </c>
      <c r="IC43" t="str">
        <f>AND(#REF!,"AAAAAH93y+w=")</f>
        <v>#REF!</v>
      </c>
      <c r="ID43" t="str">
        <f>AND(#REF!,"AAAAAH93y+0=")</f>
        <v>#REF!</v>
      </c>
      <c r="IE43" t="str">
        <f>AND(#REF!,"AAAAAH93y+4=")</f>
        <v>#REF!</v>
      </c>
      <c r="IF43" t="str">
        <f>AND(#REF!,"AAAAAH93y+8=")</f>
        <v>#REF!</v>
      </c>
      <c r="IG43" t="str">
        <f>AND(#REF!,"AAAAAH93y/A=")</f>
        <v>#REF!</v>
      </c>
      <c r="IH43" t="str">
        <f>AND(#REF!,"AAAAAH93y/E=")</f>
        <v>#REF!</v>
      </c>
      <c r="II43" t="str">
        <f>AND(#REF!,"AAAAAH93y/I=")</f>
        <v>#REF!</v>
      </c>
      <c r="IJ43" t="str">
        <f>AND(#REF!,"AAAAAH93y/M=")</f>
        <v>#REF!</v>
      </c>
      <c r="IK43" t="str">
        <f>AND(#REF!,"AAAAAH93y/Q=")</f>
        <v>#REF!</v>
      </c>
      <c r="IL43" t="str">
        <f>AND(#REF!,"AAAAAH93y/U=")</f>
        <v>#REF!</v>
      </c>
      <c r="IM43" t="str">
        <f>AND(#REF!,"AAAAAH93y/Y=")</f>
        <v>#REF!</v>
      </c>
      <c r="IN43" t="str">
        <f>AND(#REF!,"AAAAAH93y/c=")</f>
        <v>#REF!</v>
      </c>
      <c r="IO43" t="str">
        <f>AND(#REF!,"AAAAAH93y/g=")</f>
        <v>#REF!</v>
      </c>
      <c r="IP43" t="str">
        <f>AND(#REF!,"AAAAAH93y/k=")</f>
        <v>#REF!</v>
      </c>
      <c r="IQ43" t="str">
        <f>AND(#REF!,"AAAAAH93y/o=")</f>
        <v>#REF!</v>
      </c>
      <c r="IR43" t="str">
        <f>AND(#REF!,"AAAAAH93y/s=")</f>
        <v>#REF!</v>
      </c>
      <c r="IS43" t="str">
        <f>AND(#REF!,"AAAAAH93y/w=")</f>
        <v>#REF!</v>
      </c>
      <c r="IT43" t="str">
        <f>AND(#REF!,"AAAAAH93y/0=")</f>
        <v>#REF!</v>
      </c>
      <c r="IU43" t="str">
        <f>AND(#REF!,"AAAAAH93y/4=")</f>
        <v>#REF!</v>
      </c>
      <c r="IV43" t="str">
        <f>AND(#REF!,"AAAAAH93y/8=")</f>
        <v>#REF!</v>
      </c>
    </row>
    <row r="44" ht="15.75" customHeight="1">
      <c r="A44" t="str">
        <f>AND(#REF!,"AAAAAH/2dQA=")</f>
        <v>#REF!</v>
      </c>
      <c r="B44" t="str">
        <f>AND(#REF!,"AAAAAH/2dQE=")</f>
        <v>#REF!</v>
      </c>
      <c r="C44" t="str">
        <f>AND(#REF!,"AAAAAH/2dQI=")</f>
        <v>#REF!</v>
      </c>
      <c r="D44" t="str">
        <f>AND(#REF!,"AAAAAH/2dQM=")</f>
        <v>#REF!</v>
      </c>
      <c r="E44" t="str">
        <f>AND(#REF!,"AAAAAH/2dQQ=")</f>
        <v>#REF!</v>
      </c>
      <c r="F44" t="str">
        <f>IF(#REF!,"AAAAAH/2dQU=",0)</f>
        <v>#REF!</v>
      </c>
      <c r="G44" t="str">
        <f>AND(#REF!,"AAAAAH/2dQY=")</f>
        <v>#REF!</v>
      </c>
      <c r="H44" t="str">
        <f>AND(#REF!,"AAAAAH/2dQc=")</f>
        <v>#REF!</v>
      </c>
      <c r="I44" t="str">
        <f>AND(#REF!,"AAAAAH/2dQg=")</f>
        <v>#REF!</v>
      </c>
      <c r="J44" t="str">
        <f>AND(#REF!,"AAAAAH/2dQk=")</f>
        <v>#REF!</v>
      </c>
      <c r="K44" t="str">
        <f>AND(#REF!,"AAAAAH/2dQo=")</f>
        <v>#REF!</v>
      </c>
      <c r="L44" t="str">
        <f>AND(#REF!,"AAAAAH/2dQs=")</f>
        <v>#REF!</v>
      </c>
      <c r="M44" t="str">
        <f>AND(#REF!,"AAAAAH/2dQw=")</f>
        <v>#REF!</v>
      </c>
      <c r="N44" t="str">
        <f>AND(#REF!,"AAAAAH/2dQ0=")</f>
        <v>#REF!</v>
      </c>
      <c r="O44" t="str">
        <f>AND(#REF!,"AAAAAH/2dQ4=")</f>
        <v>#REF!</v>
      </c>
      <c r="P44" t="str">
        <f>AND(#REF!,"AAAAAH/2dQ8=")</f>
        <v>#REF!</v>
      </c>
      <c r="Q44" t="str">
        <f>AND(#REF!,"AAAAAH/2dRA=")</f>
        <v>#REF!</v>
      </c>
      <c r="R44" t="str">
        <f>AND(#REF!,"AAAAAH/2dRE=")</f>
        <v>#REF!</v>
      </c>
      <c r="S44" t="str">
        <f>AND(#REF!,"AAAAAH/2dRI=")</f>
        <v>#REF!</v>
      </c>
      <c r="T44" t="str">
        <f>AND(#REF!,"AAAAAH/2dRM=")</f>
        <v>#REF!</v>
      </c>
      <c r="U44" t="str">
        <f>AND(#REF!,"AAAAAH/2dRQ=")</f>
        <v>#REF!</v>
      </c>
      <c r="V44" t="str">
        <f>AND(#REF!,"AAAAAH/2dRU=")</f>
        <v>#REF!</v>
      </c>
      <c r="W44" t="str">
        <f>AND(#REF!,"AAAAAH/2dRY=")</f>
        <v>#REF!</v>
      </c>
      <c r="X44" t="str">
        <f>AND(#REF!,"AAAAAH/2dRc=")</f>
        <v>#REF!</v>
      </c>
      <c r="Y44" t="str">
        <f>AND(#REF!,"AAAAAH/2dRg=")</f>
        <v>#REF!</v>
      </c>
      <c r="Z44" t="str">
        <f>AND(#REF!,"AAAAAH/2dRk=")</f>
        <v>#REF!</v>
      </c>
      <c r="AA44" t="str">
        <f>AND(#REF!,"AAAAAH/2dRo=")</f>
        <v>#REF!</v>
      </c>
      <c r="AB44" t="str">
        <f>AND(#REF!,"AAAAAH/2dRs=")</f>
        <v>#REF!</v>
      </c>
      <c r="AC44" t="str">
        <f>AND(#REF!,"AAAAAH/2dRw=")</f>
        <v>#REF!</v>
      </c>
      <c r="AD44" t="str">
        <f>AND(#REF!,"AAAAAH/2dR0=")</f>
        <v>#REF!</v>
      </c>
      <c r="AE44" t="str">
        <f>AND(#REF!,"AAAAAH/2dR4=")</f>
        <v>#REF!</v>
      </c>
      <c r="AF44" t="str">
        <f>AND(#REF!,"AAAAAH/2dR8=")</f>
        <v>#REF!</v>
      </c>
      <c r="AG44" t="str">
        <f>AND(#REF!,"AAAAAH/2dSA=")</f>
        <v>#REF!</v>
      </c>
      <c r="AH44" t="str">
        <f>AND(#REF!,"AAAAAH/2dSE=")</f>
        <v>#REF!</v>
      </c>
      <c r="AI44" t="str">
        <f>AND(#REF!,"AAAAAH/2dSI=")</f>
        <v>#REF!</v>
      </c>
      <c r="AJ44" t="str">
        <f>AND(#REF!,"AAAAAH/2dSM=")</f>
        <v>#REF!</v>
      </c>
      <c r="AK44" t="str">
        <f>AND(#REF!,"AAAAAH/2dSQ=")</f>
        <v>#REF!</v>
      </c>
      <c r="AL44" t="str">
        <f>AND(#REF!,"AAAAAH/2dSU=")</f>
        <v>#REF!</v>
      </c>
      <c r="AM44" t="str">
        <f>AND(#REF!,"AAAAAH/2dSY=")</f>
        <v>#REF!</v>
      </c>
      <c r="AN44" t="str">
        <f>AND(#REF!,"AAAAAH/2dSc=")</f>
        <v>#REF!</v>
      </c>
      <c r="AO44" t="str">
        <f>AND(#REF!,"AAAAAH/2dSg=")</f>
        <v>#REF!</v>
      </c>
      <c r="AP44" t="str">
        <f>AND(#REF!,"AAAAAH/2dSk=")</f>
        <v>#REF!</v>
      </c>
      <c r="AQ44" t="str">
        <f>AND(#REF!,"AAAAAH/2dSo=")</f>
        <v>#REF!</v>
      </c>
      <c r="AR44" t="str">
        <f>AND(#REF!,"AAAAAH/2dSs=")</f>
        <v>#REF!</v>
      </c>
      <c r="AS44" t="str">
        <f>AND(#REF!,"AAAAAH/2dSw=")</f>
        <v>#REF!</v>
      </c>
      <c r="AT44" t="str">
        <f>AND(#REF!,"AAAAAH/2dS0=")</f>
        <v>#REF!</v>
      </c>
      <c r="AU44" t="str">
        <f>AND(#REF!,"AAAAAH/2dS4=")</f>
        <v>#REF!</v>
      </c>
      <c r="AV44" t="str">
        <f>AND(#REF!,"AAAAAH/2dS8=")</f>
        <v>#REF!</v>
      </c>
      <c r="AW44" t="str">
        <f>AND(#REF!,"AAAAAH/2dTA=")</f>
        <v>#REF!</v>
      </c>
      <c r="AX44" t="str">
        <f>AND(#REF!,"AAAAAH/2dTE=")</f>
        <v>#REF!</v>
      </c>
      <c r="AY44" t="str">
        <f>AND(#REF!,"AAAAAH/2dTI=")</f>
        <v>#REF!</v>
      </c>
      <c r="AZ44" t="str">
        <f>AND(#REF!,"AAAAAH/2dTM=")</f>
        <v>#REF!</v>
      </c>
      <c r="BA44" t="str">
        <f>AND(#REF!,"AAAAAH/2dTQ=")</f>
        <v>#REF!</v>
      </c>
      <c r="BB44" t="str">
        <f>AND(#REF!,"AAAAAH/2dTU=")</f>
        <v>#REF!</v>
      </c>
      <c r="BC44" t="str">
        <f>AND(#REF!,"AAAAAH/2dTY=")</f>
        <v>#REF!</v>
      </c>
      <c r="BD44" t="str">
        <f>AND(#REF!,"AAAAAH/2dTc=")</f>
        <v>#REF!</v>
      </c>
      <c r="BE44" t="str">
        <f>AND(#REF!,"AAAAAH/2dTg=")</f>
        <v>#REF!</v>
      </c>
      <c r="BF44" t="str">
        <f>AND(#REF!,"AAAAAH/2dTk=")</f>
        <v>#REF!</v>
      </c>
      <c r="BG44" t="str">
        <f>AND(#REF!,"AAAAAH/2dTo=")</f>
        <v>#REF!</v>
      </c>
      <c r="BH44" t="str">
        <f>AND(#REF!,"AAAAAH/2dTs=")</f>
        <v>#REF!</v>
      </c>
      <c r="BI44" t="str">
        <f>AND(#REF!,"AAAAAH/2dTw=")</f>
        <v>#REF!</v>
      </c>
      <c r="BJ44" t="str">
        <f>AND(#REF!,"AAAAAH/2dT0=")</f>
        <v>#REF!</v>
      </c>
      <c r="BK44" t="str">
        <f>AND(#REF!,"AAAAAH/2dT4=")</f>
        <v>#REF!</v>
      </c>
      <c r="BL44" t="str">
        <f>AND(#REF!,"AAAAAH/2dT8=")</f>
        <v>#REF!</v>
      </c>
      <c r="BM44" t="str">
        <f>AND(#REF!,"AAAAAH/2dUA=")</f>
        <v>#REF!</v>
      </c>
      <c r="BN44" t="str">
        <f>AND(#REF!,"AAAAAH/2dUE=")</f>
        <v>#REF!</v>
      </c>
      <c r="BO44" t="str">
        <f>AND(#REF!,"AAAAAH/2dUI=")</f>
        <v>#REF!</v>
      </c>
      <c r="BP44" t="str">
        <f>AND(#REF!,"AAAAAH/2dUM=")</f>
        <v>#REF!</v>
      </c>
      <c r="BQ44" t="str">
        <f>AND(#REF!,"AAAAAH/2dUQ=")</f>
        <v>#REF!</v>
      </c>
      <c r="BR44" t="str">
        <f>AND(#REF!,"AAAAAH/2dUU=")</f>
        <v>#REF!</v>
      </c>
      <c r="BS44" t="str">
        <f>AND(#REF!,"AAAAAH/2dUY=")</f>
        <v>#REF!</v>
      </c>
      <c r="BT44" t="str">
        <f>AND(#REF!,"AAAAAH/2dUc=")</f>
        <v>#REF!</v>
      </c>
      <c r="BU44" t="str">
        <f>AND(#REF!,"AAAAAH/2dUg=")</f>
        <v>#REF!</v>
      </c>
      <c r="BV44" t="str">
        <f>AND(#REF!,"AAAAAH/2dUk=")</f>
        <v>#REF!</v>
      </c>
      <c r="BW44" t="str">
        <f>AND(#REF!,"AAAAAH/2dUo=")</f>
        <v>#REF!</v>
      </c>
      <c r="BX44" t="str">
        <f>AND(#REF!,"AAAAAH/2dUs=")</f>
        <v>#REF!</v>
      </c>
      <c r="BY44" t="str">
        <f>AND(#REF!,"AAAAAH/2dUw=")</f>
        <v>#REF!</v>
      </c>
      <c r="BZ44" t="str">
        <f>AND(#REF!,"AAAAAH/2dU0=")</f>
        <v>#REF!</v>
      </c>
      <c r="CA44" t="str">
        <f>AND(#REF!,"AAAAAH/2dU4=")</f>
        <v>#REF!</v>
      </c>
      <c r="CB44" t="str">
        <f>AND(#REF!,"AAAAAH/2dU8=")</f>
        <v>#REF!</v>
      </c>
      <c r="CC44" t="str">
        <f>AND(#REF!,"AAAAAH/2dVA=")</f>
        <v>#REF!</v>
      </c>
      <c r="CD44" t="str">
        <f>IF(#REF!,"AAAAAH/2dVE=",0)</f>
        <v>#REF!</v>
      </c>
      <c r="CE44" t="str">
        <f>AND(#REF!,"AAAAAH/2dVI=")</f>
        <v>#REF!</v>
      </c>
      <c r="CF44" t="str">
        <f>AND(#REF!,"AAAAAH/2dVM=")</f>
        <v>#REF!</v>
      </c>
      <c r="CG44" t="str">
        <f>AND(#REF!,"AAAAAH/2dVQ=")</f>
        <v>#REF!</v>
      </c>
      <c r="CH44" t="str">
        <f>AND(#REF!,"AAAAAH/2dVU=")</f>
        <v>#REF!</v>
      </c>
      <c r="CI44" t="str">
        <f>AND(#REF!,"AAAAAH/2dVY=")</f>
        <v>#REF!</v>
      </c>
      <c r="CJ44" t="str">
        <f>AND(#REF!,"AAAAAH/2dVc=")</f>
        <v>#REF!</v>
      </c>
      <c r="CK44" t="str">
        <f>AND(#REF!,"AAAAAH/2dVg=")</f>
        <v>#REF!</v>
      </c>
      <c r="CL44" t="str">
        <f>AND(#REF!,"AAAAAH/2dVk=")</f>
        <v>#REF!</v>
      </c>
      <c r="CM44" t="str">
        <f>AND(#REF!,"AAAAAH/2dVo=")</f>
        <v>#REF!</v>
      </c>
      <c r="CN44" t="str">
        <f>AND(#REF!,"AAAAAH/2dVs=")</f>
        <v>#REF!</v>
      </c>
      <c r="CO44" t="str">
        <f>AND(#REF!,"AAAAAH/2dVw=")</f>
        <v>#REF!</v>
      </c>
      <c r="CP44" t="str">
        <f>AND(#REF!,"AAAAAH/2dV0=")</f>
        <v>#REF!</v>
      </c>
      <c r="CQ44" t="str">
        <f>AND(#REF!,"AAAAAH/2dV4=")</f>
        <v>#REF!</v>
      </c>
      <c r="CR44" t="str">
        <f>AND(#REF!,"AAAAAH/2dV8=")</f>
        <v>#REF!</v>
      </c>
      <c r="CS44" t="str">
        <f>AND(#REF!,"AAAAAH/2dWA=")</f>
        <v>#REF!</v>
      </c>
      <c r="CT44" t="str">
        <f>AND(#REF!,"AAAAAH/2dWE=")</f>
        <v>#REF!</v>
      </c>
      <c r="CU44" t="str">
        <f>AND(#REF!,"AAAAAH/2dWI=")</f>
        <v>#REF!</v>
      </c>
      <c r="CV44" t="str">
        <f>AND(#REF!,"AAAAAH/2dWM=")</f>
        <v>#REF!</v>
      </c>
      <c r="CW44" t="str">
        <f>AND(#REF!,"AAAAAH/2dWQ=")</f>
        <v>#REF!</v>
      </c>
      <c r="CX44" t="str">
        <f>AND(#REF!,"AAAAAH/2dWU=")</f>
        <v>#REF!</v>
      </c>
      <c r="CY44" t="str">
        <f>AND(#REF!,"AAAAAH/2dWY=")</f>
        <v>#REF!</v>
      </c>
      <c r="CZ44" t="str">
        <f>AND(#REF!,"AAAAAH/2dWc=")</f>
        <v>#REF!</v>
      </c>
      <c r="DA44" t="str">
        <f>AND(#REF!,"AAAAAH/2dWg=")</f>
        <v>#REF!</v>
      </c>
      <c r="DB44" t="str">
        <f>AND(#REF!,"AAAAAH/2dWk=")</f>
        <v>#REF!</v>
      </c>
      <c r="DC44" t="str">
        <f>AND(#REF!,"AAAAAH/2dWo=")</f>
        <v>#REF!</v>
      </c>
      <c r="DD44" t="str">
        <f>AND(#REF!,"AAAAAH/2dWs=")</f>
        <v>#REF!</v>
      </c>
      <c r="DE44" t="str">
        <f>AND(#REF!,"AAAAAH/2dWw=")</f>
        <v>#REF!</v>
      </c>
      <c r="DF44" t="str">
        <f>AND(#REF!,"AAAAAH/2dW0=")</f>
        <v>#REF!</v>
      </c>
      <c r="DG44" t="str">
        <f>AND(#REF!,"AAAAAH/2dW4=")</f>
        <v>#REF!</v>
      </c>
      <c r="DH44" t="str">
        <f>AND(#REF!,"AAAAAH/2dW8=")</f>
        <v>#REF!</v>
      </c>
      <c r="DI44" t="str">
        <f>AND(#REF!,"AAAAAH/2dXA=")</f>
        <v>#REF!</v>
      </c>
      <c r="DJ44" t="str">
        <f>AND(#REF!,"AAAAAH/2dXE=")</f>
        <v>#REF!</v>
      </c>
      <c r="DK44" t="str">
        <f>AND(#REF!,"AAAAAH/2dXI=")</f>
        <v>#REF!</v>
      </c>
      <c r="DL44" t="str">
        <f>AND(#REF!,"AAAAAH/2dXM=")</f>
        <v>#REF!</v>
      </c>
      <c r="DM44" t="str">
        <f>AND(#REF!,"AAAAAH/2dXQ=")</f>
        <v>#REF!</v>
      </c>
      <c r="DN44" t="str">
        <f>AND(#REF!,"AAAAAH/2dXU=")</f>
        <v>#REF!</v>
      </c>
      <c r="DO44" t="str">
        <f>AND(#REF!,"AAAAAH/2dXY=")</f>
        <v>#REF!</v>
      </c>
      <c r="DP44" t="str">
        <f>AND(#REF!,"AAAAAH/2dXc=")</f>
        <v>#REF!</v>
      </c>
      <c r="DQ44" t="str">
        <f>AND(#REF!,"AAAAAH/2dXg=")</f>
        <v>#REF!</v>
      </c>
      <c r="DR44" t="str">
        <f>AND(#REF!,"AAAAAH/2dXk=")</f>
        <v>#REF!</v>
      </c>
      <c r="DS44" t="str">
        <f>AND(#REF!,"AAAAAH/2dXo=")</f>
        <v>#REF!</v>
      </c>
      <c r="DT44" t="str">
        <f>AND(#REF!,"AAAAAH/2dXs=")</f>
        <v>#REF!</v>
      </c>
      <c r="DU44" t="str">
        <f>AND(#REF!,"AAAAAH/2dXw=")</f>
        <v>#REF!</v>
      </c>
      <c r="DV44" t="str">
        <f>AND(#REF!,"AAAAAH/2dX0=")</f>
        <v>#REF!</v>
      </c>
      <c r="DW44" t="str">
        <f>AND(#REF!,"AAAAAH/2dX4=")</f>
        <v>#REF!</v>
      </c>
      <c r="DX44" t="str">
        <f>AND(#REF!,"AAAAAH/2dX8=")</f>
        <v>#REF!</v>
      </c>
      <c r="DY44" t="str">
        <f>AND(#REF!,"AAAAAH/2dYA=")</f>
        <v>#REF!</v>
      </c>
      <c r="DZ44" t="str">
        <f>AND(#REF!,"AAAAAH/2dYE=")</f>
        <v>#REF!</v>
      </c>
      <c r="EA44" t="str">
        <f>AND(#REF!,"AAAAAH/2dYI=")</f>
        <v>#REF!</v>
      </c>
      <c r="EB44" t="str">
        <f>AND(#REF!,"AAAAAH/2dYM=")</f>
        <v>#REF!</v>
      </c>
      <c r="EC44" t="str">
        <f>AND(#REF!,"AAAAAH/2dYQ=")</f>
        <v>#REF!</v>
      </c>
      <c r="ED44" t="str">
        <f>AND(#REF!,"AAAAAH/2dYU=")</f>
        <v>#REF!</v>
      </c>
      <c r="EE44" t="str">
        <f>AND(#REF!,"AAAAAH/2dYY=")</f>
        <v>#REF!</v>
      </c>
      <c r="EF44" t="str">
        <f>AND(#REF!,"AAAAAH/2dYc=")</f>
        <v>#REF!</v>
      </c>
      <c r="EG44" t="str">
        <f>AND(#REF!,"AAAAAH/2dYg=")</f>
        <v>#REF!</v>
      </c>
      <c r="EH44" t="str">
        <f>AND(#REF!,"AAAAAH/2dYk=")</f>
        <v>#REF!</v>
      </c>
      <c r="EI44" t="str">
        <f>AND(#REF!,"AAAAAH/2dYo=")</f>
        <v>#REF!</v>
      </c>
      <c r="EJ44" t="str">
        <f>AND(#REF!,"AAAAAH/2dYs=")</f>
        <v>#REF!</v>
      </c>
      <c r="EK44" t="str">
        <f>AND(#REF!,"AAAAAH/2dYw=")</f>
        <v>#REF!</v>
      </c>
      <c r="EL44" t="str">
        <f>AND(#REF!,"AAAAAH/2dY0=")</f>
        <v>#REF!</v>
      </c>
      <c r="EM44" t="str">
        <f>AND(#REF!,"AAAAAH/2dY4=")</f>
        <v>#REF!</v>
      </c>
      <c r="EN44" t="str">
        <f>AND(#REF!,"AAAAAH/2dY8=")</f>
        <v>#REF!</v>
      </c>
      <c r="EO44" t="str">
        <f>AND(#REF!,"AAAAAH/2dZA=")</f>
        <v>#REF!</v>
      </c>
      <c r="EP44" t="str">
        <f>AND(#REF!,"AAAAAH/2dZE=")</f>
        <v>#REF!</v>
      </c>
      <c r="EQ44" t="str">
        <f>AND(#REF!,"AAAAAH/2dZI=")</f>
        <v>#REF!</v>
      </c>
      <c r="ER44" t="str">
        <f>AND(#REF!,"AAAAAH/2dZM=")</f>
        <v>#REF!</v>
      </c>
      <c r="ES44" t="str">
        <f>AND(#REF!,"AAAAAH/2dZQ=")</f>
        <v>#REF!</v>
      </c>
      <c r="ET44" t="str">
        <f>AND(#REF!,"AAAAAH/2dZU=")</f>
        <v>#REF!</v>
      </c>
      <c r="EU44" t="str">
        <f>AND(#REF!,"AAAAAH/2dZY=")</f>
        <v>#REF!</v>
      </c>
      <c r="EV44" t="str">
        <f>AND(#REF!,"AAAAAH/2dZc=")</f>
        <v>#REF!</v>
      </c>
      <c r="EW44" t="str">
        <f>AND(#REF!,"AAAAAH/2dZg=")</f>
        <v>#REF!</v>
      </c>
      <c r="EX44" t="str">
        <f>AND(#REF!,"AAAAAH/2dZk=")</f>
        <v>#REF!</v>
      </c>
      <c r="EY44" t="str">
        <f>AND(#REF!,"AAAAAH/2dZo=")</f>
        <v>#REF!</v>
      </c>
      <c r="EZ44" t="str">
        <f>AND(#REF!,"AAAAAH/2dZs=")</f>
        <v>#REF!</v>
      </c>
      <c r="FA44" t="str">
        <f>AND(#REF!,"AAAAAH/2dZw=")</f>
        <v>#REF!</v>
      </c>
      <c r="FB44" t="str">
        <f>IF(#REF!,"AAAAAH/2dZ0=",0)</f>
        <v>#REF!</v>
      </c>
      <c r="FC44" t="str">
        <f>AND(#REF!,"AAAAAH/2dZ4=")</f>
        <v>#REF!</v>
      </c>
      <c r="FD44" t="str">
        <f>AND(#REF!,"AAAAAH/2dZ8=")</f>
        <v>#REF!</v>
      </c>
      <c r="FE44" t="str">
        <f>AND(#REF!,"AAAAAH/2daA=")</f>
        <v>#REF!</v>
      </c>
      <c r="FF44" t="str">
        <f>AND(#REF!,"AAAAAH/2daE=")</f>
        <v>#REF!</v>
      </c>
      <c r="FG44" t="str">
        <f>AND(#REF!,"AAAAAH/2daI=")</f>
        <v>#REF!</v>
      </c>
      <c r="FH44" t="str">
        <f>AND(#REF!,"AAAAAH/2daM=")</f>
        <v>#REF!</v>
      </c>
      <c r="FI44" t="str">
        <f>AND(#REF!,"AAAAAH/2daQ=")</f>
        <v>#REF!</v>
      </c>
      <c r="FJ44" t="str">
        <f>AND(#REF!,"AAAAAH/2daU=")</f>
        <v>#REF!</v>
      </c>
      <c r="FK44" t="str">
        <f>AND(#REF!,"AAAAAH/2daY=")</f>
        <v>#REF!</v>
      </c>
      <c r="FL44" t="str">
        <f>AND(#REF!,"AAAAAH/2dac=")</f>
        <v>#REF!</v>
      </c>
      <c r="FM44" t="str">
        <f>AND(#REF!,"AAAAAH/2dag=")</f>
        <v>#REF!</v>
      </c>
      <c r="FN44" t="str">
        <f>AND(#REF!,"AAAAAH/2dak=")</f>
        <v>#REF!</v>
      </c>
      <c r="FO44" t="str">
        <f>AND(#REF!,"AAAAAH/2dao=")</f>
        <v>#REF!</v>
      </c>
      <c r="FP44" t="str">
        <f>AND(#REF!,"AAAAAH/2das=")</f>
        <v>#REF!</v>
      </c>
      <c r="FQ44" t="str">
        <f>AND(#REF!,"AAAAAH/2daw=")</f>
        <v>#REF!</v>
      </c>
      <c r="FR44" t="str">
        <f>AND(#REF!,"AAAAAH/2da0=")</f>
        <v>#REF!</v>
      </c>
      <c r="FS44" t="str">
        <f>AND(#REF!,"AAAAAH/2da4=")</f>
        <v>#REF!</v>
      </c>
      <c r="FT44" t="str">
        <f>AND(#REF!,"AAAAAH/2da8=")</f>
        <v>#REF!</v>
      </c>
      <c r="FU44" t="str">
        <f>AND(#REF!,"AAAAAH/2dbA=")</f>
        <v>#REF!</v>
      </c>
      <c r="FV44" t="str">
        <f>AND(#REF!,"AAAAAH/2dbE=")</f>
        <v>#REF!</v>
      </c>
      <c r="FW44" t="str">
        <f>AND(#REF!,"AAAAAH/2dbI=")</f>
        <v>#REF!</v>
      </c>
      <c r="FX44" t="str">
        <f>AND(#REF!,"AAAAAH/2dbM=")</f>
        <v>#REF!</v>
      </c>
      <c r="FY44" t="str">
        <f>AND(#REF!,"AAAAAH/2dbQ=")</f>
        <v>#REF!</v>
      </c>
      <c r="FZ44" t="str">
        <f>AND(#REF!,"AAAAAH/2dbU=")</f>
        <v>#REF!</v>
      </c>
      <c r="GA44" t="str">
        <f>AND(#REF!,"AAAAAH/2dbY=")</f>
        <v>#REF!</v>
      </c>
      <c r="GB44" t="str">
        <f>AND(#REF!,"AAAAAH/2dbc=")</f>
        <v>#REF!</v>
      </c>
      <c r="GC44" t="str">
        <f>AND(#REF!,"AAAAAH/2dbg=")</f>
        <v>#REF!</v>
      </c>
      <c r="GD44" t="str">
        <f>AND(#REF!,"AAAAAH/2dbk=")</f>
        <v>#REF!</v>
      </c>
      <c r="GE44" t="str">
        <f>AND(#REF!,"AAAAAH/2dbo=")</f>
        <v>#REF!</v>
      </c>
      <c r="GF44" t="str">
        <f>AND(#REF!,"AAAAAH/2dbs=")</f>
        <v>#REF!</v>
      </c>
      <c r="GG44" t="str">
        <f>AND(#REF!,"AAAAAH/2dbw=")</f>
        <v>#REF!</v>
      </c>
      <c r="GH44" t="str">
        <f>AND(#REF!,"AAAAAH/2db0=")</f>
        <v>#REF!</v>
      </c>
      <c r="GI44" t="str">
        <f>AND(#REF!,"AAAAAH/2db4=")</f>
        <v>#REF!</v>
      </c>
      <c r="GJ44" t="str">
        <f>AND(#REF!,"AAAAAH/2db8=")</f>
        <v>#REF!</v>
      </c>
      <c r="GK44" t="str">
        <f>AND(#REF!,"AAAAAH/2dcA=")</f>
        <v>#REF!</v>
      </c>
      <c r="GL44" t="str">
        <f>AND(#REF!,"AAAAAH/2dcE=")</f>
        <v>#REF!</v>
      </c>
      <c r="GM44" t="str">
        <f>AND(#REF!,"AAAAAH/2dcI=")</f>
        <v>#REF!</v>
      </c>
      <c r="GN44" t="str">
        <f>AND(#REF!,"AAAAAH/2dcM=")</f>
        <v>#REF!</v>
      </c>
      <c r="GO44" t="str">
        <f>AND(#REF!,"AAAAAH/2dcQ=")</f>
        <v>#REF!</v>
      </c>
      <c r="GP44" t="str">
        <f>AND(#REF!,"AAAAAH/2dcU=")</f>
        <v>#REF!</v>
      </c>
      <c r="GQ44" t="str">
        <f>AND(#REF!,"AAAAAH/2dcY=")</f>
        <v>#REF!</v>
      </c>
      <c r="GR44" t="str">
        <f>AND(#REF!,"AAAAAH/2dcc=")</f>
        <v>#REF!</v>
      </c>
      <c r="GS44" t="str">
        <f>AND(#REF!,"AAAAAH/2dcg=")</f>
        <v>#REF!</v>
      </c>
      <c r="GT44" t="str">
        <f>AND(#REF!,"AAAAAH/2dck=")</f>
        <v>#REF!</v>
      </c>
      <c r="GU44" t="str">
        <f>AND(#REF!,"AAAAAH/2dco=")</f>
        <v>#REF!</v>
      </c>
      <c r="GV44" t="str">
        <f>AND(#REF!,"AAAAAH/2dcs=")</f>
        <v>#REF!</v>
      </c>
      <c r="GW44" t="str">
        <f>AND(#REF!,"AAAAAH/2dcw=")</f>
        <v>#REF!</v>
      </c>
      <c r="GX44" t="str">
        <f>AND(#REF!,"AAAAAH/2dc0=")</f>
        <v>#REF!</v>
      </c>
      <c r="GY44" t="str">
        <f>AND(#REF!,"AAAAAH/2dc4=")</f>
        <v>#REF!</v>
      </c>
      <c r="GZ44" t="str">
        <f>AND(#REF!,"AAAAAH/2dc8=")</f>
        <v>#REF!</v>
      </c>
      <c r="HA44" t="str">
        <f>AND(#REF!,"AAAAAH/2ddA=")</f>
        <v>#REF!</v>
      </c>
      <c r="HB44" t="str">
        <f>AND(#REF!,"AAAAAH/2ddE=")</f>
        <v>#REF!</v>
      </c>
      <c r="HC44" t="str">
        <f>AND(#REF!,"AAAAAH/2ddI=")</f>
        <v>#REF!</v>
      </c>
      <c r="HD44" t="str">
        <f>AND(#REF!,"AAAAAH/2ddM=")</f>
        <v>#REF!</v>
      </c>
      <c r="HE44" t="str">
        <f>AND(#REF!,"AAAAAH/2ddQ=")</f>
        <v>#REF!</v>
      </c>
      <c r="HF44" t="str">
        <f>AND(#REF!,"AAAAAH/2ddU=")</f>
        <v>#REF!</v>
      </c>
      <c r="HG44" t="str">
        <f>AND(#REF!,"AAAAAH/2ddY=")</f>
        <v>#REF!</v>
      </c>
      <c r="HH44" t="str">
        <f>AND(#REF!,"AAAAAH/2ddc=")</f>
        <v>#REF!</v>
      </c>
      <c r="HI44" t="str">
        <f>AND(#REF!,"AAAAAH/2ddg=")</f>
        <v>#REF!</v>
      </c>
      <c r="HJ44" t="str">
        <f>AND(#REF!,"AAAAAH/2ddk=")</f>
        <v>#REF!</v>
      </c>
      <c r="HK44" t="str">
        <f>AND(#REF!,"AAAAAH/2ddo=")</f>
        <v>#REF!</v>
      </c>
      <c r="HL44" t="str">
        <f>AND(#REF!,"AAAAAH/2dds=")</f>
        <v>#REF!</v>
      </c>
      <c r="HM44" t="str">
        <f>AND(#REF!,"AAAAAH/2ddw=")</f>
        <v>#REF!</v>
      </c>
      <c r="HN44" t="str">
        <f>AND(#REF!,"AAAAAH/2dd0=")</f>
        <v>#REF!</v>
      </c>
      <c r="HO44" t="str">
        <f>AND(#REF!,"AAAAAH/2dd4=")</f>
        <v>#REF!</v>
      </c>
      <c r="HP44" t="str">
        <f>AND(#REF!,"AAAAAH/2dd8=")</f>
        <v>#REF!</v>
      </c>
      <c r="HQ44" t="str">
        <f>AND(#REF!,"AAAAAH/2deA=")</f>
        <v>#REF!</v>
      </c>
      <c r="HR44" t="str">
        <f>AND(#REF!,"AAAAAH/2deE=")</f>
        <v>#REF!</v>
      </c>
      <c r="HS44" t="str">
        <f>AND(#REF!,"AAAAAH/2deI=")</f>
        <v>#REF!</v>
      </c>
      <c r="HT44" t="str">
        <f>AND(#REF!,"AAAAAH/2deM=")</f>
        <v>#REF!</v>
      </c>
      <c r="HU44" t="str">
        <f>AND(#REF!,"AAAAAH/2deQ=")</f>
        <v>#REF!</v>
      </c>
      <c r="HV44" t="str">
        <f>AND(#REF!,"AAAAAH/2deU=")</f>
        <v>#REF!</v>
      </c>
      <c r="HW44" t="str">
        <f>AND(#REF!,"AAAAAH/2deY=")</f>
        <v>#REF!</v>
      </c>
      <c r="HX44" t="str">
        <f>AND(#REF!,"AAAAAH/2dec=")</f>
        <v>#REF!</v>
      </c>
      <c r="HY44" t="str">
        <f>AND(#REF!,"AAAAAH/2deg=")</f>
        <v>#REF!</v>
      </c>
      <c r="HZ44" t="str">
        <f>IF(#REF!,"AAAAAH/2dek=",0)</f>
        <v>#REF!</v>
      </c>
      <c r="IA44" t="str">
        <f>AND(#REF!,"AAAAAH/2deo=")</f>
        <v>#REF!</v>
      </c>
      <c r="IB44" t="str">
        <f>AND(#REF!,"AAAAAH/2des=")</f>
        <v>#REF!</v>
      </c>
      <c r="IC44" t="str">
        <f>AND(#REF!,"AAAAAH/2dew=")</f>
        <v>#REF!</v>
      </c>
      <c r="ID44" t="str">
        <f>AND(#REF!,"AAAAAH/2de0=")</f>
        <v>#REF!</v>
      </c>
      <c r="IE44" t="str">
        <f>AND(#REF!,"AAAAAH/2de4=")</f>
        <v>#REF!</v>
      </c>
      <c r="IF44" t="str">
        <f>AND(#REF!,"AAAAAH/2de8=")</f>
        <v>#REF!</v>
      </c>
      <c r="IG44" t="str">
        <f>AND(#REF!,"AAAAAH/2dfA=")</f>
        <v>#REF!</v>
      </c>
      <c r="IH44" t="str">
        <f>AND(#REF!,"AAAAAH/2dfE=")</f>
        <v>#REF!</v>
      </c>
      <c r="II44" t="str">
        <f>AND(#REF!,"AAAAAH/2dfI=")</f>
        <v>#REF!</v>
      </c>
      <c r="IJ44" t="str">
        <f>AND(#REF!,"AAAAAH/2dfM=")</f>
        <v>#REF!</v>
      </c>
      <c r="IK44" t="str">
        <f>AND(#REF!,"AAAAAH/2dfQ=")</f>
        <v>#REF!</v>
      </c>
      <c r="IL44" t="str">
        <f>AND(#REF!,"AAAAAH/2dfU=")</f>
        <v>#REF!</v>
      </c>
      <c r="IM44" t="str">
        <f>AND(#REF!,"AAAAAH/2dfY=")</f>
        <v>#REF!</v>
      </c>
      <c r="IN44" t="str">
        <f>AND(#REF!,"AAAAAH/2dfc=")</f>
        <v>#REF!</v>
      </c>
      <c r="IO44" t="str">
        <f>AND(#REF!,"AAAAAH/2dfg=")</f>
        <v>#REF!</v>
      </c>
      <c r="IP44" t="str">
        <f>AND(#REF!,"AAAAAH/2dfk=")</f>
        <v>#REF!</v>
      </c>
      <c r="IQ44" t="str">
        <f>AND(#REF!,"AAAAAH/2dfo=")</f>
        <v>#REF!</v>
      </c>
      <c r="IR44" t="str">
        <f>AND(#REF!,"AAAAAH/2dfs=")</f>
        <v>#REF!</v>
      </c>
      <c r="IS44" t="str">
        <f>AND(#REF!,"AAAAAH/2dfw=")</f>
        <v>#REF!</v>
      </c>
      <c r="IT44" t="str">
        <f>AND(#REF!,"AAAAAH/2df0=")</f>
        <v>#REF!</v>
      </c>
      <c r="IU44" t="str">
        <f>AND(#REF!,"AAAAAH/2df4=")</f>
        <v>#REF!</v>
      </c>
      <c r="IV44" t="str">
        <f>AND(#REF!,"AAAAAH/2df8=")</f>
        <v>#REF!</v>
      </c>
    </row>
    <row r="45" ht="15.75" customHeight="1">
      <c r="A45" t="str">
        <f>AND(#REF!,"AAAAAB5vdwA=")</f>
        <v>#REF!</v>
      </c>
      <c r="B45" t="str">
        <f>AND(#REF!,"AAAAAB5vdwE=")</f>
        <v>#REF!</v>
      </c>
      <c r="C45" t="str">
        <f>AND(#REF!,"AAAAAB5vdwI=")</f>
        <v>#REF!</v>
      </c>
      <c r="D45" t="str">
        <f>AND(#REF!,"AAAAAB5vdwM=")</f>
        <v>#REF!</v>
      </c>
      <c r="E45" t="str">
        <f>AND(#REF!,"AAAAAB5vdwQ=")</f>
        <v>#REF!</v>
      </c>
      <c r="F45" t="str">
        <f>AND(#REF!,"AAAAAB5vdwU=")</f>
        <v>#REF!</v>
      </c>
      <c r="G45" t="str">
        <f>AND(#REF!,"AAAAAB5vdwY=")</f>
        <v>#REF!</v>
      </c>
      <c r="H45" t="str">
        <f>AND(#REF!,"AAAAAB5vdwc=")</f>
        <v>#REF!</v>
      </c>
      <c r="I45" t="str">
        <f>AND(#REF!,"AAAAAB5vdwg=")</f>
        <v>#REF!</v>
      </c>
      <c r="J45" t="str">
        <f>AND(#REF!,"AAAAAB5vdwk=")</f>
        <v>#REF!</v>
      </c>
      <c r="K45" t="str">
        <f>AND(#REF!,"AAAAAB5vdwo=")</f>
        <v>#REF!</v>
      </c>
      <c r="L45" t="str">
        <f>AND(#REF!,"AAAAAB5vdws=")</f>
        <v>#REF!</v>
      </c>
      <c r="M45" t="str">
        <f>AND(#REF!,"AAAAAB5vdww=")</f>
        <v>#REF!</v>
      </c>
      <c r="N45" t="str">
        <f>AND(#REF!,"AAAAAB5vdw0=")</f>
        <v>#REF!</v>
      </c>
      <c r="O45" t="str">
        <f>AND(#REF!,"AAAAAB5vdw4=")</f>
        <v>#REF!</v>
      </c>
      <c r="P45" t="str">
        <f>AND(#REF!,"AAAAAB5vdw8=")</f>
        <v>#REF!</v>
      </c>
      <c r="Q45" t="str">
        <f>AND(#REF!,"AAAAAB5vdxA=")</f>
        <v>#REF!</v>
      </c>
      <c r="R45" t="str">
        <f>AND(#REF!,"AAAAAB5vdxE=")</f>
        <v>#REF!</v>
      </c>
      <c r="S45" t="str">
        <f>AND(#REF!,"AAAAAB5vdxI=")</f>
        <v>#REF!</v>
      </c>
      <c r="T45" t="str">
        <f>AND(#REF!,"AAAAAB5vdxM=")</f>
        <v>#REF!</v>
      </c>
      <c r="U45" t="str">
        <f>AND(#REF!,"AAAAAB5vdxQ=")</f>
        <v>#REF!</v>
      </c>
      <c r="V45" t="str">
        <f>AND(#REF!,"AAAAAB5vdxU=")</f>
        <v>#REF!</v>
      </c>
      <c r="W45" t="str">
        <f>AND(#REF!,"AAAAAB5vdxY=")</f>
        <v>#REF!</v>
      </c>
      <c r="X45" t="str">
        <f>AND(#REF!,"AAAAAB5vdxc=")</f>
        <v>#REF!</v>
      </c>
      <c r="Y45" t="str">
        <f>AND(#REF!,"AAAAAB5vdxg=")</f>
        <v>#REF!</v>
      </c>
      <c r="Z45" t="str">
        <f>AND(#REF!,"AAAAAB5vdxk=")</f>
        <v>#REF!</v>
      </c>
      <c r="AA45" t="str">
        <f>AND(#REF!,"AAAAAB5vdxo=")</f>
        <v>#REF!</v>
      </c>
      <c r="AB45" t="str">
        <f>AND(#REF!,"AAAAAB5vdxs=")</f>
        <v>#REF!</v>
      </c>
      <c r="AC45" t="str">
        <f>AND(#REF!,"AAAAAB5vdxw=")</f>
        <v>#REF!</v>
      </c>
      <c r="AD45" t="str">
        <f>AND(#REF!,"AAAAAB5vdx0=")</f>
        <v>#REF!</v>
      </c>
      <c r="AE45" t="str">
        <f>AND(#REF!,"AAAAAB5vdx4=")</f>
        <v>#REF!</v>
      </c>
      <c r="AF45" t="str">
        <f>AND(#REF!,"AAAAAB5vdx8=")</f>
        <v>#REF!</v>
      </c>
      <c r="AG45" t="str">
        <f>AND(#REF!,"AAAAAB5vdyA=")</f>
        <v>#REF!</v>
      </c>
      <c r="AH45" t="str">
        <f>AND(#REF!,"AAAAAB5vdyE=")</f>
        <v>#REF!</v>
      </c>
      <c r="AI45" t="str">
        <f>AND(#REF!,"AAAAAB5vdyI=")</f>
        <v>#REF!</v>
      </c>
      <c r="AJ45" t="str">
        <f>AND(#REF!,"AAAAAB5vdyM=")</f>
        <v>#REF!</v>
      </c>
      <c r="AK45" t="str">
        <f>AND(#REF!,"AAAAAB5vdyQ=")</f>
        <v>#REF!</v>
      </c>
      <c r="AL45" t="str">
        <f>AND(#REF!,"AAAAAB5vdyU=")</f>
        <v>#REF!</v>
      </c>
      <c r="AM45" t="str">
        <f>AND(#REF!,"AAAAAB5vdyY=")</f>
        <v>#REF!</v>
      </c>
      <c r="AN45" t="str">
        <f>AND(#REF!,"AAAAAB5vdyc=")</f>
        <v>#REF!</v>
      </c>
      <c r="AO45" t="str">
        <f>AND(#REF!,"AAAAAB5vdyg=")</f>
        <v>#REF!</v>
      </c>
      <c r="AP45" t="str">
        <f>AND(#REF!,"AAAAAB5vdyk=")</f>
        <v>#REF!</v>
      </c>
      <c r="AQ45" t="str">
        <f>AND(#REF!,"AAAAAB5vdyo=")</f>
        <v>#REF!</v>
      </c>
      <c r="AR45" t="str">
        <f>AND(#REF!,"AAAAAB5vdys=")</f>
        <v>#REF!</v>
      </c>
      <c r="AS45" t="str">
        <f>AND(#REF!,"AAAAAB5vdyw=")</f>
        <v>#REF!</v>
      </c>
      <c r="AT45" t="str">
        <f>AND(#REF!,"AAAAAB5vdy0=")</f>
        <v>#REF!</v>
      </c>
      <c r="AU45" t="str">
        <f>AND(#REF!,"AAAAAB5vdy4=")</f>
        <v>#REF!</v>
      </c>
      <c r="AV45" t="str">
        <f>AND(#REF!,"AAAAAB5vdy8=")</f>
        <v>#REF!</v>
      </c>
      <c r="AW45" t="str">
        <f>AND(#REF!,"AAAAAB5vdzA=")</f>
        <v>#REF!</v>
      </c>
      <c r="AX45" t="str">
        <f>AND(#REF!,"AAAAAB5vdzE=")</f>
        <v>#REF!</v>
      </c>
      <c r="AY45" t="str">
        <f>AND(#REF!,"AAAAAB5vdzI=")</f>
        <v>#REF!</v>
      </c>
      <c r="AZ45" t="str">
        <f>AND(#REF!,"AAAAAB5vdzM=")</f>
        <v>#REF!</v>
      </c>
      <c r="BA45" t="str">
        <f>AND(#REF!,"AAAAAB5vdzQ=")</f>
        <v>#REF!</v>
      </c>
      <c r="BB45" t="str">
        <f>IF(#REF!,"AAAAAB5vdzU=",0)</f>
        <v>#REF!</v>
      </c>
      <c r="BC45" t="str">
        <f>AND(#REF!,"AAAAAB5vdzY=")</f>
        <v>#REF!</v>
      </c>
      <c r="BD45" t="str">
        <f>AND(#REF!,"AAAAAB5vdzc=")</f>
        <v>#REF!</v>
      </c>
      <c r="BE45" t="str">
        <f>AND(#REF!,"AAAAAB5vdzg=")</f>
        <v>#REF!</v>
      </c>
      <c r="BF45" t="str">
        <f>AND(#REF!,"AAAAAB5vdzk=")</f>
        <v>#REF!</v>
      </c>
      <c r="BG45" t="str">
        <f>AND(#REF!,"AAAAAB5vdzo=")</f>
        <v>#REF!</v>
      </c>
      <c r="BH45" t="str">
        <f>AND(#REF!,"AAAAAB5vdzs=")</f>
        <v>#REF!</v>
      </c>
      <c r="BI45" t="str">
        <f>AND(#REF!,"AAAAAB5vdzw=")</f>
        <v>#REF!</v>
      </c>
      <c r="BJ45" t="str">
        <f>AND(#REF!,"AAAAAB5vdz0=")</f>
        <v>#REF!</v>
      </c>
      <c r="BK45" t="str">
        <f>AND(#REF!,"AAAAAB5vdz4=")</f>
        <v>#REF!</v>
      </c>
      <c r="BL45" t="str">
        <f>AND(#REF!,"AAAAAB5vdz8=")</f>
        <v>#REF!</v>
      </c>
      <c r="BM45" t="str">
        <f>AND(#REF!,"AAAAAB5vd0A=")</f>
        <v>#REF!</v>
      </c>
      <c r="BN45" t="str">
        <f>AND(#REF!,"AAAAAB5vd0E=")</f>
        <v>#REF!</v>
      </c>
      <c r="BO45" t="str">
        <f>AND(#REF!,"AAAAAB5vd0I=")</f>
        <v>#REF!</v>
      </c>
      <c r="BP45" t="str">
        <f>AND(#REF!,"AAAAAB5vd0M=")</f>
        <v>#REF!</v>
      </c>
      <c r="BQ45" t="str">
        <f>AND(#REF!,"AAAAAB5vd0Q=")</f>
        <v>#REF!</v>
      </c>
      <c r="BR45" t="str">
        <f>AND(#REF!,"AAAAAB5vd0U=")</f>
        <v>#REF!</v>
      </c>
      <c r="BS45" t="str">
        <f>AND(#REF!,"AAAAAB5vd0Y=")</f>
        <v>#REF!</v>
      </c>
      <c r="BT45" t="str">
        <f>AND(#REF!,"AAAAAB5vd0c=")</f>
        <v>#REF!</v>
      </c>
      <c r="BU45" t="str">
        <f>AND(#REF!,"AAAAAB5vd0g=")</f>
        <v>#REF!</v>
      </c>
      <c r="BV45" t="str">
        <f>AND(#REF!,"AAAAAB5vd0k=")</f>
        <v>#REF!</v>
      </c>
      <c r="BW45" t="str">
        <f>AND(#REF!,"AAAAAB5vd0o=")</f>
        <v>#REF!</v>
      </c>
      <c r="BX45" t="str">
        <f>AND(#REF!,"AAAAAB5vd0s=")</f>
        <v>#REF!</v>
      </c>
      <c r="BY45" t="str">
        <f>AND(#REF!,"AAAAAB5vd0w=")</f>
        <v>#REF!</v>
      </c>
      <c r="BZ45" t="str">
        <f>AND(#REF!,"AAAAAB5vd00=")</f>
        <v>#REF!</v>
      </c>
      <c r="CA45" t="str">
        <f>AND(#REF!,"AAAAAB5vd04=")</f>
        <v>#REF!</v>
      </c>
      <c r="CB45" t="str">
        <f>AND(#REF!,"AAAAAB5vd08=")</f>
        <v>#REF!</v>
      </c>
      <c r="CC45" t="str">
        <f>AND(#REF!,"AAAAAB5vd1A=")</f>
        <v>#REF!</v>
      </c>
      <c r="CD45" t="str">
        <f>AND(#REF!,"AAAAAB5vd1E=")</f>
        <v>#REF!</v>
      </c>
      <c r="CE45" t="str">
        <f>AND(#REF!,"AAAAAB5vd1I=")</f>
        <v>#REF!</v>
      </c>
      <c r="CF45" t="str">
        <f>AND(#REF!,"AAAAAB5vd1M=")</f>
        <v>#REF!</v>
      </c>
      <c r="CG45" t="str">
        <f>AND(#REF!,"AAAAAB5vd1Q=")</f>
        <v>#REF!</v>
      </c>
      <c r="CH45" t="str">
        <f>AND(#REF!,"AAAAAB5vd1U=")</f>
        <v>#REF!</v>
      </c>
      <c r="CI45" t="str">
        <f>AND(#REF!,"AAAAAB5vd1Y=")</f>
        <v>#REF!</v>
      </c>
      <c r="CJ45" t="str">
        <f>AND(#REF!,"AAAAAB5vd1c=")</f>
        <v>#REF!</v>
      </c>
      <c r="CK45" t="str">
        <f>AND(#REF!,"AAAAAB5vd1g=")</f>
        <v>#REF!</v>
      </c>
      <c r="CL45" t="str">
        <f>AND(#REF!,"AAAAAB5vd1k=")</f>
        <v>#REF!</v>
      </c>
      <c r="CM45" t="str">
        <f>AND(#REF!,"AAAAAB5vd1o=")</f>
        <v>#REF!</v>
      </c>
      <c r="CN45" t="str">
        <f>AND(#REF!,"AAAAAB5vd1s=")</f>
        <v>#REF!</v>
      </c>
      <c r="CO45" t="str">
        <f>AND(#REF!,"AAAAAB5vd1w=")</f>
        <v>#REF!</v>
      </c>
      <c r="CP45" t="str">
        <f>AND(#REF!,"AAAAAB5vd10=")</f>
        <v>#REF!</v>
      </c>
      <c r="CQ45" t="str">
        <f>AND(#REF!,"AAAAAB5vd14=")</f>
        <v>#REF!</v>
      </c>
      <c r="CR45" t="str">
        <f>AND(#REF!,"AAAAAB5vd18=")</f>
        <v>#REF!</v>
      </c>
      <c r="CS45" t="str">
        <f>AND(#REF!,"AAAAAB5vd2A=")</f>
        <v>#REF!</v>
      </c>
      <c r="CT45" t="str">
        <f>AND(#REF!,"AAAAAB5vd2E=")</f>
        <v>#REF!</v>
      </c>
      <c r="CU45" t="str">
        <f>AND(#REF!,"AAAAAB5vd2I=")</f>
        <v>#REF!</v>
      </c>
      <c r="CV45" t="str">
        <f>AND(#REF!,"AAAAAB5vd2M=")</f>
        <v>#REF!</v>
      </c>
      <c r="CW45" t="str">
        <f>AND(#REF!,"AAAAAB5vd2Q=")</f>
        <v>#REF!</v>
      </c>
      <c r="CX45" t="str">
        <f>AND(#REF!,"AAAAAB5vd2U=")</f>
        <v>#REF!</v>
      </c>
      <c r="CY45" t="str">
        <f>AND(#REF!,"AAAAAB5vd2Y=")</f>
        <v>#REF!</v>
      </c>
      <c r="CZ45" t="str">
        <f>AND(#REF!,"AAAAAB5vd2c=")</f>
        <v>#REF!</v>
      </c>
      <c r="DA45" t="str">
        <f>AND(#REF!,"AAAAAB5vd2g=")</f>
        <v>#REF!</v>
      </c>
      <c r="DB45" t="str">
        <f>AND(#REF!,"AAAAAB5vd2k=")</f>
        <v>#REF!</v>
      </c>
      <c r="DC45" t="str">
        <f>AND(#REF!,"AAAAAB5vd2o=")</f>
        <v>#REF!</v>
      </c>
      <c r="DD45" t="str">
        <f>AND(#REF!,"AAAAAB5vd2s=")</f>
        <v>#REF!</v>
      </c>
      <c r="DE45" t="str">
        <f>AND(#REF!,"AAAAAB5vd2w=")</f>
        <v>#REF!</v>
      </c>
      <c r="DF45" t="str">
        <f>AND(#REF!,"AAAAAB5vd20=")</f>
        <v>#REF!</v>
      </c>
      <c r="DG45" t="str">
        <f>AND(#REF!,"AAAAAB5vd24=")</f>
        <v>#REF!</v>
      </c>
      <c r="DH45" t="str">
        <f>AND(#REF!,"AAAAAB5vd28=")</f>
        <v>#REF!</v>
      </c>
      <c r="DI45" t="str">
        <f>AND(#REF!,"AAAAAB5vd3A=")</f>
        <v>#REF!</v>
      </c>
      <c r="DJ45" t="str">
        <f>AND(#REF!,"AAAAAB5vd3E=")</f>
        <v>#REF!</v>
      </c>
      <c r="DK45" t="str">
        <f>AND(#REF!,"AAAAAB5vd3I=")</f>
        <v>#REF!</v>
      </c>
      <c r="DL45" t="str">
        <f>AND(#REF!,"AAAAAB5vd3M=")</f>
        <v>#REF!</v>
      </c>
      <c r="DM45" t="str">
        <f>AND(#REF!,"AAAAAB5vd3Q=")</f>
        <v>#REF!</v>
      </c>
      <c r="DN45" t="str">
        <f>AND(#REF!,"AAAAAB5vd3U=")</f>
        <v>#REF!</v>
      </c>
      <c r="DO45" t="str">
        <f>AND(#REF!,"AAAAAB5vd3Y=")</f>
        <v>#REF!</v>
      </c>
      <c r="DP45" t="str">
        <f>AND(#REF!,"AAAAAB5vd3c=")</f>
        <v>#REF!</v>
      </c>
      <c r="DQ45" t="str">
        <f>AND(#REF!,"AAAAAB5vd3g=")</f>
        <v>#REF!</v>
      </c>
      <c r="DR45" t="str">
        <f>AND(#REF!,"AAAAAB5vd3k=")</f>
        <v>#REF!</v>
      </c>
      <c r="DS45" t="str">
        <f>AND(#REF!,"AAAAAB5vd3o=")</f>
        <v>#REF!</v>
      </c>
      <c r="DT45" t="str">
        <f>AND(#REF!,"AAAAAB5vd3s=")</f>
        <v>#REF!</v>
      </c>
      <c r="DU45" t="str">
        <f>AND(#REF!,"AAAAAB5vd3w=")</f>
        <v>#REF!</v>
      </c>
      <c r="DV45" t="str">
        <f>AND(#REF!,"AAAAAB5vd30=")</f>
        <v>#REF!</v>
      </c>
      <c r="DW45" t="str">
        <f>AND(#REF!,"AAAAAB5vd34=")</f>
        <v>#REF!</v>
      </c>
      <c r="DX45" t="str">
        <f>AND(#REF!,"AAAAAB5vd38=")</f>
        <v>#REF!</v>
      </c>
      <c r="DY45" t="str">
        <f>AND(#REF!,"AAAAAB5vd4A=")</f>
        <v>#REF!</v>
      </c>
      <c r="DZ45" t="str">
        <f>IF(#REF!,"AAAAAB5vd4E=",0)</f>
        <v>#REF!</v>
      </c>
      <c r="EA45" t="str">
        <f>AND(#REF!,"AAAAAB5vd4I=")</f>
        <v>#REF!</v>
      </c>
      <c r="EB45" t="str">
        <f>AND(#REF!,"AAAAAB5vd4M=")</f>
        <v>#REF!</v>
      </c>
      <c r="EC45" t="str">
        <f>AND(#REF!,"AAAAAB5vd4Q=")</f>
        <v>#REF!</v>
      </c>
      <c r="ED45" t="str">
        <f>AND(#REF!,"AAAAAB5vd4U=")</f>
        <v>#REF!</v>
      </c>
      <c r="EE45" t="str">
        <f>AND(#REF!,"AAAAAB5vd4Y=")</f>
        <v>#REF!</v>
      </c>
      <c r="EF45" t="str">
        <f>AND(#REF!,"AAAAAB5vd4c=")</f>
        <v>#REF!</v>
      </c>
      <c r="EG45" t="str">
        <f>AND(#REF!,"AAAAAB5vd4g=")</f>
        <v>#REF!</v>
      </c>
      <c r="EH45" t="str">
        <f>AND(#REF!,"AAAAAB5vd4k=")</f>
        <v>#REF!</v>
      </c>
      <c r="EI45" t="str">
        <f>AND(#REF!,"AAAAAB5vd4o=")</f>
        <v>#REF!</v>
      </c>
      <c r="EJ45" t="str">
        <f>AND(#REF!,"AAAAAB5vd4s=")</f>
        <v>#REF!</v>
      </c>
      <c r="EK45" t="str">
        <f>AND(#REF!,"AAAAAB5vd4w=")</f>
        <v>#REF!</v>
      </c>
      <c r="EL45" t="str">
        <f>AND(#REF!,"AAAAAB5vd40=")</f>
        <v>#REF!</v>
      </c>
      <c r="EM45" t="str">
        <f>AND(#REF!,"AAAAAB5vd44=")</f>
        <v>#REF!</v>
      </c>
      <c r="EN45" t="str">
        <f>AND(#REF!,"AAAAAB5vd48=")</f>
        <v>#REF!</v>
      </c>
      <c r="EO45" t="str">
        <f>AND(#REF!,"AAAAAB5vd5A=")</f>
        <v>#REF!</v>
      </c>
      <c r="EP45" t="str">
        <f>AND(#REF!,"AAAAAB5vd5E=")</f>
        <v>#REF!</v>
      </c>
      <c r="EQ45" t="str">
        <f>AND(#REF!,"AAAAAB5vd5I=")</f>
        <v>#REF!</v>
      </c>
      <c r="ER45" t="str">
        <f>AND(#REF!,"AAAAAB5vd5M=")</f>
        <v>#REF!</v>
      </c>
      <c r="ES45" t="str">
        <f>AND(#REF!,"AAAAAB5vd5Q=")</f>
        <v>#REF!</v>
      </c>
      <c r="ET45" t="str">
        <f>AND(#REF!,"AAAAAB5vd5U=")</f>
        <v>#REF!</v>
      </c>
      <c r="EU45" t="str">
        <f>AND(#REF!,"AAAAAB5vd5Y=")</f>
        <v>#REF!</v>
      </c>
      <c r="EV45" t="str">
        <f>AND(#REF!,"AAAAAB5vd5c=")</f>
        <v>#REF!</v>
      </c>
      <c r="EW45" t="str">
        <f>AND(#REF!,"AAAAAB5vd5g=")</f>
        <v>#REF!</v>
      </c>
      <c r="EX45" t="str">
        <f>AND(#REF!,"AAAAAB5vd5k=")</f>
        <v>#REF!</v>
      </c>
      <c r="EY45" t="str">
        <f>AND(#REF!,"AAAAAB5vd5o=")</f>
        <v>#REF!</v>
      </c>
      <c r="EZ45" t="str">
        <f>AND(#REF!,"AAAAAB5vd5s=")</f>
        <v>#REF!</v>
      </c>
      <c r="FA45" t="str">
        <f>AND(#REF!,"AAAAAB5vd5w=")</f>
        <v>#REF!</v>
      </c>
      <c r="FB45" t="str">
        <f>AND(#REF!,"AAAAAB5vd50=")</f>
        <v>#REF!</v>
      </c>
      <c r="FC45" t="str">
        <f>AND(#REF!,"AAAAAB5vd54=")</f>
        <v>#REF!</v>
      </c>
      <c r="FD45" t="str">
        <f>AND(#REF!,"AAAAAB5vd58=")</f>
        <v>#REF!</v>
      </c>
      <c r="FE45" t="str">
        <f>AND(#REF!,"AAAAAB5vd6A=")</f>
        <v>#REF!</v>
      </c>
      <c r="FF45" t="str">
        <f>AND(#REF!,"AAAAAB5vd6E=")</f>
        <v>#REF!</v>
      </c>
      <c r="FG45" t="str">
        <f>AND(#REF!,"AAAAAB5vd6I=")</f>
        <v>#REF!</v>
      </c>
      <c r="FH45" t="str">
        <f>AND(#REF!,"AAAAAB5vd6M=")</f>
        <v>#REF!</v>
      </c>
      <c r="FI45" t="str">
        <f>AND(#REF!,"AAAAAB5vd6Q=")</f>
        <v>#REF!</v>
      </c>
      <c r="FJ45" t="str">
        <f>AND(#REF!,"AAAAAB5vd6U=")</f>
        <v>#REF!</v>
      </c>
      <c r="FK45" t="str">
        <f>AND(#REF!,"AAAAAB5vd6Y=")</f>
        <v>#REF!</v>
      </c>
      <c r="FL45" t="str">
        <f>AND(#REF!,"AAAAAB5vd6c=")</f>
        <v>#REF!</v>
      </c>
      <c r="FM45" t="str">
        <f>AND(#REF!,"AAAAAB5vd6g=")</f>
        <v>#REF!</v>
      </c>
      <c r="FN45" t="str">
        <f>AND(#REF!,"AAAAAB5vd6k=")</f>
        <v>#REF!</v>
      </c>
      <c r="FO45" t="str">
        <f>AND(#REF!,"AAAAAB5vd6o=")</f>
        <v>#REF!</v>
      </c>
      <c r="FP45" t="str">
        <f>AND(#REF!,"AAAAAB5vd6s=")</f>
        <v>#REF!</v>
      </c>
      <c r="FQ45" t="str">
        <f>AND(#REF!,"AAAAAB5vd6w=")</f>
        <v>#REF!</v>
      </c>
      <c r="FR45" t="str">
        <f>AND(#REF!,"AAAAAB5vd60=")</f>
        <v>#REF!</v>
      </c>
      <c r="FS45" t="str">
        <f>AND(#REF!,"AAAAAB5vd64=")</f>
        <v>#REF!</v>
      </c>
      <c r="FT45" t="str">
        <f>AND(#REF!,"AAAAAB5vd68=")</f>
        <v>#REF!</v>
      </c>
      <c r="FU45" t="str">
        <f>AND(#REF!,"AAAAAB5vd7A=")</f>
        <v>#REF!</v>
      </c>
      <c r="FV45" t="str">
        <f>AND(#REF!,"AAAAAB5vd7E=")</f>
        <v>#REF!</v>
      </c>
      <c r="FW45" t="str">
        <f>AND(#REF!,"AAAAAB5vd7I=")</f>
        <v>#REF!</v>
      </c>
      <c r="FX45" t="str">
        <f>AND(#REF!,"AAAAAB5vd7M=")</f>
        <v>#REF!</v>
      </c>
      <c r="FY45" t="str">
        <f>AND(#REF!,"AAAAAB5vd7Q=")</f>
        <v>#REF!</v>
      </c>
      <c r="FZ45" t="str">
        <f>AND(#REF!,"AAAAAB5vd7U=")</f>
        <v>#REF!</v>
      </c>
      <c r="GA45" t="str">
        <f>AND(#REF!,"AAAAAB5vd7Y=")</f>
        <v>#REF!</v>
      </c>
      <c r="GB45" t="str">
        <f>AND(#REF!,"AAAAAB5vd7c=")</f>
        <v>#REF!</v>
      </c>
      <c r="GC45" t="str">
        <f>AND(#REF!,"AAAAAB5vd7g=")</f>
        <v>#REF!</v>
      </c>
      <c r="GD45" t="str">
        <f>AND(#REF!,"AAAAAB5vd7k=")</f>
        <v>#REF!</v>
      </c>
      <c r="GE45" t="str">
        <f>AND(#REF!,"AAAAAB5vd7o=")</f>
        <v>#REF!</v>
      </c>
      <c r="GF45" t="str">
        <f>AND(#REF!,"AAAAAB5vd7s=")</f>
        <v>#REF!</v>
      </c>
      <c r="GG45" t="str">
        <f>AND(#REF!,"AAAAAB5vd7w=")</f>
        <v>#REF!</v>
      </c>
      <c r="GH45" t="str">
        <f>AND(#REF!,"AAAAAB5vd70=")</f>
        <v>#REF!</v>
      </c>
      <c r="GI45" t="str">
        <f>AND(#REF!,"AAAAAB5vd74=")</f>
        <v>#REF!</v>
      </c>
      <c r="GJ45" t="str">
        <f>AND(#REF!,"AAAAAB5vd78=")</f>
        <v>#REF!</v>
      </c>
      <c r="GK45" t="str">
        <f>AND(#REF!,"AAAAAB5vd8A=")</f>
        <v>#REF!</v>
      </c>
      <c r="GL45" t="str">
        <f>AND(#REF!,"AAAAAB5vd8E=")</f>
        <v>#REF!</v>
      </c>
      <c r="GM45" t="str">
        <f>AND(#REF!,"AAAAAB5vd8I=")</f>
        <v>#REF!</v>
      </c>
      <c r="GN45" t="str">
        <f>AND(#REF!,"AAAAAB5vd8M=")</f>
        <v>#REF!</v>
      </c>
      <c r="GO45" t="str">
        <f>AND(#REF!,"AAAAAB5vd8Q=")</f>
        <v>#REF!</v>
      </c>
      <c r="GP45" t="str">
        <f>AND(#REF!,"AAAAAB5vd8U=")</f>
        <v>#REF!</v>
      </c>
      <c r="GQ45" t="str">
        <f>AND(#REF!,"AAAAAB5vd8Y=")</f>
        <v>#REF!</v>
      </c>
      <c r="GR45" t="str">
        <f>AND(#REF!,"AAAAAB5vd8c=")</f>
        <v>#REF!</v>
      </c>
      <c r="GS45" t="str">
        <f>AND(#REF!,"AAAAAB5vd8g=")</f>
        <v>#REF!</v>
      </c>
      <c r="GT45" t="str">
        <f>AND(#REF!,"AAAAAB5vd8k=")</f>
        <v>#REF!</v>
      </c>
      <c r="GU45" t="str">
        <f>AND(#REF!,"AAAAAB5vd8o=")</f>
        <v>#REF!</v>
      </c>
      <c r="GV45" t="str">
        <f>AND(#REF!,"AAAAAB5vd8s=")</f>
        <v>#REF!</v>
      </c>
      <c r="GW45" t="str">
        <f>AND(#REF!,"AAAAAB5vd8w=")</f>
        <v>#REF!</v>
      </c>
      <c r="GX45" t="str">
        <f>IF(#REF!,"AAAAAB5vd80=",0)</f>
        <v>#REF!</v>
      </c>
      <c r="GY45" t="str">
        <f>AND(#REF!,"AAAAAB5vd84=")</f>
        <v>#REF!</v>
      </c>
      <c r="GZ45" t="str">
        <f>AND(#REF!,"AAAAAB5vd88=")</f>
        <v>#REF!</v>
      </c>
      <c r="HA45" t="str">
        <f>AND(#REF!,"AAAAAB5vd9A=")</f>
        <v>#REF!</v>
      </c>
      <c r="HB45" t="str">
        <f>AND(#REF!,"AAAAAB5vd9E=")</f>
        <v>#REF!</v>
      </c>
      <c r="HC45" t="str">
        <f>AND(#REF!,"AAAAAB5vd9I=")</f>
        <v>#REF!</v>
      </c>
      <c r="HD45" t="str">
        <f>AND(#REF!,"AAAAAB5vd9M=")</f>
        <v>#REF!</v>
      </c>
      <c r="HE45" t="str">
        <f>AND(#REF!,"AAAAAB5vd9Q=")</f>
        <v>#REF!</v>
      </c>
      <c r="HF45" t="str">
        <f>AND(#REF!,"AAAAAB5vd9U=")</f>
        <v>#REF!</v>
      </c>
      <c r="HG45" t="str">
        <f>AND(#REF!,"AAAAAB5vd9Y=")</f>
        <v>#REF!</v>
      </c>
      <c r="HH45" t="str">
        <f>AND(#REF!,"AAAAAB5vd9c=")</f>
        <v>#REF!</v>
      </c>
      <c r="HI45" t="str">
        <f>AND(#REF!,"AAAAAB5vd9g=")</f>
        <v>#REF!</v>
      </c>
      <c r="HJ45" t="str">
        <f>AND(#REF!,"AAAAAB5vd9k=")</f>
        <v>#REF!</v>
      </c>
      <c r="HK45" t="str">
        <f>AND(#REF!,"AAAAAB5vd9o=")</f>
        <v>#REF!</v>
      </c>
      <c r="HL45" t="str">
        <f>AND(#REF!,"AAAAAB5vd9s=")</f>
        <v>#REF!</v>
      </c>
      <c r="HM45" t="str">
        <f>AND(#REF!,"AAAAAB5vd9w=")</f>
        <v>#REF!</v>
      </c>
      <c r="HN45" t="str">
        <f>AND(#REF!,"AAAAAB5vd90=")</f>
        <v>#REF!</v>
      </c>
      <c r="HO45" t="str">
        <f>AND(#REF!,"AAAAAB5vd94=")</f>
        <v>#REF!</v>
      </c>
      <c r="HP45" t="str">
        <f>AND(#REF!,"AAAAAB5vd98=")</f>
        <v>#REF!</v>
      </c>
      <c r="HQ45" t="str">
        <f>AND(#REF!,"AAAAAB5vd+A=")</f>
        <v>#REF!</v>
      </c>
      <c r="HR45" t="str">
        <f>AND(#REF!,"AAAAAB5vd+E=")</f>
        <v>#REF!</v>
      </c>
      <c r="HS45" t="str">
        <f>AND(#REF!,"AAAAAB5vd+I=")</f>
        <v>#REF!</v>
      </c>
      <c r="HT45" t="str">
        <f>AND(#REF!,"AAAAAB5vd+M=")</f>
        <v>#REF!</v>
      </c>
      <c r="HU45" t="str">
        <f>AND(#REF!,"AAAAAB5vd+Q=")</f>
        <v>#REF!</v>
      </c>
      <c r="HV45" t="str">
        <f>AND(#REF!,"AAAAAB5vd+U=")</f>
        <v>#REF!</v>
      </c>
      <c r="HW45" t="str">
        <f>AND(#REF!,"AAAAAB5vd+Y=")</f>
        <v>#REF!</v>
      </c>
      <c r="HX45" t="str">
        <f>AND(#REF!,"AAAAAB5vd+c=")</f>
        <v>#REF!</v>
      </c>
      <c r="HY45" t="str">
        <f>AND(#REF!,"AAAAAB5vd+g=")</f>
        <v>#REF!</v>
      </c>
      <c r="HZ45" t="str">
        <f>AND(#REF!,"AAAAAB5vd+k=")</f>
        <v>#REF!</v>
      </c>
      <c r="IA45" t="str">
        <f>AND(#REF!,"AAAAAB5vd+o=")</f>
        <v>#REF!</v>
      </c>
      <c r="IB45" t="str">
        <f>AND(#REF!,"AAAAAB5vd+s=")</f>
        <v>#REF!</v>
      </c>
      <c r="IC45" t="str">
        <f>AND(#REF!,"AAAAAB5vd+w=")</f>
        <v>#REF!</v>
      </c>
      <c r="ID45" t="str">
        <f>AND(#REF!,"AAAAAB5vd+0=")</f>
        <v>#REF!</v>
      </c>
      <c r="IE45" t="str">
        <f>AND(#REF!,"AAAAAB5vd+4=")</f>
        <v>#REF!</v>
      </c>
      <c r="IF45" t="str">
        <f>AND(#REF!,"AAAAAB5vd+8=")</f>
        <v>#REF!</v>
      </c>
      <c r="IG45" t="str">
        <f>AND(#REF!,"AAAAAB5vd/A=")</f>
        <v>#REF!</v>
      </c>
      <c r="IH45" t="str">
        <f>AND(#REF!,"AAAAAB5vd/E=")</f>
        <v>#REF!</v>
      </c>
      <c r="II45" t="str">
        <f>AND(#REF!,"AAAAAB5vd/I=")</f>
        <v>#REF!</v>
      </c>
      <c r="IJ45" t="str">
        <f>AND(#REF!,"AAAAAB5vd/M=")</f>
        <v>#REF!</v>
      </c>
      <c r="IK45" t="str">
        <f>AND(#REF!,"AAAAAB5vd/Q=")</f>
        <v>#REF!</v>
      </c>
      <c r="IL45" t="str">
        <f>AND(#REF!,"AAAAAB5vd/U=")</f>
        <v>#REF!</v>
      </c>
      <c r="IM45" t="str">
        <f>AND(#REF!,"AAAAAB5vd/Y=")</f>
        <v>#REF!</v>
      </c>
      <c r="IN45" t="str">
        <f>AND(#REF!,"AAAAAB5vd/c=")</f>
        <v>#REF!</v>
      </c>
      <c r="IO45" t="str">
        <f>AND(#REF!,"AAAAAB5vd/g=")</f>
        <v>#REF!</v>
      </c>
      <c r="IP45" t="str">
        <f>AND(#REF!,"AAAAAB5vd/k=")</f>
        <v>#REF!</v>
      </c>
      <c r="IQ45" t="str">
        <f>AND(#REF!,"AAAAAB5vd/o=")</f>
        <v>#REF!</v>
      </c>
      <c r="IR45" t="str">
        <f>AND(#REF!,"AAAAAB5vd/s=")</f>
        <v>#REF!</v>
      </c>
      <c r="IS45" t="str">
        <f>AND(#REF!,"AAAAAB5vd/w=")</f>
        <v>#REF!</v>
      </c>
      <c r="IT45" t="str">
        <f>AND(#REF!,"AAAAAB5vd/0=")</f>
        <v>#REF!</v>
      </c>
      <c r="IU45" t="str">
        <f>AND(#REF!,"AAAAAB5vd/4=")</f>
        <v>#REF!</v>
      </c>
      <c r="IV45" t="str">
        <f>AND(#REF!,"AAAAAB5vd/8=")</f>
        <v>#REF!</v>
      </c>
    </row>
    <row r="46" ht="15.75" customHeight="1">
      <c r="A46" t="str">
        <f>AND(#REF!,"AAAAAD17XwA=")</f>
        <v>#REF!</v>
      </c>
      <c r="B46" t="str">
        <f>AND(#REF!,"AAAAAD17XwE=")</f>
        <v>#REF!</v>
      </c>
      <c r="C46" t="str">
        <f>AND(#REF!,"AAAAAD17XwI=")</f>
        <v>#REF!</v>
      </c>
      <c r="D46" t="str">
        <f>AND(#REF!,"AAAAAD17XwM=")</f>
        <v>#REF!</v>
      </c>
      <c r="E46" t="str">
        <f>AND(#REF!,"AAAAAD17XwQ=")</f>
        <v>#REF!</v>
      </c>
      <c r="F46" t="str">
        <f>AND(#REF!,"AAAAAD17XwU=")</f>
        <v>#REF!</v>
      </c>
      <c r="G46" t="str">
        <f>AND(#REF!,"AAAAAD17XwY=")</f>
        <v>#REF!</v>
      </c>
      <c r="H46" t="str">
        <f>AND(#REF!,"AAAAAD17Xwc=")</f>
        <v>#REF!</v>
      </c>
      <c r="I46" t="str">
        <f>AND(#REF!,"AAAAAD17Xwg=")</f>
        <v>#REF!</v>
      </c>
      <c r="J46" t="str">
        <f>AND(#REF!,"AAAAAD17Xwk=")</f>
        <v>#REF!</v>
      </c>
      <c r="K46" t="str">
        <f>AND(#REF!,"AAAAAD17Xwo=")</f>
        <v>#REF!</v>
      </c>
      <c r="L46" t="str">
        <f>AND(#REF!,"AAAAAD17Xws=")</f>
        <v>#REF!</v>
      </c>
      <c r="M46" t="str">
        <f>AND(#REF!,"AAAAAD17Xww=")</f>
        <v>#REF!</v>
      </c>
      <c r="N46" t="str">
        <f>AND(#REF!,"AAAAAD17Xw0=")</f>
        <v>#REF!</v>
      </c>
      <c r="O46" t="str">
        <f>AND(#REF!,"AAAAAD17Xw4=")</f>
        <v>#REF!</v>
      </c>
      <c r="P46" t="str">
        <f>AND(#REF!,"AAAAAD17Xw8=")</f>
        <v>#REF!</v>
      </c>
      <c r="Q46" t="str">
        <f>AND(#REF!,"AAAAAD17XxA=")</f>
        <v>#REF!</v>
      </c>
      <c r="R46" t="str">
        <f>AND(#REF!,"AAAAAD17XxE=")</f>
        <v>#REF!</v>
      </c>
      <c r="S46" t="str">
        <f>AND(#REF!,"AAAAAD17XxI=")</f>
        <v>#REF!</v>
      </c>
      <c r="T46" t="str">
        <f>AND(#REF!,"AAAAAD17XxM=")</f>
        <v>#REF!</v>
      </c>
      <c r="U46" t="str">
        <f>AND(#REF!,"AAAAAD17XxQ=")</f>
        <v>#REF!</v>
      </c>
      <c r="V46" t="str">
        <f>AND(#REF!,"AAAAAD17XxU=")</f>
        <v>#REF!</v>
      </c>
      <c r="W46" t="str">
        <f>AND(#REF!,"AAAAAD17XxY=")</f>
        <v>#REF!</v>
      </c>
      <c r="X46" t="str">
        <f>AND(#REF!,"AAAAAD17Xxc=")</f>
        <v>#REF!</v>
      </c>
      <c r="Y46" t="str">
        <f>AND(#REF!,"AAAAAD17Xxg=")</f>
        <v>#REF!</v>
      </c>
      <c r="Z46" t="str">
        <f>IF(#REF!,"AAAAAD17Xxk=",0)</f>
        <v>#REF!</v>
      </c>
      <c r="AA46" t="str">
        <f>AND(#REF!,"AAAAAD17Xxo=")</f>
        <v>#REF!</v>
      </c>
      <c r="AB46" t="str">
        <f>AND(#REF!,"AAAAAD17Xxs=")</f>
        <v>#REF!</v>
      </c>
      <c r="AC46" t="str">
        <f>AND(#REF!,"AAAAAD17Xxw=")</f>
        <v>#REF!</v>
      </c>
      <c r="AD46" t="str">
        <f>AND(#REF!,"AAAAAD17Xx0=")</f>
        <v>#REF!</v>
      </c>
      <c r="AE46" t="str">
        <f>AND(#REF!,"AAAAAD17Xx4=")</f>
        <v>#REF!</v>
      </c>
      <c r="AF46" t="str">
        <f>AND(#REF!,"AAAAAD17Xx8=")</f>
        <v>#REF!</v>
      </c>
      <c r="AG46" t="str">
        <f>AND(#REF!,"AAAAAD17XyA=")</f>
        <v>#REF!</v>
      </c>
      <c r="AH46" t="str">
        <f>AND(#REF!,"AAAAAD17XyE=")</f>
        <v>#REF!</v>
      </c>
      <c r="AI46" t="str">
        <f>AND(#REF!,"AAAAAD17XyI=")</f>
        <v>#REF!</v>
      </c>
      <c r="AJ46" t="str">
        <f>AND(#REF!,"AAAAAD17XyM=")</f>
        <v>#REF!</v>
      </c>
      <c r="AK46" t="str">
        <f>AND(#REF!,"AAAAAD17XyQ=")</f>
        <v>#REF!</v>
      </c>
      <c r="AL46" t="str">
        <f>AND(#REF!,"AAAAAD17XyU=")</f>
        <v>#REF!</v>
      </c>
      <c r="AM46" t="str">
        <f>AND(#REF!,"AAAAAD17XyY=")</f>
        <v>#REF!</v>
      </c>
      <c r="AN46" t="str">
        <f>AND(#REF!,"AAAAAD17Xyc=")</f>
        <v>#REF!</v>
      </c>
      <c r="AO46" t="str">
        <f>AND(#REF!,"AAAAAD17Xyg=")</f>
        <v>#REF!</v>
      </c>
      <c r="AP46" t="str">
        <f>AND(#REF!,"AAAAAD17Xyk=")</f>
        <v>#REF!</v>
      </c>
      <c r="AQ46" t="str">
        <f>AND(#REF!,"AAAAAD17Xyo=")</f>
        <v>#REF!</v>
      </c>
      <c r="AR46" t="str">
        <f>AND(#REF!,"AAAAAD17Xys=")</f>
        <v>#REF!</v>
      </c>
      <c r="AS46" t="str">
        <f>AND(#REF!,"AAAAAD17Xyw=")</f>
        <v>#REF!</v>
      </c>
      <c r="AT46" t="str">
        <f>AND(#REF!,"AAAAAD17Xy0=")</f>
        <v>#REF!</v>
      </c>
      <c r="AU46" t="str">
        <f>AND(#REF!,"AAAAAD17Xy4=")</f>
        <v>#REF!</v>
      </c>
      <c r="AV46" t="str">
        <f>AND(#REF!,"AAAAAD17Xy8=")</f>
        <v>#REF!</v>
      </c>
      <c r="AW46" t="str">
        <f>AND(#REF!,"AAAAAD17XzA=")</f>
        <v>#REF!</v>
      </c>
      <c r="AX46" t="str">
        <f>AND(#REF!,"AAAAAD17XzE=")</f>
        <v>#REF!</v>
      </c>
      <c r="AY46" t="str">
        <f>AND(#REF!,"AAAAAD17XzI=")</f>
        <v>#REF!</v>
      </c>
      <c r="AZ46" t="str">
        <f>AND(#REF!,"AAAAAD17XzM=")</f>
        <v>#REF!</v>
      </c>
      <c r="BA46" t="str">
        <f>AND(#REF!,"AAAAAD17XzQ=")</f>
        <v>#REF!</v>
      </c>
      <c r="BB46" t="str">
        <f>AND(#REF!,"AAAAAD17XzU=")</f>
        <v>#REF!</v>
      </c>
      <c r="BC46" t="str">
        <f>AND(#REF!,"AAAAAD17XzY=")</f>
        <v>#REF!</v>
      </c>
      <c r="BD46" t="str">
        <f>AND(#REF!,"AAAAAD17Xzc=")</f>
        <v>#REF!</v>
      </c>
      <c r="BE46" t="str">
        <f>AND(#REF!,"AAAAAD17Xzg=")</f>
        <v>#REF!</v>
      </c>
      <c r="BF46" t="str">
        <f>AND(#REF!,"AAAAAD17Xzk=")</f>
        <v>#REF!</v>
      </c>
      <c r="BG46" t="str">
        <f>AND(#REF!,"AAAAAD17Xzo=")</f>
        <v>#REF!</v>
      </c>
      <c r="BH46" t="str">
        <f>AND(#REF!,"AAAAAD17Xzs=")</f>
        <v>#REF!</v>
      </c>
      <c r="BI46" t="str">
        <f>AND(#REF!,"AAAAAD17Xzw=")</f>
        <v>#REF!</v>
      </c>
      <c r="BJ46" t="str">
        <f>AND(#REF!,"AAAAAD17Xz0=")</f>
        <v>#REF!</v>
      </c>
      <c r="BK46" t="str">
        <f>AND(#REF!,"AAAAAD17Xz4=")</f>
        <v>#REF!</v>
      </c>
      <c r="BL46" t="str">
        <f>AND(#REF!,"AAAAAD17Xz8=")</f>
        <v>#REF!</v>
      </c>
      <c r="BM46" t="str">
        <f>AND(#REF!,"AAAAAD17X0A=")</f>
        <v>#REF!</v>
      </c>
      <c r="BN46" t="str">
        <f>AND(#REF!,"AAAAAD17X0E=")</f>
        <v>#REF!</v>
      </c>
      <c r="BO46" t="str">
        <f>AND(#REF!,"AAAAAD17X0I=")</f>
        <v>#REF!</v>
      </c>
      <c r="BP46" t="str">
        <f>AND(#REF!,"AAAAAD17X0M=")</f>
        <v>#REF!</v>
      </c>
      <c r="BQ46" t="str">
        <f>AND(#REF!,"AAAAAD17X0Q=")</f>
        <v>#REF!</v>
      </c>
      <c r="BR46" t="str">
        <f>AND(#REF!,"AAAAAD17X0U=")</f>
        <v>#REF!</v>
      </c>
      <c r="BS46" t="str">
        <f>AND(#REF!,"AAAAAD17X0Y=")</f>
        <v>#REF!</v>
      </c>
      <c r="BT46" t="str">
        <f>AND(#REF!,"AAAAAD17X0c=")</f>
        <v>#REF!</v>
      </c>
      <c r="BU46" t="str">
        <f>AND(#REF!,"AAAAAD17X0g=")</f>
        <v>#REF!</v>
      </c>
      <c r="BV46" t="str">
        <f>AND(#REF!,"AAAAAD17X0k=")</f>
        <v>#REF!</v>
      </c>
      <c r="BW46" t="str">
        <f>AND(#REF!,"AAAAAD17X0o=")</f>
        <v>#REF!</v>
      </c>
      <c r="BX46" t="str">
        <f>AND(#REF!,"AAAAAD17X0s=")</f>
        <v>#REF!</v>
      </c>
      <c r="BY46" t="str">
        <f>AND(#REF!,"AAAAAD17X0w=")</f>
        <v>#REF!</v>
      </c>
      <c r="BZ46" t="str">
        <f>AND(#REF!,"AAAAAD17X00=")</f>
        <v>#REF!</v>
      </c>
      <c r="CA46" t="str">
        <f>AND(#REF!,"AAAAAD17X04=")</f>
        <v>#REF!</v>
      </c>
      <c r="CB46" t="str">
        <f>AND(#REF!,"AAAAAD17X08=")</f>
        <v>#REF!</v>
      </c>
      <c r="CC46" t="str">
        <f>AND(#REF!,"AAAAAD17X1A=")</f>
        <v>#REF!</v>
      </c>
      <c r="CD46" t="str">
        <f>AND(#REF!,"AAAAAD17X1E=")</f>
        <v>#REF!</v>
      </c>
      <c r="CE46" t="str">
        <f>AND(#REF!,"AAAAAD17X1I=")</f>
        <v>#REF!</v>
      </c>
      <c r="CF46" t="str">
        <f>AND(#REF!,"AAAAAD17X1M=")</f>
        <v>#REF!</v>
      </c>
      <c r="CG46" t="str">
        <f>AND(#REF!,"AAAAAD17X1Q=")</f>
        <v>#REF!</v>
      </c>
      <c r="CH46" t="str">
        <f>AND(#REF!,"AAAAAD17X1U=")</f>
        <v>#REF!</v>
      </c>
      <c r="CI46" t="str">
        <f>AND(#REF!,"AAAAAD17X1Y=")</f>
        <v>#REF!</v>
      </c>
      <c r="CJ46" t="str">
        <f>AND(#REF!,"AAAAAD17X1c=")</f>
        <v>#REF!</v>
      </c>
      <c r="CK46" t="str">
        <f>AND(#REF!,"AAAAAD17X1g=")</f>
        <v>#REF!</v>
      </c>
      <c r="CL46" t="str">
        <f>AND(#REF!,"AAAAAD17X1k=")</f>
        <v>#REF!</v>
      </c>
      <c r="CM46" t="str">
        <f>AND(#REF!,"AAAAAD17X1o=")</f>
        <v>#REF!</v>
      </c>
      <c r="CN46" t="str">
        <f>AND(#REF!,"AAAAAD17X1s=")</f>
        <v>#REF!</v>
      </c>
      <c r="CO46" t="str">
        <f>AND(#REF!,"AAAAAD17X1w=")</f>
        <v>#REF!</v>
      </c>
      <c r="CP46" t="str">
        <f>AND(#REF!,"AAAAAD17X10=")</f>
        <v>#REF!</v>
      </c>
      <c r="CQ46" t="str">
        <f>AND(#REF!,"AAAAAD17X14=")</f>
        <v>#REF!</v>
      </c>
      <c r="CR46" t="str">
        <f>AND(#REF!,"AAAAAD17X18=")</f>
        <v>#REF!</v>
      </c>
      <c r="CS46" t="str">
        <f>AND(#REF!,"AAAAAD17X2A=")</f>
        <v>#REF!</v>
      </c>
      <c r="CT46" t="str">
        <f>AND(#REF!,"AAAAAD17X2E=")</f>
        <v>#REF!</v>
      </c>
      <c r="CU46" t="str">
        <f>AND(#REF!,"AAAAAD17X2I=")</f>
        <v>#REF!</v>
      </c>
      <c r="CV46" t="str">
        <f>AND(#REF!,"AAAAAD17X2M=")</f>
        <v>#REF!</v>
      </c>
      <c r="CW46" t="str">
        <f>AND(#REF!,"AAAAAD17X2Q=")</f>
        <v>#REF!</v>
      </c>
      <c r="CX46" t="str">
        <f>IF(#REF!,"AAAAAD17X2U=",0)</f>
        <v>#REF!</v>
      </c>
      <c r="CY46" t="str">
        <f>AND(#REF!,"AAAAAD17X2Y=")</f>
        <v>#REF!</v>
      </c>
      <c r="CZ46" t="str">
        <f>AND(#REF!,"AAAAAD17X2c=")</f>
        <v>#REF!</v>
      </c>
      <c r="DA46" t="str">
        <f>AND(#REF!,"AAAAAD17X2g=")</f>
        <v>#REF!</v>
      </c>
      <c r="DB46" t="str">
        <f>AND(#REF!,"AAAAAD17X2k=")</f>
        <v>#REF!</v>
      </c>
      <c r="DC46" t="str">
        <f>AND(#REF!,"AAAAAD17X2o=")</f>
        <v>#REF!</v>
      </c>
      <c r="DD46" t="str">
        <f>AND(#REF!,"AAAAAD17X2s=")</f>
        <v>#REF!</v>
      </c>
      <c r="DE46" t="str">
        <f>AND(#REF!,"AAAAAD17X2w=")</f>
        <v>#REF!</v>
      </c>
      <c r="DF46" t="str">
        <f>AND(#REF!,"AAAAAD17X20=")</f>
        <v>#REF!</v>
      </c>
      <c r="DG46" t="str">
        <f>AND(#REF!,"AAAAAD17X24=")</f>
        <v>#REF!</v>
      </c>
      <c r="DH46" t="str">
        <f>AND(#REF!,"AAAAAD17X28=")</f>
        <v>#REF!</v>
      </c>
      <c r="DI46" t="str">
        <f>AND(#REF!,"AAAAAD17X3A=")</f>
        <v>#REF!</v>
      </c>
      <c r="DJ46" t="str">
        <f>AND(#REF!,"AAAAAD17X3E=")</f>
        <v>#REF!</v>
      </c>
      <c r="DK46" t="str">
        <f>AND(#REF!,"AAAAAD17X3I=")</f>
        <v>#REF!</v>
      </c>
      <c r="DL46" t="str">
        <f>AND(#REF!,"AAAAAD17X3M=")</f>
        <v>#REF!</v>
      </c>
      <c r="DM46" t="str">
        <f>AND(#REF!,"AAAAAD17X3Q=")</f>
        <v>#REF!</v>
      </c>
      <c r="DN46" t="str">
        <f>AND(#REF!,"AAAAAD17X3U=")</f>
        <v>#REF!</v>
      </c>
      <c r="DO46" t="str">
        <f>AND(#REF!,"AAAAAD17X3Y=")</f>
        <v>#REF!</v>
      </c>
      <c r="DP46" t="str">
        <f>AND(#REF!,"AAAAAD17X3c=")</f>
        <v>#REF!</v>
      </c>
      <c r="DQ46" t="str">
        <f>AND(#REF!,"AAAAAD17X3g=")</f>
        <v>#REF!</v>
      </c>
      <c r="DR46" t="str">
        <f>AND(#REF!,"AAAAAD17X3k=")</f>
        <v>#REF!</v>
      </c>
      <c r="DS46" t="str">
        <f>AND(#REF!,"AAAAAD17X3o=")</f>
        <v>#REF!</v>
      </c>
      <c r="DT46" t="str">
        <f>AND(#REF!,"AAAAAD17X3s=")</f>
        <v>#REF!</v>
      </c>
      <c r="DU46" t="str">
        <f>AND(#REF!,"AAAAAD17X3w=")</f>
        <v>#REF!</v>
      </c>
      <c r="DV46" t="str">
        <f>AND(#REF!,"AAAAAD17X30=")</f>
        <v>#REF!</v>
      </c>
      <c r="DW46" t="str">
        <f>AND(#REF!,"AAAAAD17X34=")</f>
        <v>#REF!</v>
      </c>
      <c r="DX46" t="str">
        <f>AND(#REF!,"AAAAAD17X38=")</f>
        <v>#REF!</v>
      </c>
      <c r="DY46" t="str">
        <f>AND(#REF!,"AAAAAD17X4A=")</f>
        <v>#REF!</v>
      </c>
      <c r="DZ46" t="str">
        <f>AND(#REF!,"AAAAAD17X4E=")</f>
        <v>#REF!</v>
      </c>
      <c r="EA46" t="str">
        <f>AND(#REF!,"AAAAAD17X4I=")</f>
        <v>#REF!</v>
      </c>
      <c r="EB46" t="str">
        <f>AND(#REF!,"AAAAAD17X4M=")</f>
        <v>#REF!</v>
      </c>
      <c r="EC46" t="str">
        <f>AND(#REF!,"AAAAAD17X4Q=")</f>
        <v>#REF!</v>
      </c>
      <c r="ED46" t="str">
        <f>AND(#REF!,"AAAAAD17X4U=")</f>
        <v>#REF!</v>
      </c>
      <c r="EE46" t="str">
        <f>AND(#REF!,"AAAAAD17X4Y=")</f>
        <v>#REF!</v>
      </c>
      <c r="EF46" t="str">
        <f>AND(#REF!,"AAAAAD17X4c=")</f>
        <v>#REF!</v>
      </c>
      <c r="EG46" t="str">
        <f>AND(#REF!,"AAAAAD17X4g=")</f>
        <v>#REF!</v>
      </c>
      <c r="EH46" t="str">
        <f>AND(#REF!,"AAAAAD17X4k=")</f>
        <v>#REF!</v>
      </c>
      <c r="EI46" t="str">
        <f>AND(#REF!,"AAAAAD17X4o=")</f>
        <v>#REF!</v>
      </c>
      <c r="EJ46" t="str">
        <f>AND(#REF!,"AAAAAD17X4s=")</f>
        <v>#REF!</v>
      </c>
      <c r="EK46" t="str">
        <f>AND(#REF!,"AAAAAD17X4w=")</f>
        <v>#REF!</v>
      </c>
      <c r="EL46" t="str">
        <f>AND(#REF!,"AAAAAD17X40=")</f>
        <v>#REF!</v>
      </c>
      <c r="EM46" t="str">
        <f>AND(#REF!,"AAAAAD17X44=")</f>
        <v>#REF!</v>
      </c>
      <c r="EN46" t="str">
        <f>AND(#REF!,"AAAAAD17X48=")</f>
        <v>#REF!</v>
      </c>
      <c r="EO46" t="str">
        <f>AND(#REF!,"AAAAAD17X5A=")</f>
        <v>#REF!</v>
      </c>
      <c r="EP46" t="str">
        <f>AND(#REF!,"AAAAAD17X5E=")</f>
        <v>#REF!</v>
      </c>
      <c r="EQ46" t="str">
        <f>AND(#REF!,"AAAAAD17X5I=")</f>
        <v>#REF!</v>
      </c>
      <c r="ER46" t="str">
        <f>AND(#REF!,"AAAAAD17X5M=")</f>
        <v>#REF!</v>
      </c>
      <c r="ES46" t="str">
        <f>AND(#REF!,"AAAAAD17X5Q=")</f>
        <v>#REF!</v>
      </c>
      <c r="ET46" t="str">
        <f>AND(#REF!,"AAAAAD17X5U=")</f>
        <v>#REF!</v>
      </c>
      <c r="EU46" t="str">
        <f>AND(#REF!,"AAAAAD17X5Y=")</f>
        <v>#REF!</v>
      </c>
      <c r="EV46" t="str">
        <f>AND(#REF!,"AAAAAD17X5c=")</f>
        <v>#REF!</v>
      </c>
      <c r="EW46" t="str">
        <f>AND(#REF!,"AAAAAD17X5g=")</f>
        <v>#REF!</v>
      </c>
      <c r="EX46" t="str">
        <f>AND(#REF!,"AAAAAD17X5k=")</f>
        <v>#REF!</v>
      </c>
      <c r="EY46" t="str">
        <f>AND(#REF!,"AAAAAD17X5o=")</f>
        <v>#REF!</v>
      </c>
      <c r="EZ46" t="str">
        <f>AND(#REF!,"AAAAAD17X5s=")</f>
        <v>#REF!</v>
      </c>
      <c r="FA46" t="str">
        <f>AND(#REF!,"AAAAAD17X5w=")</f>
        <v>#REF!</v>
      </c>
      <c r="FB46" t="str">
        <f>AND(#REF!,"AAAAAD17X50=")</f>
        <v>#REF!</v>
      </c>
      <c r="FC46" t="str">
        <f>AND(#REF!,"AAAAAD17X54=")</f>
        <v>#REF!</v>
      </c>
      <c r="FD46" t="str">
        <f>AND(#REF!,"AAAAAD17X58=")</f>
        <v>#REF!</v>
      </c>
      <c r="FE46" t="str">
        <f>AND(#REF!,"AAAAAD17X6A=")</f>
        <v>#REF!</v>
      </c>
      <c r="FF46" t="str">
        <f>AND(#REF!,"AAAAAD17X6E=")</f>
        <v>#REF!</v>
      </c>
      <c r="FG46" t="str">
        <f>AND(#REF!,"AAAAAD17X6I=")</f>
        <v>#REF!</v>
      </c>
      <c r="FH46" t="str">
        <f>AND(#REF!,"AAAAAD17X6M=")</f>
        <v>#REF!</v>
      </c>
      <c r="FI46" t="str">
        <f>AND(#REF!,"AAAAAD17X6Q=")</f>
        <v>#REF!</v>
      </c>
      <c r="FJ46" t="str">
        <f>AND(#REF!,"AAAAAD17X6U=")</f>
        <v>#REF!</v>
      </c>
      <c r="FK46" t="str">
        <f>AND(#REF!,"AAAAAD17X6Y=")</f>
        <v>#REF!</v>
      </c>
      <c r="FL46" t="str">
        <f>AND(#REF!,"AAAAAD17X6c=")</f>
        <v>#REF!</v>
      </c>
      <c r="FM46" t="str">
        <f>AND(#REF!,"AAAAAD17X6g=")</f>
        <v>#REF!</v>
      </c>
      <c r="FN46" t="str">
        <f>AND(#REF!,"AAAAAD17X6k=")</f>
        <v>#REF!</v>
      </c>
      <c r="FO46" t="str">
        <f>AND(#REF!,"AAAAAD17X6o=")</f>
        <v>#REF!</v>
      </c>
      <c r="FP46" t="str">
        <f>AND(#REF!,"AAAAAD17X6s=")</f>
        <v>#REF!</v>
      </c>
      <c r="FQ46" t="str">
        <f>AND(#REF!,"AAAAAD17X6w=")</f>
        <v>#REF!</v>
      </c>
      <c r="FR46" t="str">
        <f>AND(#REF!,"AAAAAD17X60=")</f>
        <v>#REF!</v>
      </c>
      <c r="FS46" t="str">
        <f>AND(#REF!,"AAAAAD17X64=")</f>
        <v>#REF!</v>
      </c>
      <c r="FT46" t="str">
        <f>AND(#REF!,"AAAAAD17X68=")</f>
        <v>#REF!</v>
      </c>
      <c r="FU46" t="str">
        <f>AND(#REF!,"AAAAAD17X7A=")</f>
        <v>#REF!</v>
      </c>
      <c r="FV46" t="str">
        <f>IF(#REF!,"AAAAAD17X7E=",0)</f>
        <v>#REF!</v>
      </c>
      <c r="FW46" t="str">
        <f>AND(#REF!,"AAAAAD17X7I=")</f>
        <v>#REF!</v>
      </c>
      <c r="FX46" t="str">
        <f>AND(#REF!,"AAAAAD17X7M=")</f>
        <v>#REF!</v>
      </c>
      <c r="FY46" t="str">
        <f>AND(#REF!,"AAAAAD17X7Q=")</f>
        <v>#REF!</v>
      </c>
      <c r="FZ46" t="str">
        <f>AND(#REF!,"AAAAAD17X7U=")</f>
        <v>#REF!</v>
      </c>
      <c r="GA46" t="str">
        <f>AND(#REF!,"AAAAAD17X7Y=")</f>
        <v>#REF!</v>
      </c>
      <c r="GB46" t="str">
        <f>AND(#REF!,"AAAAAD17X7c=")</f>
        <v>#REF!</v>
      </c>
      <c r="GC46" t="str">
        <f>AND(#REF!,"AAAAAD17X7g=")</f>
        <v>#REF!</v>
      </c>
      <c r="GD46" t="str">
        <f>AND(#REF!,"AAAAAD17X7k=")</f>
        <v>#REF!</v>
      </c>
      <c r="GE46" t="str">
        <f>AND(#REF!,"AAAAAD17X7o=")</f>
        <v>#REF!</v>
      </c>
      <c r="GF46" t="str">
        <f>AND(#REF!,"AAAAAD17X7s=")</f>
        <v>#REF!</v>
      </c>
      <c r="GG46" t="str">
        <f>AND(#REF!,"AAAAAD17X7w=")</f>
        <v>#REF!</v>
      </c>
      <c r="GH46" t="str">
        <f>AND(#REF!,"AAAAAD17X70=")</f>
        <v>#REF!</v>
      </c>
      <c r="GI46" t="str">
        <f>AND(#REF!,"AAAAAD17X74=")</f>
        <v>#REF!</v>
      </c>
      <c r="GJ46" t="str">
        <f>AND(#REF!,"AAAAAD17X78=")</f>
        <v>#REF!</v>
      </c>
      <c r="GK46" t="str">
        <f>AND(#REF!,"AAAAAD17X8A=")</f>
        <v>#REF!</v>
      </c>
      <c r="GL46" t="str">
        <f>AND(#REF!,"AAAAAD17X8E=")</f>
        <v>#REF!</v>
      </c>
      <c r="GM46" t="str">
        <f>AND(#REF!,"AAAAAD17X8I=")</f>
        <v>#REF!</v>
      </c>
      <c r="GN46" t="str">
        <f>AND(#REF!,"AAAAAD17X8M=")</f>
        <v>#REF!</v>
      </c>
      <c r="GO46" t="str">
        <f>AND(#REF!,"AAAAAD17X8Q=")</f>
        <v>#REF!</v>
      </c>
      <c r="GP46" t="str">
        <f>AND(#REF!,"AAAAAD17X8U=")</f>
        <v>#REF!</v>
      </c>
      <c r="GQ46" t="str">
        <f>AND(#REF!,"AAAAAD17X8Y=")</f>
        <v>#REF!</v>
      </c>
      <c r="GR46" t="str">
        <f>AND(#REF!,"AAAAAD17X8c=")</f>
        <v>#REF!</v>
      </c>
      <c r="GS46" t="str">
        <f>AND(#REF!,"AAAAAD17X8g=")</f>
        <v>#REF!</v>
      </c>
      <c r="GT46" t="str">
        <f>AND(#REF!,"AAAAAD17X8k=")</f>
        <v>#REF!</v>
      </c>
      <c r="GU46" t="str">
        <f>AND(#REF!,"AAAAAD17X8o=")</f>
        <v>#REF!</v>
      </c>
      <c r="GV46" t="str">
        <f>AND(#REF!,"AAAAAD17X8s=")</f>
        <v>#REF!</v>
      </c>
      <c r="GW46" t="str">
        <f>AND(#REF!,"AAAAAD17X8w=")</f>
        <v>#REF!</v>
      </c>
      <c r="GX46" t="str">
        <f>AND(#REF!,"AAAAAD17X80=")</f>
        <v>#REF!</v>
      </c>
      <c r="GY46" t="str">
        <f>AND(#REF!,"AAAAAD17X84=")</f>
        <v>#REF!</v>
      </c>
      <c r="GZ46" t="str">
        <f>AND(#REF!,"AAAAAD17X88=")</f>
        <v>#REF!</v>
      </c>
      <c r="HA46" t="str">
        <f>AND(#REF!,"AAAAAD17X9A=")</f>
        <v>#REF!</v>
      </c>
      <c r="HB46" t="str">
        <f>AND(#REF!,"AAAAAD17X9E=")</f>
        <v>#REF!</v>
      </c>
      <c r="HC46" t="str">
        <f>AND(#REF!,"AAAAAD17X9I=")</f>
        <v>#REF!</v>
      </c>
      <c r="HD46" t="str">
        <f>AND(#REF!,"AAAAAD17X9M=")</f>
        <v>#REF!</v>
      </c>
      <c r="HE46" t="str">
        <f>AND(#REF!,"AAAAAD17X9Q=")</f>
        <v>#REF!</v>
      </c>
      <c r="HF46" t="str">
        <f>AND(#REF!,"AAAAAD17X9U=")</f>
        <v>#REF!</v>
      </c>
      <c r="HG46" t="str">
        <f>AND(#REF!,"AAAAAD17X9Y=")</f>
        <v>#REF!</v>
      </c>
      <c r="HH46" t="str">
        <f>AND(#REF!,"AAAAAD17X9c=")</f>
        <v>#REF!</v>
      </c>
      <c r="HI46" t="str">
        <f>AND(#REF!,"AAAAAD17X9g=")</f>
        <v>#REF!</v>
      </c>
      <c r="HJ46" t="str">
        <f>AND(#REF!,"AAAAAD17X9k=")</f>
        <v>#REF!</v>
      </c>
      <c r="HK46" t="str">
        <f>AND(#REF!,"AAAAAD17X9o=")</f>
        <v>#REF!</v>
      </c>
      <c r="HL46" t="str">
        <f>AND(#REF!,"AAAAAD17X9s=")</f>
        <v>#REF!</v>
      </c>
      <c r="HM46" t="str">
        <f>AND(#REF!,"AAAAAD17X9w=")</f>
        <v>#REF!</v>
      </c>
      <c r="HN46" t="str">
        <f>AND(#REF!,"AAAAAD17X90=")</f>
        <v>#REF!</v>
      </c>
      <c r="HO46" t="str">
        <f>AND(#REF!,"AAAAAD17X94=")</f>
        <v>#REF!</v>
      </c>
      <c r="HP46" t="str">
        <f>AND(#REF!,"AAAAAD17X98=")</f>
        <v>#REF!</v>
      </c>
      <c r="HQ46" t="str">
        <f>AND(#REF!,"AAAAAD17X+A=")</f>
        <v>#REF!</v>
      </c>
      <c r="HR46" t="str">
        <f>AND(#REF!,"AAAAAD17X+E=")</f>
        <v>#REF!</v>
      </c>
      <c r="HS46" t="str">
        <f>AND(#REF!,"AAAAAD17X+I=")</f>
        <v>#REF!</v>
      </c>
      <c r="HT46" t="str">
        <f>AND(#REF!,"AAAAAD17X+M=")</f>
        <v>#REF!</v>
      </c>
      <c r="HU46" t="str">
        <f>AND(#REF!,"AAAAAD17X+Q=")</f>
        <v>#REF!</v>
      </c>
      <c r="HV46" t="str">
        <f>AND(#REF!,"AAAAAD17X+U=")</f>
        <v>#REF!</v>
      </c>
      <c r="HW46" t="str">
        <f>AND(#REF!,"AAAAAD17X+Y=")</f>
        <v>#REF!</v>
      </c>
      <c r="HX46" t="str">
        <f>AND(#REF!,"AAAAAD17X+c=")</f>
        <v>#REF!</v>
      </c>
      <c r="HY46" t="str">
        <f>AND(#REF!,"AAAAAD17X+g=")</f>
        <v>#REF!</v>
      </c>
      <c r="HZ46" t="str">
        <f>AND(#REF!,"AAAAAD17X+k=")</f>
        <v>#REF!</v>
      </c>
      <c r="IA46" t="str">
        <f>AND(#REF!,"AAAAAD17X+o=")</f>
        <v>#REF!</v>
      </c>
      <c r="IB46" t="str">
        <f>AND(#REF!,"AAAAAD17X+s=")</f>
        <v>#REF!</v>
      </c>
      <c r="IC46" t="str">
        <f>AND(#REF!,"AAAAAD17X+w=")</f>
        <v>#REF!</v>
      </c>
      <c r="ID46" t="str">
        <f>AND(#REF!,"AAAAAD17X+0=")</f>
        <v>#REF!</v>
      </c>
      <c r="IE46" t="str">
        <f>AND(#REF!,"AAAAAD17X+4=")</f>
        <v>#REF!</v>
      </c>
      <c r="IF46" t="str">
        <f>AND(#REF!,"AAAAAD17X+8=")</f>
        <v>#REF!</v>
      </c>
      <c r="IG46" t="str">
        <f>AND(#REF!,"AAAAAD17X/A=")</f>
        <v>#REF!</v>
      </c>
      <c r="IH46" t="str">
        <f>AND(#REF!,"AAAAAD17X/E=")</f>
        <v>#REF!</v>
      </c>
      <c r="II46" t="str">
        <f>AND(#REF!,"AAAAAD17X/I=")</f>
        <v>#REF!</v>
      </c>
      <c r="IJ46" t="str">
        <f>AND(#REF!,"AAAAAD17X/M=")</f>
        <v>#REF!</v>
      </c>
      <c r="IK46" t="str">
        <f>AND(#REF!,"AAAAAD17X/Q=")</f>
        <v>#REF!</v>
      </c>
      <c r="IL46" t="str">
        <f>AND(#REF!,"AAAAAD17X/U=")</f>
        <v>#REF!</v>
      </c>
      <c r="IM46" t="str">
        <f>AND(#REF!,"AAAAAD17X/Y=")</f>
        <v>#REF!</v>
      </c>
      <c r="IN46" t="str">
        <f>AND(#REF!,"AAAAAD17X/c=")</f>
        <v>#REF!</v>
      </c>
      <c r="IO46" t="str">
        <f>AND(#REF!,"AAAAAD17X/g=")</f>
        <v>#REF!</v>
      </c>
      <c r="IP46" t="str">
        <f>AND(#REF!,"AAAAAD17X/k=")</f>
        <v>#REF!</v>
      </c>
      <c r="IQ46" t="str">
        <f>AND(#REF!,"AAAAAD17X/o=")</f>
        <v>#REF!</v>
      </c>
      <c r="IR46" t="str">
        <f>AND(#REF!,"AAAAAD17X/s=")</f>
        <v>#REF!</v>
      </c>
      <c r="IS46" t="str">
        <f>AND(#REF!,"AAAAAD17X/w=")</f>
        <v>#REF!</v>
      </c>
      <c r="IT46" t="str">
        <f>IF(#REF!,"AAAAAD17X/0=",0)</f>
        <v>#REF!</v>
      </c>
      <c r="IU46" t="str">
        <f>AND(#REF!,"AAAAAD17X/4=")</f>
        <v>#REF!</v>
      </c>
      <c r="IV46" t="str">
        <f>AND(#REF!,"AAAAAD17X/8=")</f>
        <v>#REF!</v>
      </c>
    </row>
    <row r="47" ht="15.75" customHeight="1">
      <c r="A47" t="str">
        <f>AND(#REF!,"AAAAAH8//wA=")</f>
        <v>#REF!</v>
      </c>
      <c r="B47" t="str">
        <f>AND(#REF!,"AAAAAH8//wE=")</f>
        <v>#REF!</v>
      </c>
      <c r="C47" t="str">
        <f>AND(#REF!,"AAAAAH8//wI=")</f>
        <v>#REF!</v>
      </c>
      <c r="D47" t="str">
        <f>AND(#REF!,"AAAAAH8//wM=")</f>
        <v>#REF!</v>
      </c>
      <c r="E47" t="str">
        <f>AND(#REF!,"AAAAAH8//wQ=")</f>
        <v>#REF!</v>
      </c>
      <c r="F47" t="str">
        <f>AND(#REF!,"AAAAAH8//wU=")</f>
        <v>#REF!</v>
      </c>
      <c r="G47" t="str">
        <f>AND(#REF!,"AAAAAH8//wY=")</f>
        <v>#REF!</v>
      </c>
      <c r="H47" t="str">
        <f>AND(#REF!,"AAAAAH8//wc=")</f>
        <v>#REF!</v>
      </c>
      <c r="I47" t="str">
        <f>AND(#REF!,"AAAAAH8//wg=")</f>
        <v>#REF!</v>
      </c>
      <c r="J47" t="str">
        <f>AND(#REF!,"AAAAAH8//wk=")</f>
        <v>#REF!</v>
      </c>
      <c r="K47" t="str">
        <f>AND(#REF!,"AAAAAH8//wo=")</f>
        <v>#REF!</v>
      </c>
      <c r="L47" t="str">
        <f>AND(#REF!,"AAAAAH8//ws=")</f>
        <v>#REF!</v>
      </c>
      <c r="M47" t="str">
        <f>AND(#REF!,"AAAAAH8//ww=")</f>
        <v>#REF!</v>
      </c>
      <c r="N47" t="str">
        <f>AND(#REF!,"AAAAAH8//w0=")</f>
        <v>#REF!</v>
      </c>
      <c r="O47" t="str">
        <f>AND(#REF!,"AAAAAH8//w4=")</f>
        <v>#REF!</v>
      </c>
      <c r="P47" t="str">
        <f>AND(#REF!,"AAAAAH8//w8=")</f>
        <v>#REF!</v>
      </c>
      <c r="Q47" t="str">
        <f>AND(#REF!,"AAAAAH8//xA=")</f>
        <v>#REF!</v>
      </c>
      <c r="R47" t="str">
        <f>AND(#REF!,"AAAAAH8//xE=")</f>
        <v>#REF!</v>
      </c>
      <c r="S47" t="str">
        <f>AND(#REF!,"AAAAAH8//xI=")</f>
        <v>#REF!</v>
      </c>
      <c r="T47" t="str">
        <f>AND(#REF!,"AAAAAH8//xM=")</f>
        <v>#REF!</v>
      </c>
      <c r="U47" t="str">
        <f>AND(#REF!,"AAAAAH8//xQ=")</f>
        <v>#REF!</v>
      </c>
      <c r="V47" t="str">
        <f>AND(#REF!,"AAAAAH8//xU=")</f>
        <v>#REF!</v>
      </c>
      <c r="W47" t="str">
        <f>AND(#REF!,"AAAAAH8//xY=")</f>
        <v>#REF!</v>
      </c>
      <c r="X47" t="str">
        <f>AND(#REF!,"AAAAAH8//xc=")</f>
        <v>#REF!</v>
      </c>
      <c r="Y47" t="str">
        <f>AND(#REF!,"AAAAAH8//xg=")</f>
        <v>#REF!</v>
      </c>
      <c r="Z47" t="str">
        <f>AND(#REF!,"AAAAAH8//xk=")</f>
        <v>#REF!</v>
      </c>
      <c r="AA47" t="str">
        <f>AND(#REF!,"AAAAAH8//xo=")</f>
        <v>#REF!</v>
      </c>
      <c r="AB47" t="str">
        <f>AND(#REF!,"AAAAAH8//xs=")</f>
        <v>#REF!</v>
      </c>
      <c r="AC47" t="str">
        <f>AND(#REF!,"AAAAAH8//xw=")</f>
        <v>#REF!</v>
      </c>
      <c r="AD47" t="str">
        <f>AND(#REF!,"AAAAAH8//x0=")</f>
        <v>#REF!</v>
      </c>
      <c r="AE47" t="str">
        <f>AND(#REF!,"AAAAAH8//x4=")</f>
        <v>#REF!</v>
      </c>
      <c r="AF47" t="str">
        <f>AND(#REF!,"AAAAAH8//x8=")</f>
        <v>#REF!</v>
      </c>
      <c r="AG47" t="str">
        <f>AND(#REF!,"AAAAAH8//yA=")</f>
        <v>#REF!</v>
      </c>
      <c r="AH47" t="str">
        <f>AND(#REF!,"AAAAAH8//yE=")</f>
        <v>#REF!</v>
      </c>
      <c r="AI47" t="str">
        <f>AND(#REF!,"AAAAAH8//yI=")</f>
        <v>#REF!</v>
      </c>
      <c r="AJ47" t="str">
        <f>AND(#REF!,"AAAAAH8//yM=")</f>
        <v>#REF!</v>
      </c>
      <c r="AK47" t="str">
        <f>AND(#REF!,"AAAAAH8//yQ=")</f>
        <v>#REF!</v>
      </c>
      <c r="AL47" t="str">
        <f>AND(#REF!,"AAAAAH8//yU=")</f>
        <v>#REF!</v>
      </c>
      <c r="AM47" t="str">
        <f>AND(#REF!,"AAAAAH8//yY=")</f>
        <v>#REF!</v>
      </c>
      <c r="AN47" t="str">
        <f>AND(#REF!,"AAAAAH8//yc=")</f>
        <v>#REF!</v>
      </c>
      <c r="AO47" t="str">
        <f>AND(#REF!,"AAAAAH8//yg=")</f>
        <v>#REF!</v>
      </c>
      <c r="AP47" t="str">
        <f>AND(#REF!,"AAAAAH8//yk=")</f>
        <v>#REF!</v>
      </c>
      <c r="AQ47" t="str">
        <f>AND(#REF!,"AAAAAH8//yo=")</f>
        <v>#REF!</v>
      </c>
      <c r="AR47" t="str">
        <f>AND(#REF!,"AAAAAH8//ys=")</f>
        <v>#REF!</v>
      </c>
      <c r="AS47" t="str">
        <f>AND(#REF!,"AAAAAH8//yw=")</f>
        <v>#REF!</v>
      </c>
      <c r="AT47" t="str">
        <f>AND(#REF!,"AAAAAH8//y0=")</f>
        <v>#REF!</v>
      </c>
      <c r="AU47" t="str">
        <f>AND(#REF!,"AAAAAH8//y4=")</f>
        <v>#REF!</v>
      </c>
      <c r="AV47" t="str">
        <f>AND(#REF!,"AAAAAH8//y8=")</f>
        <v>#REF!</v>
      </c>
      <c r="AW47" t="str">
        <f>AND(#REF!,"AAAAAH8//zA=")</f>
        <v>#REF!</v>
      </c>
      <c r="AX47" t="str">
        <f>AND(#REF!,"AAAAAH8//zE=")</f>
        <v>#REF!</v>
      </c>
      <c r="AY47" t="str">
        <f>AND(#REF!,"AAAAAH8//zI=")</f>
        <v>#REF!</v>
      </c>
      <c r="AZ47" t="str">
        <f>AND(#REF!,"AAAAAH8//zM=")</f>
        <v>#REF!</v>
      </c>
      <c r="BA47" t="str">
        <f>AND(#REF!,"AAAAAH8//zQ=")</f>
        <v>#REF!</v>
      </c>
      <c r="BB47" t="str">
        <f>AND(#REF!,"AAAAAH8//zU=")</f>
        <v>#REF!</v>
      </c>
      <c r="BC47" t="str">
        <f>AND(#REF!,"AAAAAH8//zY=")</f>
        <v>#REF!</v>
      </c>
      <c r="BD47" t="str">
        <f>AND(#REF!,"AAAAAH8//zc=")</f>
        <v>#REF!</v>
      </c>
      <c r="BE47" t="str">
        <f>AND(#REF!,"AAAAAH8//zg=")</f>
        <v>#REF!</v>
      </c>
      <c r="BF47" t="str">
        <f>AND(#REF!,"AAAAAH8//zk=")</f>
        <v>#REF!</v>
      </c>
      <c r="BG47" t="str">
        <f>AND(#REF!,"AAAAAH8//zo=")</f>
        <v>#REF!</v>
      </c>
      <c r="BH47" t="str">
        <f>AND(#REF!,"AAAAAH8//zs=")</f>
        <v>#REF!</v>
      </c>
      <c r="BI47" t="str">
        <f>AND(#REF!,"AAAAAH8//zw=")</f>
        <v>#REF!</v>
      </c>
      <c r="BJ47" t="str">
        <f>AND(#REF!,"AAAAAH8//z0=")</f>
        <v>#REF!</v>
      </c>
      <c r="BK47" t="str">
        <f>AND(#REF!,"AAAAAH8//z4=")</f>
        <v>#REF!</v>
      </c>
      <c r="BL47" t="str">
        <f>AND(#REF!,"AAAAAH8//z8=")</f>
        <v>#REF!</v>
      </c>
      <c r="BM47" t="str">
        <f>AND(#REF!,"AAAAAH8//0A=")</f>
        <v>#REF!</v>
      </c>
      <c r="BN47" t="str">
        <f>AND(#REF!,"AAAAAH8//0E=")</f>
        <v>#REF!</v>
      </c>
      <c r="BO47" t="str">
        <f>AND(#REF!,"AAAAAH8//0I=")</f>
        <v>#REF!</v>
      </c>
      <c r="BP47" t="str">
        <f>AND(#REF!,"AAAAAH8//0M=")</f>
        <v>#REF!</v>
      </c>
      <c r="BQ47" t="str">
        <f>AND(#REF!,"AAAAAH8//0Q=")</f>
        <v>#REF!</v>
      </c>
      <c r="BR47" t="str">
        <f>AND(#REF!,"AAAAAH8//0U=")</f>
        <v>#REF!</v>
      </c>
      <c r="BS47" t="str">
        <f>AND(#REF!,"AAAAAH8//0Y=")</f>
        <v>#REF!</v>
      </c>
      <c r="BT47" t="str">
        <f>AND(#REF!,"AAAAAH8//0c=")</f>
        <v>#REF!</v>
      </c>
      <c r="BU47" t="str">
        <f>AND(#REF!,"AAAAAH8//0g=")</f>
        <v>#REF!</v>
      </c>
      <c r="BV47" t="str">
        <f>IF(#REF!,"AAAAAH8//0k=",0)</f>
        <v>#REF!</v>
      </c>
      <c r="BW47" t="str">
        <f>AND(#REF!,"AAAAAH8//0o=")</f>
        <v>#REF!</v>
      </c>
      <c r="BX47" t="str">
        <f>AND(#REF!,"AAAAAH8//0s=")</f>
        <v>#REF!</v>
      </c>
      <c r="BY47" t="str">
        <f>AND(#REF!,"AAAAAH8//0w=")</f>
        <v>#REF!</v>
      </c>
      <c r="BZ47" t="str">
        <f>AND(#REF!,"AAAAAH8//00=")</f>
        <v>#REF!</v>
      </c>
      <c r="CA47" t="str">
        <f>AND(#REF!,"AAAAAH8//04=")</f>
        <v>#REF!</v>
      </c>
      <c r="CB47" t="str">
        <f>AND(#REF!,"AAAAAH8//08=")</f>
        <v>#REF!</v>
      </c>
      <c r="CC47" t="str">
        <f>AND(#REF!,"AAAAAH8//1A=")</f>
        <v>#REF!</v>
      </c>
      <c r="CD47" t="str">
        <f>AND(#REF!,"AAAAAH8//1E=")</f>
        <v>#REF!</v>
      </c>
      <c r="CE47" t="str">
        <f>AND(#REF!,"AAAAAH8//1I=")</f>
        <v>#REF!</v>
      </c>
      <c r="CF47" t="str">
        <f>AND(#REF!,"AAAAAH8//1M=")</f>
        <v>#REF!</v>
      </c>
      <c r="CG47" t="str">
        <f>AND(#REF!,"AAAAAH8//1Q=")</f>
        <v>#REF!</v>
      </c>
      <c r="CH47" t="str">
        <f>AND(#REF!,"AAAAAH8//1U=")</f>
        <v>#REF!</v>
      </c>
      <c r="CI47" t="str">
        <f>AND(#REF!,"AAAAAH8//1Y=")</f>
        <v>#REF!</v>
      </c>
      <c r="CJ47" t="str">
        <f>AND(#REF!,"AAAAAH8//1c=")</f>
        <v>#REF!</v>
      </c>
      <c r="CK47" t="str">
        <f>AND(#REF!,"AAAAAH8//1g=")</f>
        <v>#REF!</v>
      </c>
      <c r="CL47" t="str">
        <f>AND(#REF!,"AAAAAH8//1k=")</f>
        <v>#REF!</v>
      </c>
      <c r="CM47" t="str">
        <f>AND(#REF!,"AAAAAH8//1o=")</f>
        <v>#REF!</v>
      </c>
      <c r="CN47" t="str">
        <f>AND(#REF!,"AAAAAH8//1s=")</f>
        <v>#REF!</v>
      </c>
      <c r="CO47" t="str">
        <f>AND(#REF!,"AAAAAH8//1w=")</f>
        <v>#REF!</v>
      </c>
      <c r="CP47" t="str">
        <f>AND(#REF!,"AAAAAH8//10=")</f>
        <v>#REF!</v>
      </c>
      <c r="CQ47" t="str">
        <f>AND(#REF!,"AAAAAH8//14=")</f>
        <v>#REF!</v>
      </c>
      <c r="CR47" t="str">
        <f>AND(#REF!,"AAAAAH8//18=")</f>
        <v>#REF!</v>
      </c>
      <c r="CS47" t="str">
        <f>AND(#REF!,"AAAAAH8//2A=")</f>
        <v>#REF!</v>
      </c>
      <c r="CT47" t="str">
        <f>AND(#REF!,"AAAAAH8//2E=")</f>
        <v>#REF!</v>
      </c>
      <c r="CU47" t="str">
        <f>AND(#REF!,"AAAAAH8//2I=")</f>
        <v>#REF!</v>
      </c>
      <c r="CV47" t="str">
        <f>AND(#REF!,"AAAAAH8//2M=")</f>
        <v>#REF!</v>
      </c>
      <c r="CW47" t="str">
        <f>AND(#REF!,"AAAAAH8//2Q=")</f>
        <v>#REF!</v>
      </c>
      <c r="CX47" t="str">
        <f>AND(#REF!,"AAAAAH8//2U=")</f>
        <v>#REF!</v>
      </c>
      <c r="CY47" t="str">
        <f>AND(#REF!,"AAAAAH8//2Y=")</f>
        <v>#REF!</v>
      </c>
      <c r="CZ47" t="str">
        <f>AND(#REF!,"AAAAAH8//2c=")</f>
        <v>#REF!</v>
      </c>
      <c r="DA47" t="str">
        <f>AND(#REF!,"AAAAAH8//2g=")</f>
        <v>#REF!</v>
      </c>
      <c r="DB47" t="str">
        <f>AND(#REF!,"AAAAAH8//2k=")</f>
        <v>#REF!</v>
      </c>
      <c r="DC47" t="str">
        <f>AND(#REF!,"AAAAAH8//2o=")</f>
        <v>#REF!</v>
      </c>
      <c r="DD47" t="str">
        <f>AND(#REF!,"AAAAAH8//2s=")</f>
        <v>#REF!</v>
      </c>
      <c r="DE47" t="str">
        <f>AND(#REF!,"AAAAAH8//2w=")</f>
        <v>#REF!</v>
      </c>
      <c r="DF47" t="str">
        <f>AND(#REF!,"AAAAAH8//20=")</f>
        <v>#REF!</v>
      </c>
      <c r="DG47" t="str">
        <f>AND(#REF!,"AAAAAH8//24=")</f>
        <v>#REF!</v>
      </c>
      <c r="DH47" t="str">
        <f>AND(#REF!,"AAAAAH8//28=")</f>
        <v>#REF!</v>
      </c>
      <c r="DI47" t="str">
        <f>AND(#REF!,"AAAAAH8//3A=")</f>
        <v>#REF!</v>
      </c>
      <c r="DJ47" t="str">
        <f>AND(#REF!,"AAAAAH8//3E=")</f>
        <v>#REF!</v>
      </c>
      <c r="DK47" t="str">
        <f>AND(#REF!,"AAAAAH8//3I=")</f>
        <v>#REF!</v>
      </c>
      <c r="DL47" t="str">
        <f>AND(#REF!,"AAAAAH8//3M=")</f>
        <v>#REF!</v>
      </c>
      <c r="DM47" t="str">
        <f>AND(#REF!,"AAAAAH8//3Q=")</f>
        <v>#REF!</v>
      </c>
      <c r="DN47" t="str">
        <f>AND(#REF!,"AAAAAH8//3U=")</f>
        <v>#REF!</v>
      </c>
      <c r="DO47" t="str">
        <f>AND(#REF!,"AAAAAH8//3Y=")</f>
        <v>#REF!</v>
      </c>
      <c r="DP47" t="str">
        <f>AND(#REF!,"AAAAAH8//3c=")</f>
        <v>#REF!</v>
      </c>
      <c r="DQ47" t="str">
        <f>AND(#REF!,"AAAAAH8//3g=")</f>
        <v>#REF!</v>
      </c>
      <c r="DR47" t="str">
        <f>AND(#REF!,"AAAAAH8//3k=")</f>
        <v>#REF!</v>
      </c>
      <c r="DS47" t="str">
        <f>AND(#REF!,"AAAAAH8//3o=")</f>
        <v>#REF!</v>
      </c>
      <c r="DT47" t="str">
        <f>AND(#REF!,"AAAAAH8//3s=")</f>
        <v>#REF!</v>
      </c>
      <c r="DU47" t="str">
        <f>AND(#REF!,"AAAAAH8//3w=")</f>
        <v>#REF!</v>
      </c>
      <c r="DV47" t="str">
        <f>AND(#REF!,"AAAAAH8//30=")</f>
        <v>#REF!</v>
      </c>
      <c r="DW47" t="str">
        <f>AND(#REF!,"AAAAAH8//34=")</f>
        <v>#REF!</v>
      </c>
      <c r="DX47" t="str">
        <f>AND(#REF!,"AAAAAH8//38=")</f>
        <v>#REF!</v>
      </c>
      <c r="DY47" t="str">
        <f>AND(#REF!,"AAAAAH8//4A=")</f>
        <v>#REF!</v>
      </c>
      <c r="DZ47" t="str">
        <f>AND(#REF!,"AAAAAH8//4E=")</f>
        <v>#REF!</v>
      </c>
      <c r="EA47" t="str">
        <f>AND(#REF!,"AAAAAH8//4I=")</f>
        <v>#REF!</v>
      </c>
      <c r="EB47" t="str">
        <f>AND(#REF!,"AAAAAH8//4M=")</f>
        <v>#REF!</v>
      </c>
      <c r="EC47" t="str">
        <f>AND(#REF!,"AAAAAH8//4Q=")</f>
        <v>#REF!</v>
      </c>
      <c r="ED47" t="str">
        <f>AND(#REF!,"AAAAAH8//4U=")</f>
        <v>#REF!</v>
      </c>
      <c r="EE47" t="str">
        <f>AND(#REF!,"AAAAAH8//4Y=")</f>
        <v>#REF!</v>
      </c>
      <c r="EF47" t="str">
        <f>AND(#REF!,"AAAAAH8//4c=")</f>
        <v>#REF!</v>
      </c>
      <c r="EG47" t="str">
        <f>AND(#REF!,"AAAAAH8//4g=")</f>
        <v>#REF!</v>
      </c>
      <c r="EH47" t="str">
        <f>AND(#REF!,"AAAAAH8//4k=")</f>
        <v>#REF!</v>
      </c>
      <c r="EI47" t="str">
        <f>AND(#REF!,"AAAAAH8//4o=")</f>
        <v>#REF!</v>
      </c>
      <c r="EJ47" t="str">
        <f>AND(#REF!,"AAAAAH8//4s=")</f>
        <v>#REF!</v>
      </c>
      <c r="EK47" t="str">
        <f>AND(#REF!,"AAAAAH8//4w=")</f>
        <v>#REF!</v>
      </c>
      <c r="EL47" t="str">
        <f>AND(#REF!,"AAAAAH8//40=")</f>
        <v>#REF!</v>
      </c>
      <c r="EM47" t="str">
        <f>AND(#REF!,"AAAAAH8//44=")</f>
        <v>#REF!</v>
      </c>
      <c r="EN47" t="str">
        <f>AND(#REF!,"AAAAAH8//48=")</f>
        <v>#REF!</v>
      </c>
      <c r="EO47" t="str">
        <f>AND(#REF!,"AAAAAH8//5A=")</f>
        <v>#REF!</v>
      </c>
      <c r="EP47" t="str">
        <f>AND(#REF!,"AAAAAH8//5E=")</f>
        <v>#REF!</v>
      </c>
      <c r="EQ47" t="str">
        <f>AND(#REF!,"AAAAAH8//5I=")</f>
        <v>#REF!</v>
      </c>
      <c r="ER47" t="str">
        <f>AND(#REF!,"AAAAAH8//5M=")</f>
        <v>#REF!</v>
      </c>
      <c r="ES47" t="str">
        <f>AND(#REF!,"AAAAAH8//5Q=")</f>
        <v>#REF!</v>
      </c>
      <c r="ET47" t="str">
        <f>IF(#REF!,"AAAAAH8//5U=",0)</f>
        <v>#REF!</v>
      </c>
      <c r="EU47" t="str">
        <f>AND(#REF!,"AAAAAH8//5Y=")</f>
        <v>#REF!</v>
      </c>
      <c r="EV47" t="str">
        <f>AND(#REF!,"AAAAAH8//5c=")</f>
        <v>#REF!</v>
      </c>
      <c r="EW47" t="str">
        <f>AND(#REF!,"AAAAAH8//5g=")</f>
        <v>#REF!</v>
      </c>
      <c r="EX47" t="str">
        <f>AND(#REF!,"AAAAAH8//5k=")</f>
        <v>#REF!</v>
      </c>
      <c r="EY47" t="str">
        <f>AND(#REF!,"AAAAAH8//5o=")</f>
        <v>#REF!</v>
      </c>
      <c r="EZ47" t="str">
        <f>AND(#REF!,"AAAAAH8//5s=")</f>
        <v>#REF!</v>
      </c>
      <c r="FA47" t="str">
        <f>AND(#REF!,"AAAAAH8//5w=")</f>
        <v>#REF!</v>
      </c>
      <c r="FB47" t="str">
        <f>AND(#REF!,"AAAAAH8//50=")</f>
        <v>#REF!</v>
      </c>
      <c r="FC47" t="str">
        <f>AND(#REF!,"AAAAAH8//54=")</f>
        <v>#REF!</v>
      </c>
      <c r="FD47" t="str">
        <f>AND(#REF!,"AAAAAH8//58=")</f>
        <v>#REF!</v>
      </c>
      <c r="FE47" t="str">
        <f>AND(#REF!,"AAAAAH8//6A=")</f>
        <v>#REF!</v>
      </c>
      <c r="FF47" t="str">
        <f>AND(#REF!,"AAAAAH8//6E=")</f>
        <v>#REF!</v>
      </c>
      <c r="FG47" t="str">
        <f>AND(#REF!,"AAAAAH8//6I=")</f>
        <v>#REF!</v>
      </c>
      <c r="FH47" t="str">
        <f>AND(#REF!,"AAAAAH8//6M=")</f>
        <v>#REF!</v>
      </c>
      <c r="FI47" t="str">
        <f>AND(#REF!,"AAAAAH8//6Q=")</f>
        <v>#REF!</v>
      </c>
      <c r="FJ47" t="str">
        <f>AND(#REF!,"AAAAAH8//6U=")</f>
        <v>#REF!</v>
      </c>
      <c r="FK47" t="str">
        <f>AND(#REF!,"AAAAAH8//6Y=")</f>
        <v>#REF!</v>
      </c>
      <c r="FL47" t="str">
        <f>AND(#REF!,"AAAAAH8//6c=")</f>
        <v>#REF!</v>
      </c>
      <c r="FM47" t="str">
        <f>AND(#REF!,"AAAAAH8//6g=")</f>
        <v>#REF!</v>
      </c>
      <c r="FN47" t="str">
        <f>AND(#REF!,"AAAAAH8//6k=")</f>
        <v>#REF!</v>
      </c>
      <c r="FO47" t="str">
        <f>AND(#REF!,"AAAAAH8//6o=")</f>
        <v>#REF!</v>
      </c>
      <c r="FP47" t="str">
        <f>AND(#REF!,"AAAAAH8//6s=")</f>
        <v>#REF!</v>
      </c>
      <c r="FQ47" t="str">
        <f>AND(#REF!,"AAAAAH8//6w=")</f>
        <v>#REF!</v>
      </c>
      <c r="FR47" t="str">
        <f>AND(#REF!,"AAAAAH8//60=")</f>
        <v>#REF!</v>
      </c>
      <c r="FS47" t="str">
        <f>AND(#REF!,"AAAAAH8//64=")</f>
        <v>#REF!</v>
      </c>
      <c r="FT47" t="str">
        <f>AND(#REF!,"AAAAAH8//68=")</f>
        <v>#REF!</v>
      </c>
      <c r="FU47" t="str">
        <f>AND(#REF!,"AAAAAH8//7A=")</f>
        <v>#REF!</v>
      </c>
      <c r="FV47" t="str">
        <f>AND(#REF!,"AAAAAH8//7E=")</f>
        <v>#REF!</v>
      </c>
      <c r="FW47" t="str">
        <f>AND(#REF!,"AAAAAH8//7I=")</f>
        <v>#REF!</v>
      </c>
      <c r="FX47" t="str">
        <f>AND(#REF!,"AAAAAH8//7M=")</f>
        <v>#REF!</v>
      </c>
      <c r="FY47" t="str">
        <f>AND(#REF!,"AAAAAH8//7Q=")</f>
        <v>#REF!</v>
      </c>
      <c r="FZ47" t="str">
        <f>AND(#REF!,"AAAAAH8//7U=")</f>
        <v>#REF!</v>
      </c>
      <c r="GA47" t="str">
        <f>AND(#REF!,"AAAAAH8//7Y=")</f>
        <v>#REF!</v>
      </c>
      <c r="GB47" t="str">
        <f>AND(#REF!,"AAAAAH8//7c=")</f>
        <v>#REF!</v>
      </c>
      <c r="GC47" t="str">
        <f>AND(#REF!,"AAAAAH8//7g=")</f>
        <v>#REF!</v>
      </c>
      <c r="GD47" t="str">
        <f>AND(#REF!,"AAAAAH8//7k=")</f>
        <v>#REF!</v>
      </c>
      <c r="GE47" t="str">
        <f>AND(#REF!,"AAAAAH8//7o=")</f>
        <v>#REF!</v>
      </c>
      <c r="GF47" t="str">
        <f>AND(#REF!,"AAAAAH8//7s=")</f>
        <v>#REF!</v>
      </c>
      <c r="GG47" t="str">
        <f>AND(#REF!,"AAAAAH8//7w=")</f>
        <v>#REF!</v>
      </c>
      <c r="GH47" t="str">
        <f>AND(#REF!,"AAAAAH8//70=")</f>
        <v>#REF!</v>
      </c>
      <c r="GI47" t="str">
        <f>AND(#REF!,"AAAAAH8//74=")</f>
        <v>#REF!</v>
      </c>
      <c r="GJ47" t="str">
        <f>AND(#REF!,"AAAAAH8//78=")</f>
        <v>#REF!</v>
      </c>
      <c r="GK47" t="str">
        <f>AND(#REF!,"AAAAAH8//8A=")</f>
        <v>#REF!</v>
      </c>
      <c r="GL47" t="str">
        <f>AND(#REF!,"AAAAAH8//8E=")</f>
        <v>#REF!</v>
      </c>
      <c r="GM47" t="str">
        <f>AND(#REF!,"AAAAAH8//8I=")</f>
        <v>#REF!</v>
      </c>
      <c r="GN47" t="str">
        <f>AND(#REF!,"AAAAAH8//8M=")</f>
        <v>#REF!</v>
      </c>
      <c r="GO47" t="str">
        <f>AND(#REF!,"AAAAAH8//8Q=")</f>
        <v>#REF!</v>
      </c>
      <c r="GP47" t="str">
        <f>AND(#REF!,"AAAAAH8//8U=")</f>
        <v>#REF!</v>
      </c>
      <c r="GQ47" t="str">
        <f>AND(#REF!,"AAAAAH8//8Y=")</f>
        <v>#REF!</v>
      </c>
      <c r="GR47" t="str">
        <f>AND(#REF!,"AAAAAH8//8c=")</f>
        <v>#REF!</v>
      </c>
      <c r="GS47" t="str">
        <f>AND(#REF!,"AAAAAH8//8g=")</f>
        <v>#REF!</v>
      </c>
      <c r="GT47" t="str">
        <f>AND(#REF!,"AAAAAH8//8k=")</f>
        <v>#REF!</v>
      </c>
      <c r="GU47" t="str">
        <f>AND(#REF!,"AAAAAH8//8o=")</f>
        <v>#REF!</v>
      </c>
      <c r="GV47" t="str">
        <f>AND(#REF!,"AAAAAH8//8s=")</f>
        <v>#REF!</v>
      </c>
      <c r="GW47" t="str">
        <f>AND(#REF!,"AAAAAH8//8w=")</f>
        <v>#REF!</v>
      </c>
      <c r="GX47" t="str">
        <f>AND(#REF!,"AAAAAH8//80=")</f>
        <v>#REF!</v>
      </c>
      <c r="GY47" t="str">
        <f>AND(#REF!,"AAAAAH8//84=")</f>
        <v>#REF!</v>
      </c>
      <c r="GZ47" t="str">
        <f>AND(#REF!,"AAAAAH8//88=")</f>
        <v>#REF!</v>
      </c>
      <c r="HA47" t="str">
        <f>AND(#REF!,"AAAAAH8//9A=")</f>
        <v>#REF!</v>
      </c>
      <c r="HB47" t="str">
        <f>AND(#REF!,"AAAAAH8//9E=")</f>
        <v>#REF!</v>
      </c>
      <c r="HC47" t="str">
        <f>AND(#REF!,"AAAAAH8//9I=")</f>
        <v>#REF!</v>
      </c>
      <c r="HD47" t="str">
        <f>AND(#REF!,"AAAAAH8//9M=")</f>
        <v>#REF!</v>
      </c>
      <c r="HE47" t="str">
        <f>AND(#REF!,"AAAAAH8//9Q=")</f>
        <v>#REF!</v>
      </c>
      <c r="HF47" t="str">
        <f>AND(#REF!,"AAAAAH8//9U=")</f>
        <v>#REF!</v>
      </c>
      <c r="HG47" t="str">
        <f>AND(#REF!,"AAAAAH8//9Y=")</f>
        <v>#REF!</v>
      </c>
      <c r="HH47" t="str">
        <f>AND(#REF!,"AAAAAH8//9c=")</f>
        <v>#REF!</v>
      </c>
      <c r="HI47" t="str">
        <f>AND(#REF!,"AAAAAH8//9g=")</f>
        <v>#REF!</v>
      </c>
      <c r="HJ47" t="str">
        <f>AND(#REF!,"AAAAAH8//9k=")</f>
        <v>#REF!</v>
      </c>
      <c r="HK47" t="str">
        <f>AND(#REF!,"AAAAAH8//9o=")</f>
        <v>#REF!</v>
      </c>
      <c r="HL47" t="str">
        <f>AND(#REF!,"AAAAAH8//9s=")</f>
        <v>#REF!</v>
      </c>
      <c r="HM47" t="str">
        <f>AND(#REF!,"AAAAAH8//9w=")</f>
        <v>#REF!</v>
      </c>
      <c r="HN47" t="str">
        <f>AND(#REF!,"AAAAAH8//90=")</f>
        <v>#REF!</v>
      </c>
      <c r="HO47" t="str">
        <f>AND(#REF!,"AAAAAH8//94=")</f>
        <v>#REF!</v>
      </c>
      <c r="HP47" t="str">
        <f>AND(#REF!,"AAAAAH8//98=")</f>
        <v>#REF!</v>
      </c>
      <c r="HQ47" t="str">
        <f>AND(#REF!,"AAAAAH8//+A=")</f>
        <v>#REF!</v>
      </c>
      <c r="HR47" t="str">
        <f>IF(#REF!,"AAAAAH8//+E=",0)</f>
        <v>#REF!</v>
      </c>
      <c r="HS47" t="str">
        <f>AND(#REF!,"AAAAAH8//+I=")</f>
        <v>#REF!</v>
      </c>
      <c r="HT47" t="str">
        <f>AND(#REF!,"AAAAAH8//+M=")</f>
        <v>#REF!</v>
      </c>
      <c r="HU47" t="str">
        <f>AND(#REF!,"AAAAAH8//+Q=")</f>
        <v>#REF!</v>
      </c>
      <c r="HV47" t="str">
        <f>AND(#REF!,"AAAAAH8//+U=")</f>
        <v>#REF!</v>
      </c>
      <c r="HW47" t="str">
        <f>AND(#REF!,"AAAAAH8//+Y=")</f>
        <v>#REF!</v>
      </c>
      <c r="HX47" t="str">
        <f>AND(#REF!,"AAAAAH8//+c=")</f>
        <v>#REF!</v>
      </c>
      <c r="HY47" t="str">
        <f>AND(#REF!,"AAAAAH8//+g=")</f>
        <v>#REF!</v>
      </c>
      <c r="HZ47" t="str">
        <f>AND(#REF!,"AAAAAH8//+k=")</f>
        <v>#REF!</v>
      </c>
      <c r="IA47" t="str">
        <f>AND(#REF!,"AAAAAH8//+o=")</f>
        <v>#REF!</v>
      </c>
      <c r="IB47" t="str">
        <f>AND(#REF!,"AAAAAH8//+s=")</f>
        <v>#REF!</v>
      </c>
      <c r="IC47" t="str">
        <f>AND(#REF!,"AAAAAH8//+w=")</f>
        <v>#REF!</v>
      </c>
      <c r="ID47" t="str">
        <f>AND(#REF!,"AAAAAH8//+0=")</f>
        <v>#REF!</v>
      </c>
      <c r="IE47" t="str">
        <f>AND(#REF!,"AAAAAH8//+4=")</f>
        <v>#REF!</v>
      </c>
      <c r="IF47" t="str">
        <f>AND(#REF!,"AAAAAH8//+8=")</f>
        <v>#REF!</v>
      </c>
      <c r="IG47" t="str">
        <f>AND(#REF!,"AAAAAH8///A=")</f>
        <v>#REF!</v>
      </c>
      <c r="IH47" t="str">
        <f>AND(#REF!,"AAAAAH8///E=")</f>
        <v>#REF!</v>
      </c>
      <c r="II47" t="str">
        <f>AND(#REF!,"AAAAAH8///I=")</f>
        <v>#REF!</v>
      </c>
      <c r="IJ47" t="str">
        <f>AND(#REF!,"AAAAAH8///M=")</f>
        <v>#REF!</v>
      </c>
      <c r="IK47" t="str">
        <f>AND(#REF!,"AAAAAH8///Q=")</f>
        <v>#REF!</v>
      </c>
      <c r="IL47" t="str">
        <f>AND(#REF!,"AAAAAH8///U=")</f>
        <v>#REF!</v>
      </c>
      <c r="IM47" t="str">
        <f>AND(#REF!,"AAAAAH8///Y=")</f>
        <v>#REF!</v>
      </c>
      <c r="IN47" t="str">
        <f>AND(#REF!,"AAAAAH8///c=")</f>
        <v>#REF!</v>
      </c>
      <c r="IO47" t="str">
        <f>AND(#REF!,"AAAAAH8///g=")</f>
        <v>#REF!</v>
      </c>
      <c r="IP47" t="str">
        <f>AND(#REF!,"AAAAAH8///k=")</f>
        <v>#REF!</v>
      </c>
      <c r="IQ47" t="str">
        <f>AND(#REF!,"AAAAAH8///o=")</f>
        <v>#REF!</v>
      </c>
      <c r="IR47" t="str">
        <f>AND(#REF!,"AAAAAH8///s=")</f>
        <v>#REF!</v>
      </c>
      <c r="IS47" t="str">
        <f>AND(#REF!,"AAAAAH8///w=")</f>
        <v>#REF!</v>
      </c>
      <c r="IT47" t="str">
        <f>AND(#REF!,"AAAAAH8///0=")</f>
        <v>#REF!</v>
      </c>
      <c r="IU47" t="str">
        <f>AND(#REF!,"AAAAAH8///4=")</f>
        <v>#REF!</v>
      </c>
      <c r="IV47" t="str">
        <f>AND(#REF!,"AAAAAH8///8=")</f>
        <v>#REF!</v>
      </c>
    </row>
    <row r="48" ht="15.75" customHeight="1">
      <c r="A48" t="str">
        <f>AND(#REF!,"AAAAAG9WowA=")</f>
        <v>#REF!</v>
      </c>
      <c r="B48" t="str">
        <f>AND(#REF!,"AAAAAG9WowE=")</f>
        <v>#REF!</v>
      </c>
      <c r="C48" t="str">
        <f>AND(#REF!,"AAAAAG9WowI=")</f>
        <v>#REF!</v>
      </c>
      <c r="D48" t="str">
        <f>AND(#REF!,"AAAAAG9WowM=")</f>
        <v>#REF!</v>
      </c>
      <c r="E48" t="str">
        <f>AND(#REF!,"AAAAAG9WowQ=")</f>
        <v>#REF!</v>
      </c>
      <c r="F48" t="str">
        <f>AND(#REF!,"AAAAAG9WowU=")</f>
        <v>#REF!</v>
      </c>
      <c r="G48" t="str">
        <f>AND(#REF!,"AAAAAG9WowY=")</f>
        <v>#REF!</v>
      </c>
      <c r="H48" t="str">
        <f>AND(#REF!,"AAAAAG9Wowc=")</f>
        <v>#REF!</v>
      </c>
      <c r="I48" t="str">
        <f>AND(#REF!,"AAAAAG9Wowg=")</f>
        <v>#REF!</v>
      </c>
      <c r="J48" t="str">
        <f>AND(#REF!,"AAAAAG9Wowk=")</f>
        <v>#REF!</v>
      </c>
      <c r="K48" t="str">
        <f>AND(#REF!,"AAAAAG9Wowo=")</f>
        <v>#REF!</v>
      </c>
      <c r="L48" t="str">
        <f>AND(#REF!,"AAAAAG9Wows=")</f>
        <v>#REF!</v>
      </c>
      <c r="M48" t="str">
        <f>AND(#REF!,"AAAAAG9Woww=")</f>
        <v>#REF!</v>
      </c>
      <c r="N48" t="str">
        <f>AND(#REF!,"AAAAAG9Wow0=")</f>
        <v>#REF!</v>
      </c>
      <c r="O48" t="str">
        <f>AND(#REF!,"AAAAAG9Wow4=")</f>
        <v>#REF!</v>
      </c>
      <c r="P48" t="str">
        <f>AND(#REF!,"AAAAAG9Wow8=")</f>
        <v>#REF!</v>
      </c>
      <c r="Q48" t="str">
        <f>AND(#REF!,"AAAAAG9WoxA=")</f>
        <v>#REF!</v>
      </c>
      <c r="R48" t="str">
        <f>AND(#REF!,"AAAAAG9WoxE=")</f>
        <v>#REF!</v>
      </c>
      <c r="S48" t="str">
        <f>AND(#REF!,"AAAAAG9WoxI=")</f>
        <v>#REF!</v>
      </c>
      <c r="T48" t="str">
        <f>AND(#REF!,"AAAAAG9WoxM=")</f>
        <v>#REF!</v>
      </c>
      <c r="U48" t="str">
        <f>AND(#REF!,"AAAAAG9WoxQ=")</f>
        <v>#REF!</v>
      </c>
      <c r="V48" t="str">
        <f>AND(#REF!,"AAAAAG9WoxU=")</f>
        <v>#REF!</v>
      </c>
      <c r="W48" t="str">
        <f>AND(#REF!,"AAAAAG9WoxY=")</f>
        <v>#REF!</v>
      </c>
      <c r="X48" t="str">
        <f>AND(#REF!,"AAAAAG9Woxc=")</f>
        <v>#REF!</v>
      </c>
      <c r="Y48" t="str">
        <f>AND(#REF!,"AAAAAG9Woxg=")</f>
        <v>#REF!</v>
      </c>
      <c r="Z48" t="str">
        <f>AND(#REF!,"AAAAAG9Woxk=")</f>
        <v>#REF!</v>
      </c>
      <c r="AA48" t="str">
        <f>AND(#REF!,"AAAAAG9Woxo=")</f>
        <v>#REF!</v>
      </c>
      <c r="AB48" t="str">
        <f>AND(#REF!,"AAAAAG9Woxs=")</f>
        <v>#REF!</v>
      </c>
      <c r="AC48" t="str">
        <f>AND(#REF!,"AAAAAG9Woxw=")</f>
        <v>#REF!</v>
      </c>
      <c r="AD48" t="str">
        <f>AND(#REF!,"AAAAAG9Wox0=")</f>
        <v>#REF!</v>
      </c>
      <c r="AE48" t="str">
        <f>AND(#REF!,"AAAAAG9Wox4=")</f>
        <v>#REF!</v>
      </c>
      <c r="AF48" t="str">
        <f>AND(#REF!,"AAAAAG9Wox8=")</f>
        <v>#REF!</v>
      </c>
      <c r="AG48" t="str">
        <f>AND(#REF!,"AAAAAG9WoyA=")</f>
        <v>#REF!</v>
      </c>
      <c r="AH48" t="str">
        <f>AND(#REF!,"AAAAAG9WoyE=")</f>
        <v>#REF!</v>
      </c>
      <c r="AI48" t="str">
        <f>AND(#REF!,"AAAAAG9WoyI=")</f>
        <v>#REF!</v>
      </c>
      <c r="AJ48" t="str">
        <f>AND(#REF!,"AAAAAG9WoyM=")</f>
        <v>#REF!</v>
      </c>
      <c r="AK48" t="str">
        <f>AND(#REF!,"AAAAAG9WoyQ=")</f>
        <v>#REF!</v>
      </c>
      <c r="AL48" t="str">
        <f>AND(#REF!,"AAAAAG9WoyU=")</f>
        <v>#REF!</v>
      </c>
      <c r="AM48" t="str">
        <f>AND(#REF!,"AAAAAG9WoyY=")</f>
        <v>#REF!</v>
      </c>
      <c r="AN48" t="str">
        <f>AND(#REF!,"AAAAAG9Woyc=")</f>
        <v>#REF!</v>
      </c>
      <c r="AO48" t="str">
        <f>AND(#REF!,"AAAAAG9Woyg=")</f>
        <v>#REF!</v>
      </c>
      <c r="AP48" t="str">
        <f>AND(#REF!,"AAAAAG9Woyk=")</f>
        <v>#REF!</v>
      </c>
      <c r="AQ48" t="str">
        <f>AND(#REF!,"AAAAAG9Woyo=")</f>
        <v>#REF!</v>
      </c>
      <c r="AR48" t="str">
        <f>AND(#REF!,"AAAAAG9Woys=")</f>
        <v>#REF!</v>
      </c>
      <c r="AS48" t="str">
        <f>AND(#REF!,"AAAAAG9Woyw=")</f>
        <v>#REF!</v>
      </c>
      <c r="AT48" t="str">
        <f>IF(#REF!,"AAAAAG9Woy0=",0)</f>
        <v>#REF!</v>
      </c>
      <c r="AU48" t="str">
        <f>AND(#REF!,"AAAAAG9Woy4=")</f>
        <v>#REF!</v>
      </c>
      <c r="AV48" t="str">
        <f>AND(#REF!,"AAAAAG9Woy8=")</f>
        <v>#REF!</v>
      </c>
      <c r="AW48" t="str">
        <f>AND(#REF!,"AAAAAG9WozA=")</f>
        <v>#REF!</v>
      </c>
      <c r="AX48" t="str">
        <f>AND(#REF!,"AAAAAG9WozE=")</f>
        <v>#REF!</v>
      </c>
      <c r="AY48" t="str">
        <f>AND(#REF!,"AAAAAG9WozI=")</f>
        <v>#REF!</v>
      </c>
      <c r="AZ48" t="str">
        <f>AND(#REF!,"AAAAAG9WozM=")</f>
        <v>#REF!</v>
      </c>
      <c r="BA48" t="str">
        <f>AND(#REF!,"AAAAAG9WozQ=")</f>
        <v>#REF!</v>
      </c>
      <c r="BB48" t="str">
        <f>AND(#REF!,"AAAAAG9WozU=")</f>
        <v>#REF!</v>
      </c>
      <c r="BC48" t="str">
        <f>AND(#REF!,"AAAAAG9WozY=")</f>
        <v>#REF!</v>
      </c>
      <c r="BD48" t="str">
        <f>AND(#REF!,"AAAAAG9Wozc=")</f>
        <v>#REF!</v>
      </c>
      <c r="BE48" t="str">
        <f>AND(#REF!,"AAAAAG9Wozg=")</f>
        <v>#REF!</v>
      </c>
      <c r="BF48" t="str">
        <f>AND(#REF!,"AAAAAG9Wozk=")</f>
        <v>#REF!</v>
      </c>
      <c r="BG48" t="str">
        <f>AND(#REF!,"AAAAAG9Wozo=")</f>
        <v>#REF!</v>
      </c>
      <c r="BH48" t="str">
        <f>AND(#REF!,"AAAAAG9Wozs=")</f>
        <v>#REF!</v>
      </c>
      <c r="BI48" t="str">
        <f>AND(#REF!,"AAAAAG9Wozw=")</f>
        <v>#REF!</v>
      </c>
      <c r="BJ48" t="str">
        <f>AND(#REF!,"AAAAAG9Woz0=")</f>
        <v>#REF!</v>
      </c>
      <c r="BK48" t="str">
        <f>AND(#REF!,"AAAAAG9Woz4=")</f>
        <v>#REF!</v>
      </c>
      <c r="BL48" t="str">
        <f>AND(#REF!,"AAAAAG9Woz8=")</f>
        <v>#REF!</v>
      </c>
      <c r="BM48" t="str">
        <f>AND(#REF!,"AAAAAG9Wo0A=")</f>
        <v>#REF!</v>
      </c>
      <c r="BN48" t="str">
        <f>AND(#REF!,"AAAAAG9Wo0E=")</f>
        <v>#REF!</v>
      </c>
      <c r="BO48" t="str">
        <f>AND(#REF!,"AAAAAG9Wo0I=")</f>
        <v>#REF!</v>
      </c>
      <c r="BP48" t="str">
        <f>AND(#REF!,"AAAAAG9Wo0M=")</f>
        <v>#REF!</v>
      </c>
      <c r="BQ48" t="str">
        <f>AND(#REF!,"AAAAAG9Wo0Q=")</f>
        <v>#REF!</v>
      </c>
      <c r="BR48" t="str">
        <f>AND(#REF!,"AAAAAG9Wo0U=")</f>
        <v>#REF!</v>
      </c>
      <c r="BS48" t="str">
        <f>AND(#REF!,"AAAAAG9Wo0Y=")</f>
        <v>#REF!</v>
      </c>
      <c r="BT48" t="str">
        <f>AND(#REF!,"AAAAAG9Wo0c=")</f>
        <v>#REF!</v>
      </c>
      <c r="BU48" t="str">
        <f>AND(#REF!,"AAAAAG9Wo0g=")</f>
        <v>#REF!</v>
      </c>
      <c r="BV48" t="str">
        <f>AND(#REF!,"AAAAAG9Wo0k=")</f>
        <v>#REF!</v>
      </c>
      <c r="BW48" t="str">
        <f>AND(#REF!,"AAAAAG9Wo0o=")</f>
        <v>#REF!</v>
      </c>
      <c r="BX48" t="str">
        <f>AND(#REF!,"AAAAAG9Wo0s=")</f>
        <v>#REF!</v>
      </c>
      <c r="BY48" t="str">
        <f>AND(#REF!,"AAAAAG9Wo0w=")</f>
        <v>#REF!</v>
      </c>
      <c r="BZ48" t="str">
        <f>AND(#REF!,"AAAAAG9Wo00=")</f>
        <v>#REF!</v>
      </c>
      <c r="CA48" t="str">
        <f>AND(#REF!,"AAAAAG9Wo04=")</f>
        <v>#REF!</v>
      </c>
      <c r="CB48" t="str">
        <f>AND(#REF!,"AAAAAG9Wo08=")</f>
        <v>#REF!</v>
      </c>
      <c r="CC48" t="str">
        <f>AND(#REF!,"AAAAAG9Wo1A=")</f>
        <v>#REF!</v>
      </c>
      <c r="CD48" t="str">
        <f>AND(#REF!,"AAAAAG9Wo1E=")</f>
        <v>#REF!</v>
      </c>
      <c r="CE48" t="str">
        <f>AND(#REF!,"AAAAAG9Wo1I=")</f>
        <v>#REF!</v>
      </c>
      <c r="CF48" t="str">
        <f>AND(#REF!,"AAAAAG9Wo1M=")</f>
        <v>#REF!</v>
      </c>
      <c r="CG48" t="str">
        <f>AND(#REF!,"AAAAAG9Wo1Q=")</f>
        <v>#REF!</v>
      </c>
      <c r="CH48" t="str">
        <f>AND(#REF!,"AAAAAG9Wo1U=")</f>
        <v>#REF!</v>
      </c>
      <c r="CI48" t="str">
        <f>AND(#REF!,"AAAAAG9Wo1Y=")</f>
        <v>#REF!</v>
      </c>
      <c r="CJ48" t="str">
        <f>AND(#REF!,"AAAAAG9Wo1c=")</f>
        <v>#REF!</v>
      </c>
      <c r="CK48" t="str">
        <f>AND(#REF!,"AAAAAG9Wo1g=")</f>
        <v>#REF!</v>
      </c>
      <c r="CL48" t="str">
        <f>AND(#REF!,"AAAAAG9Wo1k=")</f>
        <v>#REF!</v>
      </c>
      <c r="CM48" t="str">
        <f>AND(#REF!,"AAAAAG9Wo1o=")</f>
        <v>#REF!</v>
      </c>
      <c r="CN48" t="str">
        <f>AND(#REF!,"AAAAAG9Wo1s=")</f>
        <v>#REF!</v>
      </c>
      <c r="CO48" t="str">
        <f>AND(#REF!,"AAAAAG9Wo1w=")</f>
        <v>#REF!</v>
      </c>
      <c r="CP48" t="str">
        <f>AND(#REF!,"AAAAAG9Wo10=")</f>
        <v>#REF!</v>
      </c>
      <c r="CQ48" t="str">
        <f>AND(#REF!,"AAAAAG9Wo14=")</f>
        <v>#REF!</v>
      </c>
      <c r="CR48" t="str">
        <f>AND(#REF!,"AAAAAG9Wo18=")</f>
        <v>#REF!</v>
      </c>
      <c r="CS48" t="str">
        <f>AND(#REF!,"AAAAAG9Wo2A=")</f>
        <v>#REF!</v>
      </c>
      <c r="CT48" t="str">
        <f>AND(#REF!,"AAAAAG9Wo2E=")</f>
        <v>#REF!</v>
      </c>
      <c r="CU48" t="str">
        <f>AND(#REF!,"AAAAAG9Wo2I=")</f>
        <v>#REF!</v>
      </c>
      <c r="CV48" t="str">
        <f>AND(#REF!,"AAAAAG9Wo2M=")</f>
        <v>#REF!</v>
      </c>
      <c r="CW48" t="str">
        <f>AND(#REF!,"AAAAAG9Wo2Q=")</f>
        <v>#REF!</v>
      </c>
      <c r="CX48" t="str">
        <f>AND(#REF!,"AAAAAG9Wo2U=")</f>
        <v>#REF!</v>
      </c>
      <c r="CY48" t="str">
        <f>AND(#REF!,"AAAAAG9Wo2Y=")</f>
        <v>#REF!</v>
      </c>
      <c r="CZ48" t="str">
        <f>AND(#REF!,"AAAAAG9Wo2c=")</f>
        <v>#REF!</v>
      </c>
      <c r="DA48" t="str">
        <f>AND(#REF!,"AAAAAG9Wo2g=")</f>
        <v>#REF!</v>
      </c>
      <c r="DB48" t="str">
        <f>AND(#REF!,"AAAAAG9Wo2k=")</f>
        <v>#REF!</v>
      </c>
      <c r="DC48" t="str">
        <f>AND(#REF!,"AAAAAG9Wo2o=")</f>
        <v>#REF!</v>
      </c>
      <c r="DD48" t="str">
        <f>AND(#REF!,"AAAAAG9Wo2s=")</f>
        <v>#REF!</v>
      </c>
      <c r="DE48" t="str">
        <f>AND(#REF!,"AAAAAG9Wo2w=")</f>
        <v>#REF!</v>
      </c>
      <c r="DF48" t="str">
        <f>AND(#REF!,"AAAAAG9Wo20=")</f>
        <v>#REF!</v>
      </c>
      <c r="DG48" t="str">
        <f>AND(#REF!,"AAAAAG9Wo24=")</f>
        <v>#REF!</v>
      </c>
      <c r="DH48" t="str">
        <f>AND(#REF!,"AAAAAG9Wo28=")</f>
        <v>#REF!</v>
      </c>
      <c r="DI48" t="str">
        <f>AND(#REF!,"AAAAAG9Wo3A=")</f>
        <v>#REF!</v>
      </c>
      <c r="DJ48" t="str">
        <f>AND(#REF!,"AAAAAG9Wo3E=")</f>
        <v>#REF!</v>
      </c>
      <c r="DK48" t="str">
        <f>AND(#REF!,"AAAAAG9Wo3I=")</f>
        <v>#REF!</v>
      </c>
      <c r="DL48" t="str">
        <f>AND(#REF!,"AAAAAG9Wo3M=")</f>
        <v>#REF!</v>
      </c>
      <c r="DM48" t="str">
        <f>AND(#REF!,"AAAAAG9Wo3Q=")</f>
        <v>#REF!</v>
      </c>
      <c r="DN48" t="str">
        <f>AND(#REF!,"AAAAAG9Wo3U=")</f>
        <v>#REF!</v>
      </c>
      <c r="DO48" t="str">
        <f>AND(#REF!,"AAAAAG9Wo3Y=")</f>
        <v>#REF!</v>
      </c>
      <c r="DP48" t="str">
        <f>AND(#REF!,"AAAAAG9Wo3c=")</f>
        <v>#REF!</v>
      </c>
      <c r="DQ48" t="str">
        <f>AND(#REF!,"AAAAAG9Wo3g=")</f>
        <v>#REF!</v>
      </c>
      <c r="DR48" t="str">
        <f>IF(#REF!,"AAAAAG9Wo3k=",0)</f>
        <v>#REF!</v>
      </c>
      <c r="DS48" t="str">
        <f>AND(#REF!,"AAAAAG9Wo3o=")</f>
        <v>#REF!</v>
      </c>
      <c r="DT48" t="str">
        <f>AND(#REF!,"AAAAAG9Wo3s=")</f>
        <v>#REF!</v>
      </c>
      <c r="DU48" t="str">
        <f>AND(#REF!,"AAAAAG9Wo3w=")</f>
        <v>#REF!</v>
      </c>
      <c r="DV48" t="str">
        <f>IF(#REF!,"AAAAAG9Wo30=",0)</f>
        <v>#REF!</v>
      </c>
      <c r="DW48" t="str">
        <f>AND(#REF!,"AAAAAG9Wo34=")</f>
        <v>#REF!</v>
      </c>
      <c r="DX48" t="str">
        <f>AND(#REF!,"AAAAAG9Wo38=")</f>
        <v>#REF!</v>
      </c>
      <c r="DY48" t="str">
        <f>AND(#REF!,"AAAAAG9Wo4A=")</f>
        <v>#REF!</v>
      </c>
      <c r="DZ48" t="str">
        <f>IF(#REF!,"AAAAAG9Wo4E=",0)</f>
        <v>#REF!</v>
      </c>
      <c r="EA48" t="str">
        <f>AND(#REF!,"AAAAAG9Wo4I=")</f>
        <v>#REF!</v>
      </c>
      <c r="EB48" t="str">
        <f>AND(#REF!,"AAAAAG9Wo4M=")</f>
        <v>#REF!</v>
      </c>
      <c r="EC48" t="str">
        <f>AND(#REF!,"AAAAAG9Wo4Q=")</f>
        <v>#REF!</v>
      </c>
      <c r="ED48" t="str">
        <f>IF(#REF!,"AAAAAG9Wo4U=",0)</f>
        <v>#REF!</v>
      </c>
      <c r="EE48" t="str">
        <f>AND(#REF!,"AAAAAG9Wo4Y=")</f>
        <v>#REF!</v>
      </c>
      <c r="EF48" t="str">
        <f>AND(#REF!,"AAAAAG9Wo4c=")</f>
        <v>#REF!</v>
      </c>
      <c r="EG48" t="str">
        <f>AND(#REF!,"AAAAAG9Wo4g=")</f>
        <v>#REF!</v>
      </c>
      <c r="EH48" t="str">
        <f>IF(#REF!,"AAAAAG9Wo4k=",0)</f>
        <v>#REF!</v>
      </c>
      <c r="EI48" t="str">
        <f>AND(#REF!,"AAAAAG9Wo4o=")</f>
        <v>#REF!</v>
      </c>
      <c r="EJ48" t="str">
        <f>AND(#REF!,"AAAAAG9Wo4s=")</f>
        <v>#REF!</v>
      </c>
      <c r="EK48" t="str">
        <f>AND(#REF!,"AAAAAG9Wo4w=")</f>
        <v>#REF!</v>
      </c>
      <c r="EL48" t="str">
        <f>IF(#REF!,"AAAAAG9Wo40=",0)</f>
        <v>#REF!</v>
      </c>
      <c r="EM48" t="str">
        <f>AND(#REF!,"AAAAAG9Wo44=")</f>
        <v>#REF!</v>
      </c>
      <c r="EN48" t="str">
        <f>AND(#REF!,"AAAAAG9Wo48=")</f>
        <v>#REF!</v>
      </c>
      <c r="EO48" t="str">
        <f>AND(#REF!,"AAAAAG9Wo5A=")</f>
        <v>#REF!</v>
      </c>
      <c r="EP48" t="str">
        <f>IF(#REF!,"AAAAAG9Wo5E=",0)</f>
        <v>#REF!</v>
      </c>
      <c r="EQ48" t="str">
        <f>AND(#REF!,"AAAAAG9Wo5I=")</f>
        <v>#REF!</v>
      </c>
      <c r="ER48" t="str">
        <f>AND(#REF!,"AAAAAG9Wo5M=")</f>
        <v>#REF!</v>
      </c>
      <c r="ES48" t="str">
        <f>AND(#REF!,"AAAAAG9Wo5Q=")</f>
        <v>#REF!</v>
      </c>
      <c r="ET48" t="str">
        <f>IF(#REF!,"AAAAAG9Wo5U=",0)</f>
        <v>#REF!</v>
      </c>
      <c r="EU48" t="str">
        <f>AND(#REF!,"AAAAAG9Wo5Y=")</f>
        <v>#REF!</v>
      </c>
      <c r="EV48" t="str">
        <f>AND(#REF!,"AAAAAG9Wo5c=")</f>
        <v>#REF!</v>
      </c>
      <c r="EW48" t="str">
        <f>AND(#REF!,"AAAAAG9Wo5g=")</f>
        <v>#REF!</v>
      </c>
      <c r="EX48" t="str">
        <f>IF(#REF!,"AAAAAG9Wo5k=",0)</f>
        <v>#REF!</v>
      </c>
      <c r="EY48" t="str">
        <f>AND(#REF!,"AAAAAG9Wo5o=")</f>
        <v>#REF!</v>
      </c>
      <c r="EZ48" t="str">
        <f>AND(#REF!,"AAAAAG9Wo5s=")</f>
        <v>#REF!</v>
      </c>
      <c r="FA48" t="str">
        <f>AND(#REF!,"AAAAAG9Wo5w=")</f>
        <v>#REF!</v>
      </c>
      <c r="FB48" t="str">
        <f>IF(#REF!,"AAAAAG9Wo50=",0)</f>
        <v>#REF!</v>
      </c>
      <c r="FC48" t="str">
        <f>AND(#REF!,"AAAAAG9Wo54=")</f>
        <v>#REF!</v>
      </c>
      <c r="FD48" t="str">
        <f>AND(#REF!,"AAAAAG9Wo58=")</f>
        <v>#REF!</v>
      </c>
      <c r="FE48" t="str">
        <f>AND(#REF!,"AAAAAG9Wo6A=")</f>
        <v>#REF!</v>
      </c>
      <c r="FF48" t="str">
        <f>IF(#REF!,"AAAAAG9Wo6E=",0)</f>
        <v>#REF!</v>
      </c>
      <c r="FG48" t="str">
        <f>AND(#REF!,"AAAAAG9Wo6I=")</f>
        <v>#REF!</v>
      </c>
      <c r="FH48" t="str">
        <f>AND(#REF!,"AAAAAG9Wo6M=")</f>
        <v>#REF!</v>
      </c>
      <c r="FI48" t="str">
        <f>AND(#REF!,"AAAAAG9Wo6Q=")</f>
        <v>#REF!</v>
      </c>
      <c r="FJ48" t="str">
        <f>IF(#REF!,"AAAAAG9Wo6U=",0)</f>
        <v>#REF!</v>
      </c>
      <c r="FK48" t="str">
        <f>AND(#REF!,"AAAAAG9Wo6Y=")</f>
        <v>#REF!</v>
      </c>
      <c r="FL48" t="str">
        <f>AND(#REF!,"AAAAAG9Wo6c=")</f>
        <v>#REF!</v>
      </c>
      <c r="FM48" t="str">
        <f>AND(#REF!,"AAAAAG9Wo6g=")</f>
        <v>#REF!</v>
      </c>
      <c r="FN48" t="str">
        <f>IF(#REF!,"AAAAAG9Wo6k=",0)</f>
        <v>#REF!</v>
      </c>
      <c r="FO48" t="str">
        <f>AND(#REF!,"AAAAAG9Wo6o=")</f>
        <v>#REF!</v>
      </c>
      <c r="FP48" t="str">
        <f>AND(#REF!,"AAAAAG9Wo6s=")</f>
        <v>#REF!</v>
      </c>
      <c r="FQ48" t="str">
        <f>AND(#REF!,"AAAAAG9Wo6w=")</f>
        <v>#REF!</v>
      </c>
      <c r="FR48" t="str">
        <f>IF(#REF!,"AAAAAG9Wo60=",0)</f>
        <v>#REF!</v>
      </c>
      <c r="FS48" t="str">
        <f>AND(#REF!,"AAAAAG9Wo64=")</f>
        <v>#REF!</v>
      </c>
      <c r="FT48" t="str">
        <f>AND(#REF!,"AAAAAG9Wo68=")</f>
        <v>#REF!</v>
      </c>
      <c r="FU48" t="str">
        <f>AND(#REF!,"AAAAAG9Wo7A=")</f>
        <v>#REF!</v>
      </c>
      <c r="FV48" t="str">
        <f>IF(#REF!,"AAAAAG9Wo7E=",0)</f>
        <v>#REF!</v>
      </c>
      <c r="FW48" t="str">
        <f>AND(#REF!,"AAAAAG9Wo7I=")</f>
        <v>#REF!</v>
      </c>
      <c r="FX48" t="str">
        <f>AND(#REF!,"AAAAAG9Wo7M=")</f>
        <v>#REF!</v>
      </c>
      <c r="FY48" t="str">
        <f>AND(#REF!,"AAAAAG9Wo7Q=")</f>
        <v>#REF!</v>
      </c>
      <c r="FZ48" t="str">
        <f>IF(#REF!,"AAAAAG9Wo7U=",0)</f>
        <v>#REF!</v>
      </c>
      <c r="GA48" t="str">
        <f>IF(#REF!,"AAAAAG9Wo7Y=",0)</f>
        <v>#REF!</v>
      </c>
      <c r="GB48" t="str">
        <f>IF(#REF!,"AAAAAG9Wo7c=",0)</f>
        <v>#REF!</v>
      </c>
      <c r="GC48" t="str">
        <f>IF(#REF!,"AAAAAG9Wo7g=",0)</f>
        <v>#REF!</v>
      </c>
      <c r="GD48" t="str">
        <f>IF(#REF!,"AAAAAG9Wo7k=",0)</f>
        <v>#REF!</v>
      </c>
      <c r="GE48" t="str">
        <f>IF(#REF!,"AAAAAG9Wo7o=",0)</f>
        <v>#REF!</v>
      </c>
      <c r="GF48" t="str">
        <f>IF(#REF!,"AAAAAG9Wo7s=",0)</f>
        <v>#REF!</v>
      </c>
      <c r="GG48" t="str">
        <f>IF(#REF!,"AAAAAG9Wo7w=",0)</f>
        <v>#REF!</v>
      </c>
      <c r="GH48" t="str">
        <f>IF(#REF!,"AAAAAG9Wo70=",0)</f>
        <v>#REF!</v>
      </c>
      <c r="GI48" t="str">
        <f>IF(#REF!,"AAAAAG9Wo74=",0)</f>
        <v>#REF!</v>
      </c>
      <c r="GJ48" t="str">
        <f>IF(#REF!,"AAAAAG9Wo78=",0)</f>
        <v>#REF!</v>
      </c>
      <c r="GK48" t="str">
        <f>IF(#REF!,"AAAAAG9Wo8A=",0)</f>
        <v>#REF!</v>
      </c>
      <c r="GL48" t="str">
        <f>IF(#REF!,"AAAAAG9Wo8E=",0)</f>
        <v>#REF!</v>
      </c>
      <c r="GM48" t="str">
        <f>IF(#REF!,"AAAAAG9Wo8I=",0)</f>
        <v>#REF!</v>
      </c>
      <c r="GN48" t="str">
        <f>IF(#REF!,"AAAAAG9Wo8M=",0)</f>
        <v>#REF!</v>
      </c>
      <c r="GO48" t="str">
        <f>IF(#REF!,"AAAAAG9Wo8Q=",0)</f>
        <v>#REF!</v>
      </c>
      <c r="GP48" t="str">
        <f>IF(#REF!,"AAAAAG9Wo8U=",0)</f>
        <v>#REF!</v>
      </c>
      <c r="GQ48" t="str">
        <f>IF(#REF!,"AAAAAG9Wo8Y=",0)</f>
        <v>#REF!</v>
      </c>
      <c r="GR48" t="str">
        <f>IF(#REF!,"AAAAAG9Wo8c=",0)</f>
        <v>#REF!</v>
      </c>
      <c r="GS48" t="str">
        <f>IF(#REF!,"AAAAAG9Wo8g=",0)</f>
        <v>#REF!</v>
      </c>
      <c r="GT48" t="str">
        <f>IF(#REF!,"AAAAAG9Wo8k=",0)</f>
        <v>#REF!</v>
      </c>
      <c r="GU48" t="str">
        <f>IF(#REF!,"AAAAAG9Wo8o=",0)</f>
        <v>#REF!</v>
      </c>
      <c r="GV48" t="str">
        <f>IF(#REF!,"AAAAAG9Wo8s=",0)</f>
        <v>#REF!</v>
      </c>
      <c r="GW48" t="str">
        <f>IF(#REF!,"AAAAAG9Wo8w=",0)</f>
        <v>#REF!</v>
      </c>
      <c r="GX48" t="str">
        <f>IF(#REF!,"AAAAAG9Wo80=",0)</f>
        <v>#REF!</v>
      </c>
      <c r="GY48" t="str">
        <f>IF(#REF!,"AAAAAG9Wo84=",0)</f>
        <v>#REF!</v>
      </c>
      <c r="GZ48" t="str">
        <f>IF(#REF!,"AAAAAG9Wo88=",0)</f>
        <v>#REF!</v>
      </c>
      <c r="HA48" t="str">
        <f>IF(#REF!,"AAAAAG9Wo9A=",0)</f>
        <v>#REF!</v>
      </c>
      <c r="HB48" t="str">
        <f>IF(#REF!,"AAAAAG9Wo9E=",0)</f>
        <v>#REF!</v>
      </c>
      <c r="HC48" t="str">
        <f>IF(#REF!,"AAAAAG9Wo9I=",0)</f>
        <v>#REF!</v>
      </c>
      <c r="HD48" t="str">
        <f>IF(#REF!,"AAAAAG9Wo9M=",0)</f>
        <v>#REF!</v>
      </c>
      <c r="HE48" t="str">
        <f>IF(#REF!,"AAAAAG9Wo9Q=",0)</f>
        <v>#REF!</v>
      </c>
      <c r="HF48" t="str">
        <f>IF(#REF!,"AAAAAG9Wo9U=",0)</f>
        <v>#REF!</v>
      </c>
      <c r="HG48" t="str">
        <f>IF(#REF!,"AAAAAG9Wo9Y=",0)</f>
        <v>#REF!</v>
      </c>
      <c r="HH48" t="str">
        <f>IF(#REF!,"AAAAAG9Wo9c=",0)</f>
        <v>#REF!</v>
      </c>
      <c r="HI48" t="str">
        <f>IF(#REF!,"AAAAAG9Wo9g=",0)</f>
        <v>#REF!</v>
      </c>
      <c r="HJ48" t="str">
        <f>IF(#REF!,"AAAAAG9Wo9k=",0)</f>
        <v>#REF!</v>
      </c>
      <c r="HK48" t="str">
        <f>IF(#REF!,"AAAAAG9Wo9o=",0)</f>
        <v>#REF!</v>
      </c>
      <c r="HL48" t="str">
        <f>IF(#REF!,"AAAAAG9Wo9s=",0)</f>
        <v>#REF!</v>
      </c>
      <c r="HM48" t="str">
        <f>IF(#REF!,"AAAAAG9Wo9w=",0)</f>
        <v>#REF!</v>
      </c>
      <c r="HN48" t="str">
        <f>IF(#REF!,"AAAAAG9Wo90=",0)</f>
        <v>#REF!</v>
      </c>
      <c r="HO48" t="str">
        <f>IF(#REF!,"AAAAAG9Wo94=",0)</f>
        <v>#REF!</v>
      </c>
      <c r="HP48" t="str">
        <f>IF(#REF!,"AAAAAG9Wo98=",0)</f>
        <v>#REF!</v>
      </c>
      <c r="HQ48" t="str">
        <f>IF(#REF!,"AAAAAG9Wo+A=",0)</f>
        <v>#REF!</v>
      </c>
      <c r="HR48" t="str">
        <f>IF(#REF!,"AAAAAG9Wo+E=",0)</f>
        <v>#REF!</v>
      </c>
      <c r="HS48" t="str">
        <f>IF(#REF!,"AAAAAG9Wo+I=",0)</f>
        <v>#REF!</v>
      </c>
      <c r="HT48" t="str">
        <f>IF(#REF!,"AAAAAG9Wo+M=",0)</f>
        <v>#REF!</v>
      </c>
      <c r="HU48" t="str">
        <f>IF(#REF!,"AAAAAG9Wo+Q=",0)</f>
        <v>#REF!</v>
      </c>
      <c r="HV48" t="str">
        <f>IF(#REF!,"AAAAAG9Wo+U=",0)</f>
        <v>#REF!</v>
      </c>
      <c r="HW48" t="str">
        <f>IF(#REF!,"AAAAAG9Wo+Y=",0)</f>
        <v>#REF!</v>
      </c>
      <c r="HX48" t="str">
        <f>IF(#REF!,"AAAAAG9Wo+c=",0)</f>
        <v>#REF!</v>
      </c>
      <c r="HY48" t="str">
        <f>IF(#REF!,"AAAAAG9Wo+g=",0)</f>
        <v>#REF!</v>
      </c>
      <c r="HZ48" t="str">
        <f>IF(#REF!,"AAAAAG9Wo+k=",0)</f>
        <v>#REF!</v>
      </c>
      <c r="IA48" t="str">
        <f>IF(#REF!,"AAAAAG9Wo+o=",0)</f>
        <v>#REF!</v>
      </c>
      <c r="IB48" t="str">
        <f>IF(#REF!,"AAAAAG9Wo+s=",0)</f>
        <v>#REF!</v>
      </c>
      <c r="IC48" t="str">
        <f>IF(#REF!,"AAAAAG9Wo+w=",0)</f>
        <v>#REF!</v>
      </c>
      <c r="ID48" t="str">
        <f>IF(#REF!,"AAAAAG9Wo+0=",0)</f>
        <v>#REF!</v>
      </c>
      <c r="IE48" t="str">
        <f>IF(#REF!,"AAAAAG9Wo+4=",0)</f>
        <v>#REF!</v>
      </c>
      <c r="IF48" t="str">
        <f>IF(#REF!,"AAAAAG9Wo+8=",0)</f>
        <v>#REF!</v>
      </c>
      <c r="IG48" t="str">
        <f>IF(#REF!,"AAAAAG9Wo/A=",0)</f>
        <v>#REF!</v>
      </c>
      <c r="IH48" t="str">
        <f>IF(#REF!,"AAAAAG9Wo/E=",0)</f>
        <v>#REF!</v>
      </c>
      <c r="II48" t="str">
        <f>IF(#REF!,"AAAAAG9Wo/I=",0)</f>
        <v>#REF!</v>
      </c>
      <c r="IJ48" t="str">
        <f>IF(#REF!,"AAAAAG9Wo/M=",0)</f>
        <v>#REF!</v>
      </c>
      <c r="IK48" t="str">
        <f>IF(#REF!,"AAAAAG9Wo/Q=",0)</f>
        <v>#REF!</v>
      </c>
      <c r="IL48" t="str">
        <f>IF(#REF!,"AAAAAG9Wo/U=",0)</f>
        <v>#REF!</v>
      </c>
      <c r="IM48" t="str">
        <f>IF(#REF!,"AAAAAG9Wo/Y=",0)</f>
        <v>#REF!</v>
      </c>
      <c r="IN48" t="str">
        <f>IF(#REF!,"AAAAAG9Wo/c=",0)</f>
        <v>#REF!</v>
      </c>
      <c r="IO48" t="str">
        <f>IF(#REF!,"AAAAAG9Wo/g=",0)</f>
        <v>#REF!</v>
      </c>
      <c r="IP48" t="str">
        <f>IF(#REF!,"AAAAAG9Wo/k=",0)</f>
        <v>#REF!</v>
      </c>
      <c r="IQ48" t="str">
        <f>IF(#REF!,"AAAAAG9Wo/o=",0)</f>
        <v>#REF!</v>
      </c>
      <c r="IR48" t="str">
        <f>IF(#REF!,"AAAAAG9Wo/s=",0)</f>
        <v>#REF!</v>
      </c>
      <c r="IS48" t="str">
        <f>IF(#REF!,"AAAAAG9Wo/w=",0)</f>
        <v>#REF!</v>
      </c>
      <c r="IT48" t="str">
        <f>IF(#REF!,"AAAAAG9Wo/0=",0)</f>
        <v>#REF!</v>
      </c>
      <c r="IU48" t="str">
        <f>IF(#REF!,"AAAAAG9Wo/4=",0)</f>
        <v>#REF!</v>
      </c>
      <c r="IV48" t="str">
        <f>IF(#REF!,"AAAAAG9Wo/8=",0)</f>
        <v>#REF!</v>
      </c>
    </row>
    <row r="49" ht="15.75" customHeight="1">
      <c r="A49" t="str">
        <f>IF(#REF!,"AAAAADfT+wA=",0)</f>
        <v>#REF!</v>
      </c>
      <c r="B49" t="str">
        <f>AND(#REF!,"AAAAADfT+wE=")</f>
        <v>#REF!</v>
      </c>
      <c r="C49" t="str">
        <f>AND(#REF!,"AAAAADfT+wI=")</f>
        <v>#REF!</v>
      </c>
      <c r="D49" t="str">
        <f>AND(#REF!,"AAAAADfT+wM=")</f>
        <v>#REF!</v>
      </c>
      <c r="E49" t="str">
        <f>AND(#REF!,"AAAAADfT+wQ=")</f>
        <v>#REF!</v>
      </c>
      <c r="F49" t="str">
        <f>AND(#REF!,"AAAAADfT+wU=")</f>
        <v>#REF!</v>
      </c>
      <c r="G49" t="str">
        <f>AND(#REF!,"AAAAADfT+wY=")</f>
        <v>#REF!</v>
      </c>
      <c r="H49" t="str">
        <f>AND(#REF!,"AAAAADfT+wc=")</f>
        <v>#REF!</v>
      </c>
      <c r="I49" t="str">
        <f>AND(#REF!,"AAAAADfT+wg=")</f>
        <v>#REF!</v>
      </c>
      <c r="J49" t="str">
        <f>AND(#REF!,"AAAAADfT+wk=")</f>
        <v>#REF!</v>
      </c>
      <c r="K49" t="str">
        <f>AND(#REF!,"AAAAADfT+wo=")</f>
        <v>#REF!</v>
      </c>
      <c r="L49" t="str">
        <f>AND(#REF!,"AAAAADfT+ws=")</f>
        <v>#REF!</v>
      </c>
      <c r="M49" t="str">
        <f>AND(#REF!,"AAAAADfT+ww=")</f>
        <v>#REF!</v>
      </c>
      <c r="N49" t="str">
        <f>AND(#REF!,"AAAAADfT+w0=")</f>
        <v>#REF!</v>
      </c>
      <c r="O49" t="str">
        <f>AND(#REF!,"AAAAADfT+w4=")</f>
        <v>#REF!</v>
      </c>
      <c r="P49" t="str">
        <f>AND(#REF!,"AAAAADfT+w8=")</f>
        <v>#REF!</v>
      </c>
      <c r="Q49" t="str">
        <f>AND(#REF!,"AAAAADfT+xA=")</f>
        <v>#REF!</v>
      </c>
      <c r="R49" t="str">
        <f>AND(#REF!,"AAAAADfT+xE=")</f>
        <v>#REF!</v>
      </c>
      <c r="S49" t="str">
        <f>AND(#REF!,"AAAAADfT+xI=")</f>
        <v>#REF!</v>
      </c>
      <c r="T49" t="str">
        <f>AND(#REF!,"AAAAADfT+xM=")</f>
        <v>#REF!</v>
      </c>
      <c r="U49" t="str">
        <f>AND(#REF!,"AAAAADfT+xQ=")</f>
        <v>#REF!</v>
      </c>
      <c r="V49" t="str">
        <f>AND(#REF!,"AAAAADfT+xU=")</f>
        <v>#REF!</v>
      </c>
      <c r="W49" t="str">
        <f>AND(#REF!,"AAAAADfT+xY=")</f>
        <v>#REF!</v>
      </c>
      <c r="X49" t="str">
        <f>AND(#REF!,"AAAAADfT+xc=")</f>
        <v>#REF!</v>
      </c>
      <c r="Y49" t="str">
        <f>AND(#REF!,"AAAAADfT+xg=")</f>
        <v>#REF!</v>
      </c>
      <c r="Z49" t="str">
        <f>AND(#REF!,"AAAAADfT+xk=")</f>
        <v>#REF!</v>
      </c>
      <c r="AA49" t="str">
        <f>AND(#REF!,"AAAAADfT+xo=")</f>
        <v>#REF!</v>
      </c>
      <c r="AB49" t="str">
        <f>AND(#REF!,"AAAAADfT+xs=")</f>
        <v>#REF!</v>
      </c>
      <c r="AC49" t="str">
        <f>AND(#REF!,"AAAAADfT+xw=")</f>
        <v>#REF!</v>
      </c>
      <c r="AD49" t="str">
        <f>AND(#REF!,"AAAAADfT+x0=")</f>
        <v>#REF!</v>
      </c>
      <c r="AE49" t="str">
        <f>AND(#REF!,"AAAAADfT+x4=")</f>
        <v>#REF!</v>
      </c>
      <c r="AF49" t="str">
        <f>AND(#REF!,"AAAAADfT+x8=")</f>
        <v>#REF!</v>
      </c>
      <c r="AG49" t="str">
        <f>AND(#REF!,"AAAAADfT+yA=")</f>
        <v>#REF!</v>
      </c>
      <c r="AH49" t="str">
        <f>AND(#REF!,"AAAAADfT+yE=")</f>
        <v>#REF!</v>
      </c>
      <c r="AI49" t="str">
        <f>AND(#REF!,"AAAAADfT+yI=")</f>
        <v>#REF!</v>
      </c>
      <c r="AJ49" t="str">
        <f>AND(#REF!,"AAAAADfT+yM=")</f>
        <v>#REF!</v>
      </c>
      <c r="AK49" t="str">
        <f>AND(#REF!,"AAAAADfT+yQ=")</f>
        <v>#REF!</v>
      </c>
      <c r="AL49" t="str">
        <f>AND(#REF!,"AAAAADfT+yU=")</f>
        <v>#REF!</v>
      </c>
      <c r="AM49" t="str">
        <f>AND(#REF!,"AAAAADfT+yY=")</f>
        <v>#REF!</v>
      </c>
      <c r="AN49" t="str">
        <f>AND(#REF!,"AAAAADfT+yc=")</f>
        <v>#REF!</v>
      </c>
      <c r="AO49" t="str">
        <f>AND(#REF!,"AAAAADfT+yg=")</f>
        <v>#REF!</v>
      </c>
      <c r="AP49" t="str">
        <f>AND(#REF!,"AAAAADfT+yk=")</f>
        <v>#REF!</v>
      </c>
      <c r="AQ49" t="str">
        <f>AND(#REF!,"AAAAADfT+yo=")</f>
        <v>#REF!</v>
      </c>
      <c r="AR49" t="str">
        <f>AND(#REF!,"AAAAADfT+ys=")</f>
        <v>#REF!</v>
      </c>
      <c r="AS49" t="str">
        <f>AND(#REF!,"AAAAADfT+yw=")</f>
        <v>#REF!</v>
      </c>
      <c r="AT49" t="str">
        <f>AND(#REF!,"AAAAADfT+y0=")</f>
        <v>#REF!</v>
      </c>
      <c r="AU49" t="str">
        <f>AND(#REF!,"AAAAADfT+y4=")</f>
        <v>#REF!</v>
      </c>
      <c r="AV49" t="str">
        <f>AND(#REF!,"AAAAADfT+y8=")</f>
        <v>#REF!</v>
      </c>
      <c r="AW49" t="str">
        <f>AND(#REF!,"AAAAADfT+zA=")</f>
        <v>#REF!</v>
      </c>
      <c r="AX49" t="str">
        <f>AND(#REF!,"AAAAADfT+zE=")</f>
        <v>#REF!</v>
      </c>
      <c r="AY49" t="str">
        <f>AND(#REF!,"AAAAADfT+zI=")</f>
        <v>#REF!</v>
      </c>
      <c r="AZ49" t="str">
        <f>AND(#REF!,"AAAAADfT+zM=")</f>
        <v>#REF!</v>
      </c>
      <c r="BA49" t="str">
        <f>AND(#REF!,"AAAAADfT+zQ=")</f>
        <v>#REF!</v>
      </c>
      <c r="BB49" t="str">
        <f>AND(#REF!,"AAAAADfT+zU=")</f>
        <v>#REF!</v>
      </c>
      <c r="BC49" t="str">
        <f>AND(#REF!,"AAAAADfT+zY=")</f>
        <v>#REF!</v>
      </c>
      <c r="BD49" t="str">
        <f>AND(#REF!,"AAAAADfT+zc=")</f>
        <v>#REF!</v>
      </c>
      <c r="BE49" t="str">
        <f>AND(#REF!,"AAAAADfT+zg=")</f>
        <v>#REF!</v>
      </c>
      <c r="BF49" t="str">
        <f>AND(#REF!,"AAAAADfT+zk=")</f>
        <v>#REF!</v>
      </c>
      <c r="BG49" t="str">
        <f>AND(#REF!,"AAAAADfT+zo=")</f>
        <v>#REF!</v>
      </c>
      <c r="BH49" t="str">
        <f>AND(#REF!,"AAAAADfT+zs=")</f>
        <v>#REF!</v>
      </c>
      <c r="BI49" t="str">
        <f>AND(#REF!,"AAAAADfT+zw=")</f>
        <v>#REF!</v>
      </c>
      <c r="BJ49" t="str">
        <f>AND(#REF!,"AAAAADfT+z0=")</f>
        <v>#REF!</v>
      </c>
      <c r="BK49" t="str">
        <f>AND(#REF!,"AAAAADfT+z4=")</f>
        <v>#REF!</v>
      </c>
      <c r="BL49" t="str">
        <f>AND(#REF!,"AAAAADfT+z8=")</f>
        <v>#REF!</v>
      </c>
      <c r="BM49" t="str">
        <f>AND(#REF!,"AAAAADfT+0A=")</f>
        <v>#REF!</v>
      </c>
      <c r="BN49" t="str">
        <f>AND(#REF!,"AAAAADfT+0E=")</f>
        <v>#REF!</v>
      </c>
      <c r="BO49" t="str">
        <f>AND(#REF!,"AAAAADfT+0I=")</f>
        <v>#REF!</v>
      </c>
      <c r="BP49" t="str">
        <f>AND(#REF!,"AAAAADfT+0M=")</f>
        <v>#REF!</v>
      </c>
      <c r="BQ49" t="str">
        <f>AND(#REF!,"AAAAADfT+0Q=")</f>
        <v>#REF!</v>
      </c>
      <c r="BR49" t="str">
        <f>AND(#REF!,"AAAAADfT+0U=")</f>
        <v>#REF!</v>
      </c>
      <c r="BS49" t="str">
        <f>AND(#REF!,"AAAAADfT+0Y=")</f>
        <v>#REF!</v>
      </c>
      <c r="BT49" t="str">
        <f>AND(#REF!,"AAAAADfT+0c=")</f>
        <v>#REF!</v>
      </c>
      <c r="BU49" t="str">
        <f>AND(#REF!,"AAAAADfT+0g=")</f>
        <v>#REF!</v>
      </c>
      <c r="BV49" t="str">
        <f>AND(#REF!,"AAAAADfT+0k=")</f>
        <v>#REF!</v>
      </c>
      <c r="BW49" t="str">
        <f>AND(#REF!,"AAAAADfT+0o=")</f>
        <v>#REF!</v>
      </c>
      <c r="BX49" t="str">
        <f>AND(#REF!,"AAAAADfT+0s=")</f>
        <v>#REF!</v>
      </c>
      <c r="BY49" t="str">
        <f>IF(#REF!,"AAAAADfT+0w=",0)</f>
        <v>#REF!</v>
      </c>
      <c r="BZ49" t="str">
        <f>AND(#REF!,"AAAAADfT+00=")</f>
        <v>#REF!</v>
      </c>
      <c r="CA49" t="str">
        <f>AND(#REF!,"AAAAADfT+04=")</f>
        <v>#REF!</v>
      </c>
      <c r="CB49" t="str">
        <f>AND(#REF!,"AAAAADfT+08=")</f>
        <v>#REF!</v>
      </c>
      <c r="CC49" t="str">
        <f>AND(#REF!,"AAAAADfT+1A=")</f>
        <v>#REF!</v>
      </c>
      <c r="CD49" t="str">
        <f>AND(#REF!,"AAAAADfT+1E=")</f>
        <v>#REF!</v>
      </c>
      <c r="CE49" t="str">
        <f>AND(#REF!,"AAAAADfT+1I=")</f>
        <v>#REF!</v>
      </c>
      <c r="CF49" t="str">
        <f>AND(#REF!,"AAAAADfT+1M=")</f>
        <v>#REF!</v>
      </c>
      <c r="CG49" t="str">
        <f>AND(#REF!,"AAAAADfT+1Q=")</f>
        <v>#REF!</v>
      </c>
      <c r="CH49" t="str">
        <f>AND(#REF!,"AAAAADfT+1U=")</f>
        <v>#REF!</v>
      </c>
      <c r="CI49" t="str">
        <f>AND(#REF!,"AAAAADfT+1Y=")</f>
        <v>#REF!</v>
      </c>
      <c r="CJ49" t="str">
        <f>AND(#REF!,"AAAAADfT+1c=")</f>
        <v>#REF!</v>
      </c>
      <c r="CK49" t="str">
        <f>AND(#REF!,"AAAAADfT+1g=")</f>
        <v>#REF!</v>
      </c>
      <c r="CL49" t="str">
        <f>AND(#REF!,"AAAAADfT+1k=")</f>
        <v>#REF!</v>
      </c>
      <c r="CM49" t="str">
        <f>AND(#REF!,"AAAAADfT+1o=")</f>
        <v>#REF!</v>
      </c>
      <c r="CN49" t="str">
        <f>AND(#REF!,"AAAAADfT+1s=")</f>
        <v>#REF!</v>
      </c>
      <c r="CO49" t="str">
        <f>AND(#REF!,"AAAAADfT+1w=")</f>
        <v>#REF!</v>
      </c>
      <c r="CP49" t="str">
        <f>AND(#REF!,"AAAAADfT+10=")</f>
        <v>#REF!</v>
      </c>
      <c r="CQ49" t="str">
        <f>AND(#REF!,"AAAAADfT+14=")</f>
        <v>#REF!</v>
      </c>
      <c r="CR49" t="str">
        <f>AND(#REF!,"AAAAADfT+18=")</f>
        <v>#REF!</v>
      </c>
      <c r="CS49" t="str">
        <f>AND(#REF!,"AAAAADfT+2A=")</f>
        <v>#REF!</v>
      </c>
      <c r="CT49" t="str">
        <f>AND(#REF!,"AAAAADfT+2E=")</f>
        <v>#REF!</v>
      </c>
      <c r="CU49" t="str">
        <f>AND(#REF!,"AAAAADfT+2I=")</f>
        <v>#REF!</v>
      </c>
      <c r="CV49" t="str">
        <f>AND(#REF!,"AAAAADfT+2M=")</f>
        <v>#REF!</v>
      </c>
      <c r="CW49" t="str">
        <f>AND(#REF!,"AAAAADfT+2Q=")</f>
        <v>#REF!</v>
      </c>
      <c r="CX49" t="str">
        <f>AND(#REF!,"AAAAADfT+2U=")</f>
        <v>#REF!</v>
      </c>
      <c r="CY49" t="str">
        <f>AND(#REF!,"AAAAADfT+2Y=")</f>
        <v>#REF!</v>
      </c>
      <c r="CZ49" t="str">
        <f>AND(#REF!,"AAAAADfT+2c=")</f>
        <v>#REF!</v>
      </c>
      <c r="DA49" t="str">
        <f>AND(#REF!,"AAAAADfT+2g=")</f>
        <v>#REF!</v>
      </c>
      <c r="DB49" t="str">
        <f>AND(#REF!,"AAAAADfT+2k=")</f>
        <v>#REF!</v>
      </c>
      <c r="DC49" t="str">
        <f>AND(#REF!,"AAAAADfT+2o=")</f>
        <v>#REF!</v>
      </c>
      <c r="DD49" t="str">
        <f>AND(#REF!,"AAAAADfT+2s=")</f>
        <v>#REF!</v>
      </c>
      <c r="DE49" t="str">
        <f>AND(#REF!,"AAAAADfT+2w=")</f>
        <v>#REF!</v>
      </c>
      <c r="DF49" t="str">
        <f>AND(#REF!,"AAAAADfT+20=")</f>
        <v>#REF!</v>
      </c>
      <c r="DG49" t="str">
        <f>AND(#REF!,"AAAAADfT+24=")</f>
        <v>#REF!</v>
      </c>
      <c r="DH49" t="str">
        <f>AND(#REF!,"AAAAADfT+28=")</f>
        <v>#REF!</v>
      </c>
      <c r="DI49" t="str">
        <f>AND(#REF!,"AAAAADfT+3A=")</f>
        <v>#REF!</v>
      </c>
      <c r="DJ49" t="str">
        <f>AND(#REF!,"AAAAADfT+3E=")</f>
        <v>#REF!</v>
      </c>
      <c r="DK49" t="str">
        <f>AND(#REF!,"AAAAADfT+3I=")</f>
        <v>#REF!</v>
      </c>
      <c r="DL49" t="str">
        <f>AND(#REF!,"AAAAADfT+3M=")</f>
        <v>#REF!</v>
      </c>
      <c r="DM49" t="str">
        <f>AND(#REF!,"AAAAADfT+3Q=")</f>
        <v>#REF!</v>
      </c>
      <c r="DN49" t="str">
        <f>AND(#REF!,"AAAAADfT+3U=")</f>
        <v>#REF!</v>
      </c>
      <c r="DO49" t="str">
        <f>AND(#REF!,"AAAAADfT+3Y=")</f>
        <v>#REF!</v>
      </c>
      <c r="DP49" t="str">
        <f>AND(#REF!,"AAAAADfT+3c=")</f>
        <v>#REF!</v>
      </c>
      <c r="DQ49" t="str">
        <f>AND(#REF!,"AAAAADfT+3g=")</f>
        <v>#REF!</v>
      </c>
      <c r="DR49" t="str">
        <f>AND(#REF!,"AAAAADfT+3k=")</f>
        <v>#REF!</v>
      </c>
      <c r="DS49" t="str">
        <f>AND(#REF!,"AAAAADfT+3o=")</f>
        <v>#REF!</v>
      </c>
      <c r="DT49" t="str">
        <f>AND(#REF!,"AAAAADfT+3s=")</f>
        <v>#REF!</v>
      </c>
      <c r="DU49" t="str">
        <f>AND(#REF!,"AAAAADfT+3w=")</f>
        <v>#REF!</v>
      </c>
      <c r="DV49" t="str">
        <f>AND(#REF!,"AAAAADfT+30=")</f>
        <v>#REF!</v>
      </c>
      <c r="DW49" t="str">
        <f>AND(#REF!,"AAAAADfT+34=")</f>
        <v>#REF!</v>
      </c>
      <c r="DX49" t="str">
        <f>AND(#REF!,"AAAAADfT+38=")</f>
        <v>#REF!</v>
      </c>
      <c r="DY49" t="str">
        <f>AND(#REF!,"AAAAADfT+4A=")</f>
        <v>#REF!</v>
      </c>
      <c r="DZ49" t="str">
        <f>AND(#REF!,"AAAAADfT+4E=")</f>
        <v>#REF!</v>
      </c>
      <c r="EA49" t="str">
        <f>AND(#REF!,"AAAAADfT+4I=")</f>
        <v>#REF!</v>
      </c>
      <c r="EB49" t="str">
        <f>AND(#REF!,"AAAAADfT+4M=")</f>
        <v>#REF!</v>
      </c>
      <c r="EC49" t="str">
        <f>AND(#REF!,"AAAAADfT+4Q=")</f>
        <v>#REF!</v>
      </c>
      <c r="ED49" t="str">
        <f>AND(#REF!,"AAAAADfT+4U=")</f>
        <v>#REF!</v>
      </c>
      <c r="EE49" t="str">
        <f>AND(#REF!,"AAAAADfT+4Y=")</f>
        <v>#REF!</v>
      </c>
      <c r="EF49" t="str">
        <f>AND(#REF!,"AAAAADfT+4c=")</f>
        <v>#REF!</v>
      </c>
      <c r="EG49" t="str">
        <f>AND(#REF!,"AAAAADfT+4g=")</f>
        <v>#REF!</v>
      </c>
      <c r="EH49" t="str">
        <f>AND(#REF!,"AAAAADfT+4k=")</f>
        <v>#REF!</v>
      </c>
      <c r="EI49" t="str">
        <f>AND(#REF!,"AAAAADfT+4o=")</f>
        <v>#REF!</v>
      </c>
      <c r="EJ49" t="str">
        <f>AND(#REF!,"AAAAADfT+4s=")</f>
        <v>#REF!</v>
      </c>
      <c r="EK49" t="str">
        <f>AND(#REF!,"AAAAADfT+4w=")</f>
        <v>#REF!</v>
      </c>
      <c r="EL49" t="str">
        <f>AND(#REF!,"AAAAADfT+40=")</f>
        <v>#REF!</v>
      </c>
      <c r="EM49" t="str">
        <f>AND(#REF!,"AAAAADfT+44=")</f>
        <v>#REF!</v>
      </c>
      <c r="EN49" t="str">
        <f>AND(#REF!,"AAAAADfT+48=")</f>
        <v>#REF!</v>
      </c>
      <c r="EO49" t="str">
        <f>AND(#REF!,"AAAAADfT+5A=")</f>
        <v>#REF!</v>
      </c>
      <c r="EP49" t="str">
        <f>AND(#REF!,"AAAAADfT+5E=")</f>
        <v>#REF!</v>
      </c>
      <c r="EQ49" t="str">
        <f>AND(#REF!,"AAAAADfT+5I=")</f>
        <v>#REF!</v>
      </c>
      <c r="ER49" t="str">
        <f>AND(#REF!,"AAAAADfT+5M=")</f>
        <v>#REF!</v>
      </c>
      <c r="ES49" t="str">
        <f>AND(#REF!,"AAAAADfT+5Q=")</f>
        <v>#REF!</v>
      </c>
      <c r="ET49" t="str">
        <f>AND(#REF!,"AAAAADfT+5U=")</f>
        <v>#REF!</v>
      </c>
      <c r="EU49" t="str">
        <f>AND(#REF!,"AAAAADfT+5Y=")</f>
        <v>#REF!</v>
      </c>
      <c r="EV49" t="str">
        <f>AND(#REF!,"AAAAADfT+5c=")</f>
        <v>#REF!</v>
      </c>
      <c r="EW49" t="str">
        <f>IF(#REF!,"AAAAADfT+5g=",0)</f>
        <v>#REF!</v>
      </c>
      <c r="EX49" t="str">
        <f>AND(#REF!,"AAAAADfT+5k=")</f>
        <v>#REF!</v>
      </c>
      <c r="EY49" t="str">
        <f>AND(#REF!,"AAAAADfT+5o=")</f>
        <v>#REF!</v>
      </c>
      <c r="EZ49" t="str">
        <f>AND(#REF!,"AAAAADfT+5s=")</f>
        <v>#REF!</v>
      </c>
      <c r="FA49" t="str">
        <f>AND(#REF!,"AAAAADfT+5w=")</f>
        <v>#REF!</v>
      </c>
      <c r="FB49" t="str">
        <f>AND(#REF!,"AAAAADfT+50=")</f>
        <v>#REF!</v>
      </c>
      <c r="FC49" t="str">
        <f>AND(#REF!,"AAAAADfT+54=")</f>
        <v>#REF!</v>
      </c>
      <c r="FD49" t="str">
        <f>AND(#REF!,"AAAAADfT+58=")</f>
        <v>#REF!</v>
      </c>
      <c r="FE49" t="str">
        <f>AND(#REF!,"AAAAADfT+6A=")</f>
        <v>#REF!</v>
      </c>
      <c r="FF49" t="str">
        <f>AND(#REF!,"AAAAADfT+6E=")</f>
        <v>#REF!</v>
      </c>
      <c r="FG49" t="str">
        <f>AND(#REF!,"AAAAADfT+6I=")</f>
        <v>#REF!</v>
      </c>
      <c r="FH49" t="str">
        <f>AND(#REF!,"AAAAADfT+6M=")</f>
        <v>#REF!</v>
      </c>
      <c r="FI49" t="str">
        <f>AND(#REF!,"AAAAADfT+6Q=")</f>
        <v>#REF!</v>
      </c>
      <c r="FJ49" t="str">
        <f>AND(#REF!,"AAAAADfT+6U=")</f>
        <v>#REF!</v>
      </c>
      <c r="FK49" t="str">
        <f>AND(#REF!,"AAAAADfT+6Y=")</f>
        <v>#REF!</v>
      </c>
      <c r="FL49" t="str">
        <f>AND(#REF!,"AAAAADfT+6c=")</f>
        <v>#REF!</v>
      </c>
      <c r="FM49" t="str">
        <f>AND(#REF!,"AAAAADfT+6g=")</f>
        <v>#REF!</v>
      </c>
      <c r="FN49" t="str">
        <f>AND(#REF!,"AAAAADfT+6k=")</f>
        <v>#REF!</v>
      </c>
      <c r="FO49" t="str">
        <f>AND(#REF!,"AAAAADfT+6o=")</f>
        <v>#REF!</v>
      </c>
      <c r="FP49" t="str">
        <f>AND(#REF!,"AAAAADfT+6s=")</f>
        <v>#REF!</v>
      </c>
      <c r="FQ49" t="str">
        <f>AND(#REF!,"AAAAADfT+6w=")</f>
        <v>#REF!</v>
      </c>
      <c r="FR49" t="str">
        <f>AND(#REF!,"AAAAADfT+60=")</f>
        <v>#REF!</v>
      </c>
      <c r="FS49" t="str">
        <f>AND(#REF!,"AAAAADfT+64=")</f>
        <v>#REF!</v>
      </c>
      <c r="FT49" t="str">
        <f>AND(#REF!,"AAAAADfT+68=")</f>
        <v>#REF!</v>
      </c>
      <c r="FU49" t="str">
        <f>AND(#REF!,"AAAAADfT+7A=")</f>
        <v>#REF!</v>
      </c>
      <c r="FV49" t="str">
        <f>AND(#REF!,"AAAAADfT+7E=")</f>
        <v>#REF!</v>
      </c>
      <c r="FW49" t="str">
        <f>AND(#REF!,"AAAAADfT+7I=")</f>
        <v>#REF!</v>
      </c>
      <c r="FX49" t="str">
        <f>AND(#REF!,"AAAAADfT+7M=")</f>
        <v>#REF!</v>
      </c>
      <c r="FY49" t="str">
        <f>AND(#REF!,"AAAAADfT+7Q=")</f>
        <v>#REF!</v>
      </c>
      <c r="FZ49" t="str">
        <f>AND(#REF!,"AAAAADfT+7U=")</f>
        <v>#REF!</v>
      </c>
      <c r="GA49" t="str">
        <f>AND(#REF!,"AAAAADfT+7Y=")</f>
        <v>#REF!</v>
      </c>
      <c r="GB49" t="str">
        <f>AND(#REF!,"AAAAADfT+7c=")</f>
        <v>#REF!</v>
      </c>
      <c r="GC49" t="str">
        <f>AND(#REF!,"AAAAADfT+7g=")</f>
        <v>#REF!</v>
      </c>
      <c r="GD49" t="str">
        <f>AND(#REF!,"AAAAADfT+7k=")</f>
        <v>#REF!</v>
      </c>
      <c r="GE49" t="str">
        <f>AND(#REF!,"AAAAADfT+7o=")</f>
        <v>#REF!</v>
      </c>
      <c r="GF49" t="str">
        <f>AND(#REF!,"AAAAADfT+7s=")</f>
        <v>#REF!</v>
      </c>
      <c r="GG49" t="str">
        <f>AND(#REF!,"AAAAADfT+7w=")</f>
        <v>#REF!</v>
      </c>
      <c r="GH49" t="str">
        <f>AND(#REF!,"AAAAADfT+70=")</f>
        <v>#REF!</v>
      </c>
      <c r="GI49" t="str">
        <f>AND(#REF!,"AAAAADfT+74=")</f>
        <v>#REF!</v>
      </c>
      <c r="GJ49" t="str">
        <f>AND(#REF!,"AAAAADfT+78=")</f>
        <v>#REF!</v>
      </c>
      <c r="GK49" t="str">
        <f>AND(#REF!,"AAAAADfT+8A=")</f>
        <v>#REF!</v>
      </c>
      <c r="GL49" t="str">
        <f>AND(#REF!,"AAAAADfT+8E=")</f>
        <v>#REF!</v>
      </c>
      <c r="GM49" t="str">
        <f>AND(#REF!,"AAAAADfT+8I=")</f>
        <v>#REF!</v>
      </c>
      <c r="GN49" t="str">
        <f>AND(#REF!,"AAAAADfT+8M=")</f>
        <v>#REF!</v>
      </c>
      <c r="GO49" t="str">
        <f>AND(#REF!,"AAAAADfT+8Q=")</f>
        <v>#REF!</v>
      </c>
      <c r="GP49" t="str">
        <f>AND(#REF!,"AAAAADfT+8U=")</f>
        <v>#REF!</v>
      </c>
      <c r="GQ49" t="str">
        <f>AND(#REF!,"AAAAADfT+8Y=")</f>
        <v>#REF!</v>
      </c>
      <c r="GR49" t="str">
        <f>AND(#REF!,"AAAAADfT+8c=")</f>
        <v>#REF!</v>
      </c>
      <c r="GS49" t="str">
        <f>AND(#REF!,"AAAAADfT+8g=")</f>
        <v>#REF!</v>
      </c>
      <c r="GT49" t="str">
        <f>AND(#REF!,"AAAAADfT+8k=")</f>
        <v>#REF!</v>
      </c>
      <c r="GU49" t="str">
        <f>AND(#REF!,"AAAAADfT+8o=")</f>
        <v>#REF!</v>
      </c>
      <c r="GV49" t="str">
        <f>AND(#REF!,"AAAAADfT+8s=")</f>
        <v>#REF!</v>
      </c>
      <c r="GW49" t="str">
        <f>AND(#REF!,"AAAAADfT+8w=")</f>
        <v>#REF!</v>
      </c>
      <c r="GX49" t="str">
        <f>AND(#REF!,"AAAAADfT+80=")</f>
        <v>#REF!</v>
      </c>
      <c r="GY49" t="str">
        <f>AND(#REF!,"AAAAADfT+84=")</f>
        <v>#REF!</v>
      </c>
      <c r="GZ49" t="str">
        <f>AND(#REF!,"AAAAADfT+88=")</f>
        <v>#REF!</v>
      </c>
      <c r="HA49" t="str">
        <f>AND(#REF!,"AAAAADfT+9A=")</f>
        <v>#REF!</v>
      </c>
      <c r="HB49" t="str">
        <f>AND(#REF!,"AAAAADfT+9E=")</f>
        <v>#REF!</v>
      </c>
      <c r="HC49" t="str">
        <f>AND(#REF!,"AAAAADfT+9I=")</f>
        <v>#REF!</v>
      </c>
      <c r="HD49" t="str">
        <f>AND(#REF!,"AAAAADfT+9M=")</f>
        <v>#REF!</v>
      </c>
      <c r="HE49" t="str">
        <f>AND(#REF!,"AAAAADfT+9Q=")</f>
        <v>#REF!</v>
      </c>
      <c r="HF49" t="str">
        <f>AND(#REF!,"AAAAADfT+9U=")</f>
        <v>#REF!</v>
      </c>
      <c r="HG49" t="str">
        <f>AND(#REF!,"AAAAADfT+9Y=")</f>
        <v>#REF!</v>
      </c>
      <c r="HH49" t="str">
        <f>AND(#REF!,"AAAAADfT+9c=")</f>
        <v>#REF!</v>
      </c>
      <c r="HI49" t="str">
        <f>AND(#REF!,"AAAAADfT+9g=")</f>
        <v>#REF!</v>
      </c>
      <c r="HJ49" t="str">
        <f>AND(#REF!,"AAAAADfT+9k=")</f>
        <v>#REF!</v>
      </c>
      <c r="HK49" t="str">
        <f>AND(#REF!,"AAAAADfT+9o=")</f>
        <v>#REF!</v>
      </c>
      <c r="HL49" t="str">
        <f>AND(#REF!,"AAAAADfT+9s=")</f>
        <v>#REF!</v>
      </c>
      <c r="HM49" t="str">
        <f>AND(#REF!,"AAAAADfT+9w=")</f>
        <v>#REF!</v>
      </c>
      <c r="HN49" t="str">
        <f>AND(#REF!,"AAAAADfT+90=")</f>
        <v>#REF!</v>
      </c>
      <c r="HO49" t="str">
        <f>AND(#REF!,"AAAAADfT+94=")</f>
        <v>#REF!</v>
      </c>
      <c r="HP49" t="str">
        <f>AND(#REF!,"AAAAADfT+98=")</f>
        <v>#REF!</v>
      </c>
      <c r="HQ49" t="str">
        <f>AND(#REF!,"AAAAADfT++A=")</f>
        <v>#REF!</v>
      </c>
      <c r="HR49" t="str">
        <f>AND(#REF!,"AAAAADfT++E=")</f>
        <v>#REF!</v>
      </c>
      <c r="HS49" t="str">
        <f>AND(#REF!,"AAAAADfT++I=")</f>
        <v>#REF!</v>
      </c>
      <c r="HT49" t="str">
        <f>AND(#REF!,"AAAAADfT++M=")</f>
        <v>#REF!</v>
      </c>
      <c r="HU49" t="str">
        <f>IF(#REF!,"AAAAADfT++Q=",0)</f>
        <v>#REF!</v>
      </c>
      <c r="HV49" t="str">
        <f>AND(#REF!,"AAAAADfT++U=")</f>
        <v>#REF!</v>
      </c>
      <c r="HW49" t="str">
        <f>AND(#REF!,"AAAAADfT++Y=")</f>
        <v>#REF!</v>
      </c>
      <c r="HX49" t="str">
        <f>AND(#REF!,"AAAAADfT++c=")</f>
        <v>#REF!</v>
      </c>
      <c r="HY49" t="str">
        <f>AND(#REF!,"AAAAADfT++g=")</f>
        <v>#REF!</v>
      </c>
      <c r="HZ49" t="str">
        <f>AND(#REF!,"AAAAADfT++k=")</f>
        <v>#REF!</v>
      </c>
      <c r="IA49" t="str">
        <f>AND(#REF!,"AAAAADfT++o=")</f>
        <v>#REF!</v>
      </c>
      <c r="IB49" t="str">
        <f>AND(#REF!,"AAAAADfT++s=")</f>
        <v>#REF!</v>
      </c>
      <c r="IC49" t="str">
        <f>AND(#REF!,"AAAAADfT++w=")</f>
        <v>#REF!</v>
      </c>
      <c r="ID49" t="str">
        <f>AND(#REF!,"AAAAADfT++0=")</f>
        <v>#REF!</v>
      </c>
      <c r="IE49" t="str">
        <f>AND(#REF!,"AAAAADfT++4=")</f>
        <v>#REF!</v>
      </c>
      <c r="IF49" t="str">
        <f>AND(#REF!,"AAAAADfT++8=")</f>
        <v>#REF!</v>
      </c>
      <c r="IG49" t="str">
        <f>AND(#REF!,"AAAAADfT+/A=")</f>
        <v>#REF!</v>
      </c>
      <c r="IH49" t="str">
        <f>AND(#REF!,"AAAAADfT+/E=")</f>
        <v>#REF!</v>
      </c>
      <c r="II49" t="str">
        <f>AND(#REF!,"AAAAADfT+/I=")</f>
        <v>#REF!</v>
      </c>
      <c r="IJ49" t="str">
        <f>AND(#REF!,"AAAAADfT+/M=")</f>
        <v>#REF!</v>
      </c>
      <c r="IK49" t="str">
        <f>AND(#REF!,"AAAAADfT+/Q=")</f>
        <v>#REF!</v>
      </c>
      <c r="IL49" t="str">
        <f>AND(#REF!,"AAAAADfT+/U=")</f>
        <v>#REF!</v>
      </c>
      <c r="IM49" t="str">
        <f>AND(#REF!,"AAAAADfT+/Y=")</f>
        <v>#REF!</v>
      </c>
      <c r="IN49" t="str">
        <f>AND(#REF!,"AAAAADfT+/c=")</f>
        <v>#REF!</v>
      </c>
      <c r="IO49" t="str">
        <f>AND(#REF!,"AAAAADfT+/g=")</f>
        <v>#REF!</v>
      </c>
      <c r="IP49" t="str">
        <f>AND(#REF!,"AAAAADfT+/k=")</f>
        <v>#REF!</v>
      </c>
      <c r="IQ49" t="str">
        <f>AND(#REF!,"AAAAADfT+/o=")</f>
        <v>#REF!</v>
      </c>
      <c r="IR49" t="str">
        <f>AND(#REF!,"AAAAADfT+/s=")</f>
        <v>#REF!</v>
      </c>
      <c r="IS49" t="str">
        <f>AND(#REF!,"AAAAADfT+/w=")</f>
        <v>#REF!</v>
      </c>
      <c r="IT49" t="str">
        <f>AND(#REF!,"AAAAADfT+/0=")</f>
        <v>#REF!</v>
      </c>
      <c r="IU49" t="str">
        <f>AND(#REF!,"AAAAADfT+/4=")</f>
        <v>#REF!</v>
      </c>
      <c r="IV49" t="str">
        <f>AND(#REF!,"AAAAADfT+/8=")</f>
        <v>#REF!</v>
      </c>
    </row>
    <row r="50" ht="15.75" customHeight="1">
      <c r="A50" t="str">
        <f>AND(#REF!,"AAAAACr3tgA=")</f>
        <v>#REF!</v>
      </c>
      <c r="B50" t="str">
        <f>AND(#REF!,"AAAAACr3tgE=")</f>
        <v>#REF!</v>
      </c>
      <c r="C50" t="str">
        <f>AND(#REF!,"AAAAACr3tgI=")</f>
        <v>#REF!</v>
      </c>
      <c r="D50" t="str">
        <f>AND(#REF!,"AAAAACr3tgM=")</f>
        <v>#REF!</v>
      </c>
      <c r="E50" t="str">
        <f>AND(#REF!,"AAAAACr3tgQ=")</f>
        <v>#REF!</v>
      </c>
      <c r="F50" t="str">
        <f>AND(#REF!,"AAAAACr3tgU=")</f>
        <v>#REF!</v>
      </c>
      <c r="G50" t="str">
        <f>AND(#REF!,"AAAAACr3tgY=")</f>
        <v>#REF!</v>
      </c>
      <c r="H50" t="str">
        <f>AND(#REF!,"AAAAACr3tgc=")</f>
        <v>#REF!</v>
      </c>
      <c r="I50" t="str">
        <f>AND(#REF!,"AAAAACr3tgg=")</f>
        <v>#REF!</v>
      </c>
      <c r="J50" t="str">
        <f>AND(#REF!,"AAAAACr3tgk=")</f>
        <v>#REF!</v>
      </c>
      <c r="K50" t="str">
        <f>AND(#REF!,"AAAAACr3tgo=")</f>
        <v>#REF!</v>
      </c>
      <c r="L50" t="str">
        <f>AND(#REF!,"AAAAACr3tgs=")</f>
        <v>#REF!</v>
      </c>
      <c r="M50" t="str">
        <f>AND(#REF!,"AAAAACr3tgw=")</f>
        <v>#REF!</v>
      </c>
      <c r="N50" t="str">
        <f>AND(#REF!,"AAAAACr3tg0=")</f>
        <v>#REF!</v>
      </c>
      <c r="O50" t="str">
        <f>AND(#REF!,"AAAAACr3tg4=")</f>
        <v>#REF!</v>
      </c>
      <c r="P50" t="str">
        <f>AND(#REF!,"AAAAACr3tg8=")</f>
        <v>#REF!</v>
      </c>
      <c r="Q50" t="str">
        <f>AND(#REF!,"AAAAACr3thA=")</f>
        <v>#REF!</v>
      </c>
      <c r="R50" t="str">
        <f>AND(#REF!,"AAAAACr3thE=")</f>
        <v>#REF!</v>
      </c>
      <c r="S50" t="str">
        <f>AND(#REF!,"AAAAACr3thI=")</f>
        <v>#REF!</v>
      </c>
      <c r="T50" t="str">
        <f>AND(#REF!,"AAAAACr3thM=")</f>
        <v>#REF!</v>
      </c>
      <c r="U50" t="str">
        <f>AND(#REF!,"AAAAACr3thQ=")</f>
        <v>#REF!</v>
      </c>
      <c r="V50" t="str">
        <f>AND(#REF!,"AAAAACr3thU=")</f>
        <v>#REF!</v>
      </c>
      <c r="W50" t="str">
        <f>AND(#REF!,"AAAAACr3thY=")</f>
        <v>#REF!</v>
      </c>
      <c r="X50" t="str">
        <f>AND(#REF!,"AAAAACr3thc=")</f>
        <v>#REF!</v>
      </c>
      <c r="Y50" t="str">
        <f>AND(#REF!,"AAAAACr3thg=")</f>
        <v>#REF!</v>
      </c>
      <c r="Z50" t="str">
        <f>AND(#REF!,"AAAAACr3thk=")</f>
        <v>#REF!</v>
      </c>
      <c r="AA50" t="str">
        <f>AND(#REF!,"AAAAACr3tho=")</f>
        <v>#REF!</v>
      </c>
      <c r="AB50" t="str">
        <f>AND(#REF!,"AAAAACr3ths=")</f>
        <v>#REF!</v>
      </c>
      <c r="AC50" t="str">
        <f>AND(#REF!,"AAAAACr3thw=")</f>
        <v>#REF!</v>
      </c>
      <c r="AD50" t="str">
        <f>AND(#REF!,"AAAAACr3th0=")</f>
        <v>#REF!</v>
      </c>
      <c r="AE50" t="str">
        <f>AND(#REF!,"AAAAACr3th4=")</f>
        <v>#REF!</v>
      </c>
      <c r="AF50" t="str">
        <f>AND(#REF!,"AAAAACr3th8=")</f>
        <v>#REF!</v>
      </c>
      <c r="AG50" t="str">
        <f>AND(#REF!,"AAAAACr3tiA=")</f>
        <v>#REF!</v>
      </c>
      <c r="AH50" t="str">
        <f>AND(#REF!,"AAAAACr3tiE=")</f>
        <v>#REF!</v>
      </c>
      <c r="AI50" t="str">
        <f>AND(#REF!,"AAAAACr3tiI=")</f>
        <v>#REF!</v>
      </c>
      <c r="AJ50" t="str">
        <f>AND(#REF!,"AAAAACr3tiM=")</f>
        <v>#REF!</v>
      </c>
      <c r="AK50" t="str">
        <f>AND(#REF!,"AAAAACr3tiQ=")</f>
        <v>#REF!</v>
      </c>
      <c r="AL50" t="str">
        <f>AND(#REF!,"AAAAACr3tiU=")</f>
        <v>#REF!</v>
      </c>
      <c r="AM50" t="str">
        <f>AND(#REF!,"AAAAACr3tiY=")</f>
        <v>#REF!</v>
      </c>
      <c r="AN50" t="str">
        <f>AND(#REF!,"AAAAACr3tic=")</f>
        <v>#REF!</v>
      </c>
      <c r="AO50" t="str">
        <f>AND(#REF!,"AAAAACr3tig=")</f>
        <v>#REF!</v>
      </c>
      <c r="AP50" t="str">
        <f>AND(#REF!,"AAAAACr3tik=")</f>
        <v>#REF!</v>
      </c>
      <c r="AQ50" t="str">
        <f>AND(#REF!,"AAAAACr3tio=")</f>
        <v>#REF!</v>
      </c>
      <c r="AR50" t="str">
        <f>AND(#REF!,"AAAAACr3tis=")</f>
        <v>#REF!</v>
      </c>
      <c r="AS50" t="str">
        <f>AND(#REF!,"AAAAACr3tiw=")</f>
        <v>#REF!</v>
      </c>
      <c r="AT50" t="str">
        <f>AND(#REF!,"AAAAACr3ti0=")</f>
        <v>#REF!</v>
      </c>
      <c r="AU50" t="str">
        <f>AND(#REF!,"AAAAACr3ti4=")</f>
        <v>#REF!</v>
      </c>
      <c r="AV50" t="str">
        <f>AND(#REF!,"AAAAACr3ti8=")</f>
        <v>#REF!</v>
      </c>
      <c r="AW50" t="str">
        <f>IF(#REF!,"AAAAACr3tjA=",0)</f>
        <v>#REF!</v>
      </c>
      <c r="AX50" t="str">
        <f>AND(#REF!,"AAAAACr3tjE=")</f>
        <v>#REF!</v>
      </c>
      <c r="AY50" t="str">
        <f>AND(#REF!,"AAAAACr3tjI=")</f>
        <v>#REF!</v>
      </c>
      <c r="AZ50" t="str">
        <f>AND(#REF!,"AAAAACr3tjM=")</f>
        <v>#REF!</v>
      </c>
      <c r="BA50" t="str">
        <f>AND(#REF!,"AAAAACr3tjQ=")</f>
        <v>#REF!</v>
      </c>
      <c r="BB50" t="str">
        <f>AND(#REF!,"AAAAACr3tjU=")</f>
        <v>#REF!</v>
      </c>
      <c r="BC50" t="str">
        <f>AND(#REF!,"AAAAACr3tjY=")</f>
        <v>#REF!</v>
      </c>
      <c r="BD50" t="str">
        <f>AND(#REF!,"AAAAACr3tjc=")</f>
        <v>#REF!</v>
      </c>
      <c r="BE50" t="str">
        <f>AND(#REF!,"AAAAACr3tjg=")</f>
        <v>#REF!</v>
      </c>
      <c r="BF50" t="str">
        <f>AND(#REF!,"AAAAACr3tjk=")</f>
        <v>#REF!</v>
      </c>
      <c r="BG50" t="str">
        <f>AND(#REF!,"AAAAACr3tjo=")</f>
        <v>#REF!</v>
      </c>
      <c r="BH50" t="str">
        <f>AND(#REF!,"AAAAACr3tjs=")</f>
        <v>#REF!</v>
      </c>
      <c r="BI50" t="str">
        <f>AND(#REF!,"AAAAACr3tjw=")</f>
        <v>#REF!</v>
      </c>
      <c r="BJ50" t="str">
        <f>AND(#REF!,"AAAAACr3tj0=")</f>
        <v>#REF!</v>
      </c>
      <c r="BK50" t="str">
        <f>AND(#REF!,"AAAAACr3tj4=")</f>
        <v>#REF!</v>
      </c>
      <c r="BL50" t="str">
        <f>AND(#REF!,"AAAAACr3tj8=")</f>
        <v>#REF!</v>
      </c>
      <c r="BM50" t="str">
        <f>AND(#REF!,"AAAAACr3tkA=")</f>
        <v>#REF!</v>
      </c>
      <c r="BN50" t="str">
        <f>AND(#REF!,"AAAAACr3tkE=")</f>
        <v>#REF!</v>
      </c>
      <c r="BO50" t="str">
        <f>AND(#REF!,"AAAAACr3tkI=")</f>
        <v>#REF!</v>
      </c>
      <c r="BP50" t="str">
        <f>AND(#REF!,"AAAAACr3tkM=")</f>
        <v>#REF!</v>
      </c>
      <c r="BQ50" t="str">
        <f>AND(#REF!,"AAAAACr3tkQ=")</f>
        <v>#REF!</v>
      </c>
      <c r="BR50" t="str">
        <f>AND(#REF!,"AAAAACr3tkU=")</f>
        <v>#REF!</v>
      </c>
      <c r="BS50" t="str">
        <f>AND(#REF!,"AAAAACr3tkY=")</f>
        <v>#REF!</v>
      </c>
      <c r="BT50" t="str">
        <f>AND(#REF!,"AAAAACr3tkc=")</f>
        <v>#REF!</v>
      </c>
      <c r="BU50" t="str">
        <f>AND(#REF!,"AAAAACr3tkg=")</f>
        <v>#REF!</v>
      </c>
      <c r="BV50" t="str">
        <f>AND(#REF!,"AAAAACr3tkk=")</f>
        <v>#REF!</v>
      </c>
      <c r="BW50" t="str">
        <f>AND(#REF!,"AAAAACr3tko=")</f>
        <v>#REF!</v>
      </c>
      <c r="BX50" t="str">
        <f>AND(#REF!,"AAAAACr3tks=")</f>
        <v>#REF!</v>
      </c>
      <c r="BY50" t="str">
        <f>AND(#REF!,"AAAAACr3tkw=")</f>
        <v>#REF!</v>
      </c>
      <c r="BZ50" t="str">
        <f>AND(#REF!,"AAAAACr3tk0=")</f>
        <v>#REF!</v>
      </c>
      <c r="CA50" t="str">
        <f>AND(#REF!,"AAAAACr3tk4=")</f>
        <v>#REF!</v>
      </c>
      <c r="CB50" t="str">
        <f>AND(#REF!,"AAAAACr3tk8=")</f>
        <v>#REF!</v>
      </c>
      <c r="CC50" t="str">
        <f>AND(#REF!,"AAAAACr3tlA=")</f>
        <v>#REF!</v>
      </c>
      <c r="CD50" t="str">
        <f>AND(#REF!,"AAAAACr3tlE=")</f>
        <v>#REF!</v>
      </c>
      <c r="CE50" t="str">
        <f>AND(#REF!,"AAAAACr3tlI=")</f>
        <v>#REF!</v>
      </c>
      <c r="CF50" t="str">
        <f>AND(#REF!,"AAAAACr3tlM=")</f>
        <v>#REF!</v>
      </c>
      <c r="CG50" t="str">
        <f>AND(#REF!,"AAAAACr3tlQ=")</f>
        <v>#REF!</v>
      </c>
      <c r="CH50" t="str">
        <f>AND(#REF!,"AAAAACr3tlU=")</f>
        <v>#REF!</v>
      </c>
      <c r="CI50" t="str">
        <f>AND(#REF!,"AAAAACr3tlY=")</f>
        <v>#REF!</v>
      </c>
      <c r="CJ50" t="str">
        <f>AND(#REF!,"AAAAACr3tlc=")</f>
        <v>#REF!</v>
      </c>
      <c r="CK50" t="str">
        <f>AND(#REF!,"AAAAACr3tlg=")</f>
        <v>#REF!</v>
      </c>
      <c r="CL50" t="str">
        <f>AND(#REF!,"AAAAACr3tlk=")</f>
        <v>#REF!</v>
      </c>
      <c r="CM50" t="str">
        <f>AND(#REF!,"AAAAACr3tlo=")</f>
        <v>#REF!</v>
      </c>
      <c r="CN50" t="str">
        <f>AND(#REF!,"AAAAACr3tls=")</f>
        <v>#REF!</v>
      </c>
      <c r="CO50" t="str">
        <f>AND(#REF!,"AAAAACr3tlw=")</f>
        <v>#REF!</v>
      </c>
      <c r="CP50" t="str">
        <f>AND(#REF!,"AAAAACr3tl0=")</f>
        <v>#REF!</v>
      </c>
      <c r="CQ50" t="str">
        <f>AND(#REF!,"AAAAACr3tl4=")</f>
        <v>#REF!</v>
      </c>
      <c r="CR50" t="str">
        <f>AND(#REF!,"AAAAACr3tl8=")</f>
        <v>#REF!</v>
      </c>
      <c r="CS50" t="str">
        <f>AND(#REF!,"AAAAACr3tmA=")</f>
        <v>#REF!</v>
      </c>
      <c r="CT50" t="str">
        <f>AND(#REF!,"AAAAACr3tmE=")</f>
        <v>#REF!</v>
      </c>
      <c r="CU50" t="str">
        <f>AND(#REF!,"AAAAACr3tmI=")</f>
        <v>#REF!</v>
      </c>
      <c r="CV50" t="str">
        <f>AND(#REF!,"AAAAACr3tmM=")</f>
        <v>#REF!</v>
      </c>
      <c r="CW50" t="str">
        <f>AND(#REF!,"AAAAACr3tmQ=")</f>
        <v>#REF!</v>
      </c>
      <c r="CX50" t="str">
        <f>AND(#REF!,"AAAAACr3tmU=")</f>
        <v>#REF!</v>
      </c>
      <c r="CY50" t="str">
        <f>AND(#REF!,"AAAAACr3tmY=")</f>
        <v>#REF!</v>
      </c>
      <c r="CZ50" t="str">
        <f>AND(#REF!,"AAAAACr3tmc=")</f>
        <v>#REF!</v>
      </c>
      <c r="DA50" t="str">
        <f>AND(#REF!,"AAAAACr3tmg=")</f>
        <v>#REF!</v>
      </c>
      <c r="DB50" t="str">
        <f>AND(#REF!,"AAAAACr3tmk=")</f>
        <v>#REF!</v>
      </c>
      <c r="DC50" t="str">
        <f>AND(#REF!,"AAAAACr3tmo=")</f>
        <v>#REF!</v>
      </c>
      <c r="DD50" t="str">
        <f>AND(#REF!,"AAAAACr3tms=")</f>
        <v>#REF!</v>
      </c>
      <c r="DE50" t="str">
        <f>AND(#REF!,"AAAAACr3tmw=")</f>
        <v>#REF!</v>
      </c>
      <c r="DF50" t="str">
        <f>AND(#REF!,"AAAAACr3tm0=")</f>
        <v>#REF!</v>
      </c>
      <c r="DG50" t="str">
        <f>AND(#REF!,"AAAAACr3tm4=")</f>
        <v>#REF!</v>
      </c>
      <c r="DH50" t="str">
        <f>AND(#REF!,"AAAAACr3tm8=")</f>
        <v>#REF!</v>
      </c>
      <c r="DI50" t="str">
        <f>AND(#REF!,"AAAAACr3tnA=")</f>
        <v>#REF!</v>
      </c>
      <c r="DJ50" t="str">
        <f>AND(#REF!,"AAAAACr3tnE=")</f>
        <v>#REF!</v>
      </c>
      <c r="DK50" t="str">
        <f>AND(#REF!,"AAAAACr3tnI=")</f>
        <v>#REF!</v>
      </c>
      <c r="DL50" t="str">
        <f>AND(#REF!,"AAAAACr3tnM=")</f>
        <v>#REF!</v>
      </c>
      <c r="DM50" t="str">
        <f>AND(#REF!,"AAAAACr3tnQ=")</f>
        <v>#REF!</v>
      </c>
      <c r="DN50" t="str">
        <f>AND(#REF!,"AAAAACr3tnU=")</f>
        <v>#REF!</v>
      </c>
      <c r="DO50" t="str">
        <f>AND(#REF!,"AAAAACr3tnY=")</f>
        <v>#REF!</v>
      </c>
      <c r="DP50" t="str">
        <f>AND(#REF!,"AAAAACr3tnc=")</f>
        <v>#REF!</v>
      </c>
      <c r="DQ50" t="str">
        <f>AND(#REF!,"AAAAACr3tng=")</f>
        <v>#REF!</v>
      </c>
      <c r="DR50" t="str">
        <f>AND(#REF!,"AAAAACr3tnk=")</f>
        <v>#REF!</v>
      </c>
      <c r="DS50" t="str">
        <f>AND(#REF!,"AAAAACr3tno=")</f>
        <v>#REF!</v>
      </c>
      <c r="DT50" t="str">
        <f>AND(#REF!,"AAAAACr3tns=")</f>
        <v>#REF!</v>
      </c>
      <c r="DU50" t="str">
        <f>IF(#REF!,"AAAAACr3tnw=",0)</f>
        <v>#REF!</v>
      </c>
      <c r="DV50" t="str">
        <f>AND(#REF!,"AAAAACr3tn0=")</f>
        <v>#REF!</v>
      </c>
      <c r="DW50" t="str">
        <f>AND(#REF!,"AAAAACr3tn4=")</f>
        <v>#REF!</v>
      </c>
      <c r="DX50" t="str">
        <f>AND(#REF!,"AAAAACr3tn8=")</f>
        <v>#REF!</v>
      </c>
      <c r="DY50" t="str">
        <f>AND(#REF!,"AAAAACr3toA=")</f>
        <v>#REF!</v>
      </c>
      <c r="DZ50" t="str">
        <f>AND(#REF!,"AAAAACr3toE=")</f>
        <v>#REF!</v>
      </c>
      <c r="EA50" t="str">
        <f>AND(#REF!,"AAAAACr3toI=")</f>
        <v>#REF!</v>
      </c>
      <c r="EB50" t="str">
        <f>AND(#REF!,"AAAAACr3toM=")</f>
        <v>#REF!</v>
      </c>
      <c r="EC50" t="str">
        <f>AND(#REF!,"AAAAACr3toQ=")</f>
        <v>#REF!</v>
      </c>
      <c r="ED50" t="str">
        <f>AND(#REF!,"AAAAACr3toU=")</f>
        <v>#REF!</v>
      </c>
      <c r="EE50" t="str">
        <f>AND(#REF!,"AAAAACr3toY=")</f>
        <v>#REF!</v>
      </c>
      <c r="EF50" t="str">
        <f>AND(#REF!,"AAAAACr3toc=")</f>
        <v>#REF!</v>
      </c>
      <c r="EG50" t="str">
        <f>AND(#REF!,"AAAAACr3tog=")</f>
        <v>#REF!</v>
      </c>
      <c r="EH50" t="str">
        <f>AND(#REF!,"AAAAACr3tok=")</f>
        <v>#REF!</v>
      </c>
      <c r="EI50" t="str">
        <f>AND(#REF!,"AAAAACr3too=")</f>
        <v>#REF!</v>
      </c>
      <c r="EJ50" t="str">
        <f>AND(#REF!,"AAAAACr3tos=")</f>
        <v>#REF!</v>
      </c>
      <c r="EK50" t="str">
        <f>AND(#REF!,"AAAAACr3tow=")</f>
        <v>#REF!</v>
      </c>
      <c r="EL50" t="str">
        <f>AND(#REF!,"AAAAACr3to0=")</f>
        <v>#REF!</v>
      </c>
      <c r="EM50" t="str">
        <f>AND(#REF!,"AAAAACr3to4=")</f>
        <v>#REF!</v>
      </c>
      <c r="EN50" t="str">
        <f>AND(#REF!,"AAAAACr3to8=")</f>
        <v>#REF!</v>
      </c>
      <c r="EO50" t="str">
        <f>AND(#REF!,"AAAAACr3tpA=")</f>
        <v>#REF!</v>
      </c>
      <c r="EP50" t="str">
        <f>AND(#REF!,"AAAAACr3tpE=")</f>
        <v>#REF!</v>
      </c>
      <c r="EQ50" t="str">
        <f>AND(#REF!,"AAAAACr3tpI=")</f>
        <v>#REF!</v>
      </c>
      <c r="ER50" t="str">
        <f>AND(#REF!,"AAAAACr3tpM=")</f>
        <v>#REF!</v>
      </c>
      <c r="ES50" t="str">
        <f>AND(#REF!,"AAAAACr3tpQ=")</f>
        <v>#REF!</v>
      </c>
      <c r="ET50" t="str">
        <f>AND(#REF!,"AAAAACr3tpU=")</f>
        <v>#REF!</v>
      </c>
      <c r="EU50" t="str">
        <f>AND(#REF!,"AAAAACr3tpY=")</f>
        <v>#REF!</v>
      </c>
      <c r="EV50" t="str">
        <f>AND(#REF!,"AAAAACr3tpc=")</f>
        <v>#REF!</v>
      </c>
      <c r="EW50" t="str">
        <f>AND(#REF!,"AAAAACr3tpg=")</f>
        <v>#REF!</v>
      </c>
      <c r="EX50" t="str">
        <f>AND(#REF!,"AAAAACr3tpk=")</f>
        <v>#REF!</v>
      </c>
      <c r="EY50" t="str">
        <f>AND(#REF!,"AAAAACr3tpo=")</f>
        <v>#REF!</v>
      </c>
      <c r="EZ50" t="str">
        <f>AND(#REF!,"AAAAACr3tps=")</f>
        <v>#REF!</v>
      </c>
      <c r="FA50" t="str">
        <f>AND(#REF!,"AAAAACr3tpw=")</f>
        <v>#REF!</v>
      </c>
      <c r="FB50" t="str">
        <f>AND(#REF!,"AAAAACr3tp0=")</f>
        <v>#REF!</v>
      </c>
      <c r="FC50" t="str">
        <f>AND(#REF!,"AAAAACr3tp4=")</f>
        <v>#REF!</v>
      </c>
      <c r="FD50" t="str">
        <f>AND(#REF!,"AAAAACr3tp8=")</f>
        <v>#REF!</v>
      </c>
      <c r="FE50" t="str">
        <f>AND(#REF!,"AAAAACr3tqA=")</f>
        <v>#REF!</v>
      </c>
      <c r="FF50" t="str">
        <f>AND(#REF!,"AAAAACr3tqE=")</f>
        <v>#REF!</v>
      </c>
      <c r="FG50" t="str">
        <f>AND(#REF!,"AAAAACr3tqI=")</f>
        <v>#REF!</v>
      </c>
      <c r="FH50" t="str">
        <f>AND(#REF!,"AAAAACr3tqM=")</f>
        <v>#REF!</v>
      </c>
      <c r="FI50" t="str">
        <f>AND(#REF!,"AAAAACr3tqQ=")</f>
        <v>#REF!</v>
      </c>
      <c r="FJ50" t="str">
        <f>AND(#REF!,"AAAAACr3tqU=")</f>
        <v>#REF!</v>
      </c>
      <c r="FK50" t="str">
        <f>AND(#REF!,"AAAAACr3tqY=")</f>
        <v>#REF!</v>
      </c>
      <c r="FL50" t="str">
        <f>AND(#REF!,"AAAAACr3tqc=")</f>
        <v>#REF!</v>
      </c>
      <c r="FM50" t="str">
        <f>AND(#REF!,"AAAAACr3tqg=")</f>
        <v>#REF!</v>
      </c>
      <c r="FN50" t="str">
        <f>AND(#REF!,"AAAAACr3tqk=")</f>
        <v>#REF!</v>
      </c>
      <c r="FO50" t="str">
        <f>AND(#REF!,"AAAAACr3tqo=")</f>
        <v>#REF!</v>
      </c>
      <c r="FP50" t="str">
        <f>AND(#REF!,"AAAAACr3tqs=")</f>
        <v>#REF!</v>
      </c>
      <c r="FQ50" t="str">
        <f>AND(#REF!,"AAAAACr3tqw=")</f>
        <v>#REF!</v>
      </c>
      <c r="FR50" t="str">
        <f>AND(#REF!,"AAAAACr3tq0=")</f>
        <v>#REF!</v>
      </c>
      <c r="FS50" t="str">
        <f>AND(#REF!,"AAAAACr3tq4=")</f>
        <v>#REF!</v>
      </c>
      <c r="FT50" t="str">
        <f>AND(#REF!,"AAAAACr3tq8=")</f>
        <v>#REF!</v>
      </c>
      <c r="FU50" t="str">
        <f>AND(#REF!,"AAAAACr3trA=")</f>
        <v>#REF!</v>
      </c>
      <c r="FV50" t="str">
        <f>AND(#REF!,"AAAAACr3trE=")</f>
        <v>#REF!</v>
      </c>
      <c r="FW50" t="str">
        <f>AND(#REF!,"AAAAACr3trI=")</f>
        <v>#REF!</v>
      </c>
      <c r="FX50" t="str">
        <f>AND(#REF!,"AAAAACr3trM=")</f>
        <v>#REF!</v>
      </c>
      <c r="FY50" t="str">
        <f>AND(#REF!,"AAAAACr3trQ=")</f>
        <v>#REF!</v>
      </c>
      <c r="FZ50" t="str">
        <f>AND(#REF!,"AAAAACr3trU=")</f>
        <v>#REF!</v>
      </c>
      <c r="GA50" t="str">
        <f>AND(#REF!,"AAAAACr3trY=")</f>
        <v>#REF!</v>
      </c>
      <c r="GB50" t="str">
        <f>AND(#REF!,"AAAAACr3trc=")</f>
        <v>#REF!</v>
      </c>
      <c r="GC50" t="str">
        <f>AND(#REF!,"AAAAACr3trg=")</f>
        <v>#REF!</v>
      </c>
      <c r="GD50" t="str">
        <f>AND(#REF!,"AAAAACr3trk=")</f>
        <v>#REF!</v>
      </c>
      <c r="GE50" t="str">
        <f>AND(#REF!,"AAAAACr3tro=")</f>
        <v>#REF!</v>
      </c>
      <c r="GF50" t="str">
        <f>AND(#REF!,"AAAAACr3trs=")</f>
        <v>#REF!</v>
      </c>
      <c r="GG50" t="str">
        <f>AND(#REF!,"AAAAACr3trw=")</f>
        <v>#REF!</v>
      </c>
      <c r="GH50" t="str">
        <f>AND(#REF!,"AAAAACr3tr0=")</f>
        <v>#REF!</v>
      </c>
      <c r="GI50" t="str">
        <f>AND(#REF!,"AAAAACr3tr4=")</f>
        <v>#REF!</v>
      </c>
      <c r="GJ50" t="str">
        <f>AND(#REF!,"AAAAACr3tr8=")</f>
        <v>#REF!</v>
      </c>
      <c r="GK50" t="str">
        <f>AND(#REF!,"AAAAACr3tsA=")</f>
        <v>#REF!</v>
      </c>
      <c r="GL50" t="str">
        <f>AND(#REF!,"AAAAACr3tsE=")</f>
        <v>#REF!</v>
      </c>
      <c r="GM50" t="str">
        <f>AND(#REF!,"AAAAACr3tsI=")</f>
        <v>#REF!</v>
      </c>
      <c r="GN50" t="str">
        <f>AND(#REF!,"AAAAACr3tsM=")</f>
        <v>#REF!</v>
      </c>
      <c r="GO50" t="str">
        <f>AND(#REF!,"AAAAACr3tsQ=")</f>
        <v>#REF!</v>
      </c>
      <c r="GP50" t="str">
        <f>AND(#REF!,"AAAAACr3tsU=")</f>
        <v>#REF!</v>
      </c>
      <c r="GQ50" t="str">
        <f>AND(#REF!,"AAAAACr3tsY=")</f>
        <v>#REF!</v>
      </c>
      <c r="GR50" t="str">
        <f>AND(#REF!,"AAAAACr3tsc=")</f>
        <v>#REF!</v>
      </c>
      <c r="GS50" t="str">
        <f>IF(#REF!,"AAAAACr3tsg=",0)</f>
        <v>#REF!</v>
      </c>
      <c r="GT50" t="str">
        <f>AND(#REF!,"AAAAACr3tsk=")</f>
        <v>#REF!</v>
      </c>
      <c r="GU50" t="str">
        <f>AND(#REF!,"AAAAACr3tso=")</f>
        <v>#REF!</v>
      </c>
      <c r="GV50" t="str">
        <f>AND(#REF!,"AAAAACr3tss=")</f>
        <v>#REF!</v>
      </c>
      <c r="GW50" t="str">
        <f>AND(#REF!,"AAAAACr3tsw=")</f>
        <v>#REF!</v>
      </c>
      <c r="GX50" t="str">
        <f>AND(#REF!,"AAAAACr3ts0=")</f>
        <v>#REF!</v>
      </c>
      <c r="GY50" t="str">
        <f>AND(#REF!,"AAAAACr3ts4=")</f>
        <v>#REF!</v>
      </c>
      <c r="GZ50" t="str">
        <f>AND(#REF!,"AAAAACr3ts8=")</f>
        <v>#REF!</v>
      </c>
      <c r="HA50" t="str">
        <f>AND(#REF!,"AAAAACr3ttA=")</f>
        <v>#REF!</v>
      </c>
      <c r="HB50" t="str">
        <f>AND(#REF!,"AAAAACr3ttE=")</f>
        <v>#REF!</v>
      </c>
      <c r="HC50" t="str">
        <f>AND(#REF!,"AAAAACr3ttI=")</f>
        <v>#REF!</v>
      </c>
      <c r="HD50" t="str">
        <f>AND(#REF!,"AAAAACr3ttM=")</f>
        <v>#REF!</v>
      </c>
      <c r="HE50" t="str">
        <f>AND(#REF!,"AAAAACr3ttQ=")</f>
        <v>#REF!</v>
      </c>
      <c r="HF50" t="str">
        <f>AND(#REF!,"AAAAACr3ttU=")</f>
        <v>#REF!</v>
      </c>
      <c r="HG50" t="str">
        <f>AND(#REF!,"AAAAACr3ttY=")</f>
        <v>#REF!</v>
      </c>
      <c r="HH50" t="str">
        <f>AND(#REF!,"AAAAACr3ttc=")</f>
        <v>#REF!</v>
      </c>
      <c r="HI50" t="str">
        <f>AND(#REF!,"AAAAACr3ttg=")</f>
        <v>#REF!</v>
      </c>
      <c r="HJ50" t="str">
        <f>AND(#REF!,"AAAAACr3ttk=")</f>
        <v>#REF!</v>
      </c>
      <c r="HK50" t="str">
        <f>AND(#REF!,"AAAAACr3tto=")</f>
        <v>#REF!</v>
      </c>
      <c r="HL50" t="str">
        <f>AND(#REF!,"AAAAACr3tts=")</f>
        <v>#REF!</v>
      </c>
      <c r="HM50" t="str">
        <f>AND(#REF!,"AAAAACr3ttw=")</f>
        <v>#REF!</v>
      </c>
      <c r="HN50" t="str">
        <f>AND(#REF!,"AAAAACr3tt0=")</f>
        <v>#REF!</v>
      </c>
      <c r="HO50" t="str">
        <f>AND(#REF!,"AAAAACr3tt4=")</f>
        <v>#REF!</v>
      </c>
      <c r="HP50" t="str">
        <f>AND(#REF!,"AAAAACr3tt8=")</f>
        <v>#REF!</v>
      </c>
      <c r="HQ50" t="str">
        <f>AND(#REF!,"AAAAACr3tuA=")</f>
        <v>#REF!</v>
      </c>
      <c r="HR50" t="str">
        <f>AND(#REF!,"AAAAACr3tuE=")</f>
        <v>#REF!</v>
      </c>
      <c r="HS50" t="str">
        <f>AND(#REF!,"AAAAACr3tuI=")</f>
        <v>#REF!</v>
      </c>
      <c r="HT50" t="str">
        <f>AND(#REF!,"AAAAACr3tuM=")</f>
        <v>#REF!</v>
      </c>
      <c r="HU50" t="str">
        <f>AND(#REF!,"AAAAACr3tuQ=")</f>
        <v>#REF!</v>
      </c>
      <c r="HV50" t="str">
        <f>AND(#REF!,"AAAAACr3tuU=")</f>
        <v>#REF!</v>
      </c>
      <c r="HW50" t="str">
        <f>AND(#REF!,"AAAAACr3tuY=")</f>
        <v>#REF!</v>
      </c>
      <c r="HX50" t="str">
        <f>AND(#REF!,"AAAAACr3tuc=")</f>
        <v>#REF!</v>
      </c>
      <c r="HY50" t="str">
        <f>AND(#REF!,"AAAAACr3tug=")</f>
        <v>#REF!</v>
      </c>
      <c r="HZ50" t="str">
        <f>AND(#REF!,"AAAAACr3tuk=")</f>
        <v>#REF!</v>
      </c>
      <c r="IA50" t="str">
        <f>AND(#REF!,"AAAAACr3tuo=")</f>
        <v>#REF!</v>
      </c>
      <c r="IB50" t="str">
        <f>AND(#REF!,"AAAAACr3tus=")</f>
        <v>#REF!</v>
      </c>
      <c r="IC50" t="str">
        <f>AND(#REF!,"AAAAACr3tuw=")</f>
        <v>#REF!</v>
      </c>
      <c r="ID50" t="str">
        <f>AND(#REF!,"AAAAACr3tu0=")</f>
        <v>#REF!</v>
      </c>
      <c r="IE50" t="str">
        <f>AND(#REF!,"AAAAACr3tu4=")</f>
        <v>#REF!</v>
      </c>
      <c r="IF50" t="str">
        <f>AND(#REF!,"AAAAACr3tu8=")</f>
        <v>#REF!</v>
      </c>
      <c r="IG50" t="str">
        <f>AND(#REF!,"AAAAACr3tvA=")</f>
        <v>#REF!</v>
      </c>
      <c r="IH50" t="str">
        <f>AND(#REF!,"AAAAACr3tvE=")</f>
        <v>#REF!</v>
      </c>
      <c r="II50" t="str">
        <f>AND(#REF!,"AAAAACr3tvI=")</f>
        <v>#REF!</v>
      </c>
      <c r="IJ50" t="str">
        <f>AND(#REF!,"AAAAACr3tvM=")</f>
        <v>#REF!</v>
      </c>
      <c r="IK50" t="str">
        <f>AND(#REF!,"AAAAACr3tvQ=")</f>
        <v>#REF!</v>
      </c>
      <c r="IL50" t="str">
        <f>AND(#REF!,"AAAAACr3tvU=")</f>
        <v>#REF!</v>
      </c>
      <c r="IM50" t="str">
        <f>AND(#REF!,"AAAAACr3tvY=")</f>
        <v>#REF!</v>
      </c>
      <c r="IN50" t="str">
        <f>AND(#REF!,"AAAAACr3tvc=")</f>
        <v>#REF!</v>
      </c>
      <c r="IO50" t="str">
        <f>AND(#REF!,"AAAAACr3tvg=")</f>
        <v>#REF!</v>
      </c>
      <c r="IP50" t="str">
        <f>AND(#REF!,"AAAAACr3tvk=")</f>
        <v>#REF!</v>
      </c>
      <c r="IQ50" t="str">
        <f>AND(#REF!,"AAAAACr3tvo=")</f>
        <v>#REF!</v>
      </c>
      <c r="IR50" t="str">
        <f>AND(#REF!,"AAAAACr3tvs=")</f>
        <v>#REF!</v>
      </c>
      <c r="IS50" t="str">
        <f>AND(#REF!,"AAAAACr3tvw=")</f>
        <v>#REF!</v>
      </c>
      <c r="IT50" t="str">
        <f>AND(#REF!,"AAAAACr3tv0=")</f>
        <v>#REF!</v>
      </c>
      <c r="IU50" t="str">
        <f>AND(#REF!,"AAAAACr3tv4=")</f>
        <v>#REF!</v>
      </c>
      <c r="IV50" t="str">
        <f>AND(#REF!,"AAAAACr3tv8=")</f>
        <v>#REF!</v>
      </c>
    </row>
    <row r="51" ht="15.75" customHeight="1">
      <c r="A51" t="str">
        <f>AND(#REF!,"AAAAAF3f5wA=")</f>
        <v>#REF!</v>
      </c>
      <c r="B51" t="str">
        <f>AND(#REF!,"AAAAAF3f5wE=")</f>
        <v>#REF!</v>
      </c>
      <c r="C51" t="str">
        <f>AND(#REF!,"AAAAAF3f5wI=")</f>
        <v>#REF!</v>
      </c>
      <c r="D51" t="str">
        <f>AND(#REF!,"AAAAAF3f5wM=")</f>
        <v>#REF!</v>
      </c>
      <c r="E51" t="str">
        <f>AND(#REF!,"AAAAAF3f5wQ=")</f>
        <v>#REF!</v>
      </c>
      <c r="F51" t="str">
        <f>AND(#REF!,"AAAAAF3f5wU=")</f>
        <v>#REF!</v>
      </c>
      <c r="G51" t="str">
        <f>AND(#REF!,"AAAAAF3f5wY=")</f>
        <v>#REF!</v>
      </c>
      <c r="H51" t="str">
        <f>AND(#REF!,"AAAAAF3f5wc=")</f>
        <v>#REF!</v>
      </c>
      <c r="I51" t="str">
        <f>AND(#REF!,"AAAAAF3f5wg=")</f>
        <v>#REF!</v>
      </c>
      <c r="J51" t="str">
        <f>AND(#REF!,"AAAAAF3f5wk=")</f>
        <v>#REF!</v>
      </c>
      <c r="K51" t="str">
        <f>AND(#REF!,"AAAAAF3f5wo=")</f>
        <v>#REF!</v>
      </c>
      <c r="L51" t="str">
        <f>AND(#REF!,"AAAAAF3f5ws=")</f>
        <v>#REF!</v>
      </c>
      <c r="M51" t="str">
        <f>AND(#REF!,"AAAAAF3f5ww=")</f>
        <v>#REF!</v>
      </c>
      <c r="N51" t="str">
        <f>AND(#REF!,"AAAAAF3f5w0=")</f>
        <v>#REF!</v>
      </c>
      <c r="O51" t="str">
        <f>AND(#REF!,"AAAAAF3f5w4=")</f>
        <v>#REF!</v>
      </c>
      <c r="P51" t="str">
        <f>AND(#REF!,"AAAAAF3f5w8=")</f>
        <v>#REF!</v>
      </c>
      <c r="Q51" t="str">
        <f>AND(#REF!,"AAAAAF3f5xA=")</f>
        <v>#REF!</v>
      </c>
      <c r="R51" t="str">
        <f>AND(#REF!,"AAAAAF3f5xE=")</f>
        <v>#REF!</v>
      </c>
      <c r="S51" t="str">
        <f>AND(#REF!,"AAAAAF3f5xI=")</f>
        <v>#REF!</v>
      </c>
      <c r="T51" t="str">
        <f>AND(#REF!,"AAAAAF3f5xM=")</f>
        <v>#REF!</v>
      </c>
      <c r="U51" t="str">
        <f>IF(#REF!,"AAAAAF3f5xQ=",0)</f>
        <v>#REF!</v>
      </c>
      <c r="V51" t="str">
        <f>AND(#REF!,"AAAAAF3f5xU=")</f>
        <v>#REF!</v>
      </c>
      <c r="W51" t="str">
        <f>AND(#REF!,"AAAAAF3f5xY=")</f>
        <v>#REF!</v>
      </c>
      <c r="X51" t="str">
        <f>AND(#REF!,"AAAAAF3f5xc=")</f>
        <v>#REF!</v>
      </c>
      <c r="Y51" t="str">
        <f>AND(#REF!,"AAAAAF3f5xg=")</f>
        <v>#REF!</v>
      </c>
      <c r="Z51" t="str">
        <f>AND(#REF!,"AAAAAF3f5xk=")</f>
        <v>#REF!</v>
      </c>
      <c r="AA51" t="str">
        <f>AND(#REF!,"AAAAAF3f5xo=")</f>
        <v>#REF!</v>
      </c>
      <c r="AB51" t="str">
        <f>AND(#REF!,"AAAAAF3f5xs=")</f>
        <v>#REF!</v>
      </c>
      <c r="AC51" t="str">
        <f>AND(#REF!,"AAAAAF3f5xw=")</f>
        <v>#REF!</v>
      </c>
      <c r="AD51" t="str">
        <f>AND(#REF!,"AAAAAF3f5x0=")</f>
        <v>#REF!</v>
      </c>
      <c r="AE51" t="str">
        <f>AND(#REF!,"AAAAAF3f5x4=")</f>
        <v>#REF!</v>
      </c>
      <c r="AF51" t="str">
        <f>AND(#REF!,"AAAAAF3f5x8=")</f>
        <v>#REF!</v>
      </c>
      <c r="AG51" t="str">
        <f>AND(#REF!,"AAAAAF3f5yA=")</f>
        <v>#REF!</v>
      </c>
      <c r="AH51" t="str">
        <f>AND(#REF!,"AAAAAF3f5yE=")</f>
        <v>#REF!</v>
      </c>
      <c r="AI51" t="str">
        <f>AND(#REF!,"AAAAAF3f5yI=")</f>
        <v>#REF!</v>
      </c>
      <c r="AJ51" t="str">
        <f>AND(#REF!,"AAAAAF3f5yM=")</f>
        <v>#REF!</v>
      </c>
      <c r="AK51" t="str">
        <f>AND(#REF!,"AAAAAF3f5yQ=")</f>
        <v>#REF!</v>
      </c>
      <c r="AL51" t="str">
        <f>AND(#REF!,"AAAAAF3f5yU=")</f>
        <v>#REF!</v>
      </c>
      <c r="AM51" t="str">
        <f>AND(#REF!,"AAAAAF3f5yY=")</f>
        <v>#REF!</v>
      </c>
      <c r="AN51" t="str">
        <f>AND(#REF!,"AAAAAF3f5yc=")</f>
        <v>#REF!</v>
      </c>
      <c r="AO51" t="str">
        <f>AND(#REF!,"AAAAAF3f5yg=")</f>
        <v>#REF!</v>
      </c>
      <c r="AP51" t="str">
        <f>AND(#REF!,"AAAAAF3f5yk=")</f>
        <v>#REF!</v>
      </c>
      <c r="AQ51" t="str">
        <f>AND(#REF!,"AAAAAF3f5yo=")</f>
        <v>#REF!</v>
      </c>
      <c r="AR51" t="str">
        <f>AND(#REF!,"AAAAAF3f5ys=")</f>
        <v>#REF!</v>
      </c>
      <c r="AS51" t="str">
        <f>AND(#REF!,"AAAAAF3f5yw=")</f>
        <v>#REF!</v>
      </c>
      <c r="AT51" t="str">
        <f>AND(#REF!,"AAAAAF3f5y0=")</f>
        <v>#REF!</v>
      </c>
      <c r="AU51" t="str">
        <f>AND(#REF!,"AAAAAF3f5y4=")</f>
        <v>#REF!</v>
      </c>
      <c r="AV51" t="str">
        <f>AND(#REF!,"AAAAAF3f5y8=")</f>
        <v>#REF!</v>
      </c>
      <c r="AW51" t="str">
        <f>AND(#REF!,"AAAAAF3f5zA=")</f>
        <v>#REF!</v>
      </c>
      <c r="AX51" t="str">
        <f>AND(#REF!,"AAAAAF3f5zE=")</f>
        <v>#REF!</v>
      </c>
      <c r="AY51" t="str">
        <f>AND(#REF!,"AAAAAF3f5zI=")</f>
        <v>#REF!</v>
      </c>
      <c r="AZ51" t="str">
        <f>AND(#REF!,"AAAAAF3f5zM=")</f>
        <v>#REF!</v>
      </c>
      <c r="BA51" t="str">
        <f>AND(#REF!,"AAAAAF3f5zQ=")</f>
        <v>#REF!</v>
      </c>
      <c r="BB51" t="str">
        <f>AND(#REF!,"AAAAAF3f5zU=")</f>
        <v>#REF!</v>
      </c>
      <c r="BC51" t="str">
        <f>AND(#REF!,"AAAAAF3f5zY=")</f>
        <v>#REF!</v>
      </c>
      <c r="BD51" t="str">
        <f>AND(#REF!,"AAAAAF3f5zc=")</f>
        <v>#REF!</v>
      </c>
      <c r="BE51" t="str">
        <f>AND(#REF!,"AAAAAF3f5zg=")</f>
        <v>#REF!</v>
      </c>
      <c r="BF51" t="str">
        <f>AND(#REF!,"AAAAAF3f5zk=")</f>
        <v>#REF!</v>
      </c>
      <c r="BG51" t="str">
        <f>AND(#REF!,"AAAAAF3f5zo=")</f>
        <v>#REF!</v>
      </c>
      <c r="BH51" t="str">
        <f>AND(#REF!,"AAAAAF3f5zs=")</f>
        <v>#REF!</v>
      </c>
      <c r="BI51" t="str">
        <f>AND(#REF!,"AAAAAF3f5zw=")</f>
        <v>#REF!</v>
      </c>
      <c r="BJ51" t="str">
        <f>AND(#REF!,"AAAAAF3f5z0=")</f>
        <v>#REF!</v>
      </c>
      <c r="BK51" t="str">
        <f>AND(#REF!,"AAAAAF3f5z4=")</f>
        <v>#REF!</v>
      </c>
      <c r="BL51" t="str">
        <f>AND(#REF!,"AAAAAF3f5z8=")</f>
        <v>#REF!</v>
      </c>
      <c r="BM51" t="str">
        <f>AND(#REF!,"AAAAAF3f50A=")</f>
        <v>#REF!</v>
      </c>
      <c r="BN51" t="str">
        <f>AND(#REF!,"AAAAAF3f50E=")</f>
        <v>#REF!</v>
      </c>
      <c r="BO51" t="str">
        <f>AND(#REF!,"AAAAAF3f50I=")</f>
        <v>#REF!</v>
      </c>
      <c r="BP51" t="str">
        <f>AND(#REF!,"AAAAAF3f50M=")</f>
        <v>#REF!</v>
      </c>
      <c r="BQ51" t="str">
        <f>AND(#REF!,"AAAAAF3f50Q=")</f>
        <v>#REF!</v>
      </c>
      <c r="BR51" t="str">
        <f>AND(#REF!,"AAAAAF3f50U=")</f>
        <v>#REF!</v>
      </c>
      <c r="BS51" t="str">
        <f>AND(#REF!,"AAAAAF3f50Y=")</f>
        <v>#REF!</v>
      </c>
      <c r="BT51" t="str">
        <f>AND(#REF!,"AAAAAF3f50c=")</f>
        <v>#REF!</v>
      </c>
      <c r="BU51" t="str">
        <f>AND(#REF!,"AAAAAF3f50g=")</f>
        <v>#REF!</v>
      </c>
      <c r="BV51" t="str">
        <f>AND(#REF!,"AAAAAF3f50k=")</f>
        <v>#REF!</v>
      </c>
      <c r="BW51" t="str">
        <f>AND(#REF!,"AAAAAF3f50o=")</f>
        <v>#REF!</v>
      </c>
      <c r="BX51" t="str">
        <f>AND(#REF!,"AAAAAF3f50s=")</f>
        <v>#REF!</v>
      </c>
      <c r="BY51" t="str">
        <f>AND(#REF!,"AAAAAF3f50w=")</f>
        <v>#REF!</v>
      </c>
      <c r="BZ51" t="str">
        <f>AND(#REF!,"AAAAAF3f500=")</f>
        <v>#REF!</v>
      </c>
      <c r="CA51" t="str">
        <f>AND(#REF!,"AAAAAF3f504=")</f>
        <v>#REF!</v>
      </c>
      <c r="CB51" t="str">
        <f>AND(#REF!,"AAAAAF3f508=")</f>
        <v>#REF!</v>
      </c>
      <c r="CC51" t="str">
        <f>AND(#REF!,"AAAAAF3f51A=")</f>
        <v>#REF!</v>
      </c>
      <c r="CD51" t="str">
        <f>AND(#REF!,"AAAAAF3f51E=")</f>
        <v>#REF!</v>
      </c>
      <c r="CE51" t="str">
        <f>AND(#REF!,"AAAAAF3f51I=")</f>
        <v>#REF!</v>
      </c>
      <c r="CF51" t="str">
        <f>AND(#REF!,"AAAAAF3f51M=")</f>
        <v>#REF!</v>
      </c>
      <c r="CG51" t="str">
        <f>AND(#REF!,"AAAAAF3f51Q=")</f>
        <v>#REF!</v>
      </c>
      <c r="CH51" t="str">
        <f>AND(#REF!,"AAAAAF3f51U=")</f>
        <v>#REF!</v>
      </c>
      <c r="CI51" t="str">
        <f>AND(#REF!,"AAAAAF3f51Y=")</f>
        <v>#REF!</v>
      </c>
      <c r="CJ51" t="str">
        <f>AND(#REF!,"AAAAAF3f51c=")</f>
        <v>#REF!</v>
      </c>
      <c r="CK51" t="str">
        <f>AND(#REF!,"AAAAAF3f51g=")</f>
        <v>#REF!</v>
      </c>
      <c r="CL51" t="str">
        <f>AND(#REF!,"AAAAAF3f51k=")</f>
        <v>#REF!</v>
      </c>
      <c r="CM51" t="str">
        <f>AND(#REF!,"AAAAAF3f51o=")</f>
        <v>#REF!</v>
      </c>
      <c r="CN51" t="str">
        <f>AND(#REF!,"AAAAAF3f51s=")</f>
        <v>#REF!</v>
      </c>
      <c r="CO51" t="str">
        <f>AND(#REF!,"AAAAAF3f51w=")</f>
        <v>#REF!</v>
      </c>
      <c r="CP51" t="str">
        <f>AND(#REF!,"AAAAAF3f510=")</f>
        <v>#REF!</v>
      </c>
      <c r="CQ51" t="str">
        <f>AND(#REF!,"AAAAAF3f514=")</f>
        <v>#REF!</v>
      </c>
      <c r="CR51" t="str">
        <f>AND(#REF!,"AAAAAF3f518=")</f>
        <v>#REF!</v>
      </c>
      <c r="CS51" t="str">
        <f>IF(#REF!,"AAAAAF3f52A=",0)</f>
        <v>#REF!</v>
      </c>
      <c r="CT51" t="str">
        <f>AND(#REF!,"AAAAAF3f52E=")</f>
        <v>#REF!</v>
      </c>
      <c r="CU51" t="str">
        <f>AND(#REF!,"AAAAAF3f52I=")</f>
        <v>#REF!</v>
      </c>
      <c r="CV51" t="str">
        <f>AND(#REF!,"AAAAAF3f52M=")</f>
        <v>#REF!</v>
      </c>
      <c r="CW51" t="str">
        <f>AND(#REF!,"AAAAAF3f52Q=")</f>
        <v>#REF!</v>
      </c>
      <c r="CX51" t="str">
        <f>AND(#REF!,"AAAAAF3f52U=")</f>
        <v>#REF!</v>
      </c>
      <c r="CY51" t="str">
        <f>AND(#REF!,"AAAAAF3f52Y=")</f>
        <v>#REF!</v>
      </c>
      <c r="CZ51" t="str">
        <f>AND(#REF!,"AAAAAF3f52c=")</f>
        <v>#REF!</v>
      </c>
      <c r="DA51" t="str">
        <f>AND(#REF!,"AAAAAF3f52g=")</f>
        <v>#REF!</v>
      </c>
      <c r="DB51" t="str">
        <f>AND(#REF!,"AAAAAF3f52k=")</f>
        <v>#REF!</v>
      </c>
      <c r="DC51" t="str">
        <f>AND(#REF!,"AAAAAF3f52o=")</f>
        <v>#REF!</v>
      </c>
      <c r="DD51" t="str">
        <f>AND(#REF!,"AAAAAF3f52s=")</f>
        <v>#REF!</v>
      </c>
      <c r="DE51" t="str">
        <f>AND(#REF!,"AAAAAF3f52w=")</f>
        <v>#REF!</v>
      </c>
      <c r="DF51" t="str">
        <f>AND(#REF!,"AAAAAF3f520=")</f>
        <v>#REF!</v>
      </c>
      <c r="DG51" t="str">
        <f>AND(#REF!,"AAAAAF3f524=")</f>
        <v>#REF!</v>
      </c>
      <c r="DH51" t="str">
        <f>AND(#REF!,"AAAAAF3f528=")</f>
        <v>#REF!</v>
      </c>
      <c r="DI51" t="str">
        <f>AND(#REF!,"AAAAAF3f53A=")</f>
        <v>#REF!</v>
      </c>
      <c r="DJ51" t="str">
        <f>AND(#REF!,"AAAAAF3f53E=")</f>
        <v>#REF!</v>
      </c>
      <c r="DK51" t="str">
        <f>AND(#REF!,"AAAAAF3f53I=")</f>
        <v>#REF!</v>
      </c>
      <c r="DL51" t="str">
        <f>AND(#REF!,"AAAAAF3f53M=")</f>
        <v>#REF!</v>
      </c>
      <c r="DM51" t="str">
        <f>AND(#REF!,"AAAAAF3f53Q=")</f>
        <v>#REF!</v>
      </c>
      <c r="DN51" t="str">
        <f>AND(#REF!,"AAAAAF3f53U=")</f>
        <v>#REF!</v>
      </c>
      <c r="DO51" t="str">
        <f>AND(#REF!,"AAAAAF3f53Y=")</f>
        <v>#REF!</v>
      </c>
      <c r="DP51" t="str">
        <f>AND(#REF!,"AAAAAF3f53c=")</f>
        <v>#REF!</v>
      </c>
      <c r="DQ51" t="str">
        <f>AND(#REF!,"AAAAAF3f53g=")</f>
        <v>#REF!</v>
      </c>
      <c r="DR51" t="str">
        <f>AND(#REF!,"AAAAAF3f53k=")</f>
        <v>#REF!</v>
      </c>
      <c r="DS51" t="str">
        <f>AND(#REF!,"AAAAAF3f53o=")</f>
        <v>#REF!</v>
      </c>
      <c r="DT51" t="str">
        <f>AND(#REF!,"AAAAAF3f53s=")</f>
        <v>#REF!</v>
      </c>
      <c r="DU51" t="str">
        <f>AND(#REF!,"AAAAAF3f53w=")</f>
        <v>#REF!</v>
      </c>
      <c r="DV51" t="str">
        <f>AND(#REF!,"AAAAAF3f530=")</f>
        <v>#REF!</v>
      </c>
      <c r="DW51" t="str">
        <f>AND(#REF!,"AAAAAF3f534=")</f>
        <v>#REF!</v>
      </c>
      <c r="DX51" t="str">
        <f>AND(#REF!,"AAAAAF3f538=")</f>
        <v>#REF!</v>
      </c>
      <c r="DY51" t="str">
        <f>AND(#REF!,"AAAAAF3f54A=")</f>
        <v>#REF!</v>
      </c>
      <c r="DZ51" t="str">
        <f>AND(#REF!,"AAAAAF3f54E=")</f>
        <v>#REF!</v>
      </c>
      <c r="EA51" t="str">
        <f>AND(#REF!,"AAAAAF3f54I=")</f>
        <v>#REF!</v>
      </c>
      <c r="EB51" t="str">
        <f>AND(#REF!,"AAAAAF3f54M=")</f>
        <v>#REF!</v>
      </c>
      <c r="EC51" t="str">
        <f>AND(#REF!,"AAAAAF3f54Q=")</f>
        <v>#REF!</v>
      </c>
      <c r="ED51" t="str">
        <f>AND(#REF!,"AAAAAF3f54U=")</f>
        <v>#REF!</v>
      </c>
      <c r="EE51" t="str">
        <f>AND(#REF!,"AAAAAF3f54Y=")</f>
        <v>#REF!</v>
      </c>
      <c r="EF51" t="str">
        <f>AND(#REF!,"AAAAAF3f54c=")</f>
        <v>#REF!</v>
      </c>
      <c r="EG51" t="str">
        <f>AND(#REF!,"AAAAAF3f54g=")</f>
        <v>#REF!</v>
      </c>
      <c r="EH51" t="str">
        <f>AND(#REF!,"AAAAAF3f54k=")</f>
        <v>#REF!</v>
      </c>
      <c r="EI51" t="str">
        <f>AND(#REF!,"AAAAAF3f54o=")</f>
        <v>#REF!</v>
      </c>
      <c r="EJ51" t="str">
        <f>AND(#REF!,"AAAAAF3f54s=")</f>
        <v>#REF!</v>
      </c>
      <c r="EK51" t="str">
        <f>AND(#REF!,"AAAAAF3f54w=")</f>
        <v>#REF!</v>
      </c>
      <c r="EL51" t="str">
        <f>AND(#REF!,"AAAAAF3f540=")</f>
        <v>#REF!</v>
      </c>
      <c r="EM51" t="str">
        <f>AND(#REF!,"AAAAAF3f544=")</f>
        <v>#REF!</v>
      </c>
      <c r="EN51" t="str">
        <f>AND(#REF!,"AAAAAF3f548=")</f>
        <v>#REF!</v>
      </c>
      <c r="EO51" t="str">
        <f>AND(#REF!,"AAAAAF3f55A=")</f>
        <v>#REF!</v>
      </c>
      <c r="EP51" t="str">
        <f>AND(#REF!,"AAAAAF3f55E=")</f>
        <v>#REF!</v>
      </c>
      <c r="EQ51" t="str">
        <f>AND(#REF!,"AAAAAF3f55I=")</f>
        <v>#REF!</v>
      </c>
      <c r="ER51" t="str">
        <f>AND(#REF!,"AAAAAF3f55M=")</f>
        <v>#REF!</v>
      </c>
      <c r="ES51" t="str">
        <f>AND(#REF!,"AAAAAF3f55Q=")</f>
        <v>#REF!</v>
      </c>
      <c r="ET51" t="str">
        <f>AND(#REF!,"AAAAAF3f55U=")</f>
        <v>#REF!</v>
      </c>
      <c r="EU51" t="str">
        <f>AND(#REF!,"AAAAAF3f55Y=")</f>
        <v>#REF!</v>
      </c>
      <c r="EV51" t="str">
        <f>AND(#REF!,"AAAAAF3f55c=")</f>
        <v>#REF!</v>
      </c>
      <c r="EW51" t="str">
        <f>AND(#REF!,"AAAAAF3f55g=")</f>
        <v>#REF!</v>
      </c>
      <c r="EX51" t="str">
        <f>AND(#REF!,"AAAAAF3f55k=")</f>
        <v>#REF!</v>
      </c>
      <c r="EY51" t="str">
        <f>AND(#REF!,"AAAAAF3f55o=")</f>
        <v>#REF!</v>
      </c>
      <c r="EZ51" t="str">
        <f>AND(#REF!,"AAAAAF3f55s=")</f>
        <v>#REF!</v>
      </c>
      <c r="FA51" t="str">
        <f>AND(#REF!,"AAAAAF3f55w=")</f>
        <v>#REF!</v>
      </c>
      <c r="FB51" t="str">
        <f>AND(#REF!,"AAAAAF3f550=")</f>
        <v>#REF!</v>
      </c>
      <c r="FC51" t="str">
        <f>AND(#REF!,"AAAAAF3f554=")</f>
        <v>#REF!</v>
      </c>
      <c r="FD51" t="str">
        <f>AND(#REF!,"AAAAAF3f558=")</f>
        <v>#REF!</v>
      </c>
      <c r="FE51" t="str">
        <f>AND(#REF!,"AAAAAF3f56A=")</f>
        <v>#REF!</v>
      </c>
      <c r="FF51" t="str">
        <f>AND(#REF!,"AAAAAF3f56E=")</f>
        <v>#REF!</v>
      </c>
      <c r="FG51" t="str">
        <f>AND(#REF!,"AAAAAF3f56I=")</f>
        <v>#REF!</v>
      </c>
      <c r="FH51" t="str">
        <f>AND(#REF!,"AAAAAF3f56M=")</f>
        <v>#REF!</v>
      </c>
      <c r="FI51" t="str">
        <f>AND(#REF!,"AAAAAF3f56Q=")</f>
        <v>#REF!</v>
      </c>
      <c r="FJ51" t="str">
        <f>AND(#REF!,"AAAAAF3f56U=")</f>
        <v>#REF!</v>
      </c>
      <c r="FK51" t="str">
        <f>AND(#REF!,"AAAAAF3f56Y=")</f>
        <v>#REF!</v>
      </c>
      <c r="FL51" t="str">
        <f>AND(#REF!,"AAAAAF3f56c=")</f>
        <v>#REF!</v>
      </c>
      <c r="FM51" t="str">
        <f>AND(#REF!,"AAAAAF3f56g=")</f>
        <v>#REF!</v>
      </c>
      <c r="FN51" t="str">
        <f>AND(#REF!,"AAAAAF3f56k=")</f>
        <v>#REF!</v>
      </c>
      <c r="FO51" t="str">
        <f>AND(#REF!,"AAAAAF3f56o=")</f>
        <v>#REF!</v>
      </c>
      <c r="FP51" t="str">
        <f>AND(#REF!,"AAAAAF3f56s=")</f>
        <v>#REF!</v>
      </c>
      <c r="FQ51" t="str">
        <f>IF(#REF!,"AAAAAF3f56w=",0)</f>
        <v>#REF!</v>
      </c>
      <c r="FR51" t="str">
        <f>AND(#REF!,"AAAAAF3f560=")</f>
        <v>#REF!</v>
      </c>
      <c r="FS51" t="str">
        <f>AND(#REF!,"AAAAAF3f564=")</f>
        <v>#REF!</v>
      </c>
      <c r="FT51" t="str">
        <f>AND(#REF!,"AAAAAF3f568=")</f>
        <v>#REF!</v>
      </c>
      <c r="FU51" t="str">
        <f>AND(#REF!,"AAAAAF3f57A=")</f>
        <v>#REF!</v>
      </c>
      <c r="FV51" t="str">
        <f>AND(#REF!,"AAAAAF3f57E=")</f>
        <v>#REF!</v>
      </c>
      <c r="FW51" t="str">
        <f>AND(#REF!,"AAAAAF3f57I=")</f>
        <v>#REF!</v>
      </c>
      <c r="FX51" t="str">
        <f>AND(#REF!,"AAAAAF3f57M=")</f>
        <v>#REF!</v>
      </c>
      <c r="FY51" t="str">
        <f>AND(#REF!,"AAAAAF3f57Q=")</f>
        <v>#REF!</v>
      </c>
      <c r="FZ51" t="str">
        <f>AND(#REF!,"AAAAAF3f57U=")</f>
        <v>#REF!</v>
      </c>
      <c r="GA51" t="str">
        <f>AND(#REF!,"AAAAAF3f57Y=")</f>
        <v>#REF!</v>
      </c>
      <c r="GB51" t="str">
        <f>AND(#REF!,"AAAAAF3f57c=")</f>
        <v>#REF!</v>
      </c>
      <c r="GC51" t="str">
        <f>AND(#REF!,"AAAAAF3f57g=")</f>
        <v>#REF!</v>
      </c>
      <c r="GD51" t="str">
        <f>AND(#REF!,"AAAAAF3f57k=")</f>
        <v>#REF!</v>
      </c>
      <c r="GE51" t="str">
        <f>AND(#REF!,"AAAAAF3f57o=")</f>
        <v>#REF!</v>
      </c>
      <c r="GF51" t="str">
        <f>AND(#REF!,"AAAAAF3f57s=")</f>
        <v>#REF!</v>
      </c>
      <c r="GG51" t="str">
        <f>AND(#REF!,"AAAAAF3f57w=")</f>
        <v>#REF!</v>
      </c>
      <c r="GH51" t="str">
        <f>AND(#REF!,"AAAAAF3f570=")</f>
        <v>#REF!</v>
      </c>
      <c r="GI51" t="str">
        <f>AND(#REF!,"AAAAAF3f574=")</f>
        <v>#REF!</v>
      </c>
      <c r="GJ51" t="str">
        <f>AND(#REF!,"AAAAAF3f578=")</f>
        <v>#REF!</v>
      </c>
      <c r="GK51" t="str">
        <f>AND(#REF!,"AAAAAF3f58A=")</f>
        <v>#REF!</v>
      </c>
      <c r="GL51" t="str">
        <f>AND(#REF!,"AAAAAF3f58E=")</f>
        <v>#REF!</v>
      </c>
      <c r="GM51" t="str">
        <f>AND(#REF!,"AAAAAF3f58I=")</f>
        <v>#REF!</v>
      </c>
      <c r="GN51" t="str">
        <f>AND(#REF!,"AAAAAF3f58M=")</f>
        <v>#REF!</v>
      </c>
      <c r="GO51" t="str">
        <f>AND(#REF!,"AAAAAF3f58Q=")</f>
        <v>#REF!</v>
      </c>
      <c r="GP51" t="str">
        <f>AND(#REF!,"AAAAAF3f58U=")</f>
        <v>#REF!</v>
      </c>
      <c r="GQ51" t="str">
        <f>AND(#REF!,"AAAAAF3f58Y=")</f>
        <v>#REF!</v>
      </c>
      <c r="GR51" t="str">
        <f>AND(#REF!,"AAAAAF3f58c=")</f>
        <v>#REF!</v>
      </c>
      <c r="GS51" t="str">
        <f>AND(#REF!,"AAAAAF3f58g=")</f>
        <v>#REF!</v>
      </c>
      <c r="GT51" t="str">
        <f>AND(#REF!,"AAAAAF3f58k=")</f>
        <v>#REF!</v>
      </c>
      <c r="GU51" t="str">
        <f>AND(#REF!,"AAAAAF3f58o=")</f>
        <v>#REF!</v>
      </c>
      <c r="GV51" t="str">
        <f>AND(#REF!,"AAAAAF3f58s=")</f>
        <v>#REF!</v>
      </c>
      <c r="GW51" t="str">
        <f>AND(#REF!,"AAAAAF3f58w=")</f>
        <v>#REF!</v>
      </c>
      <c r="GX51" t="str">
        <f>AND(#REF!,"AAAAAF3f580=")</f>
        <v>#REF!</v>
      </c>
      <c r="GY51" t="str">
        <f>AND(#REF!,"AAAAAF3f584=")</f>
        <v>#REF!</v>
      </c>
      <c r="GZ51" t="str">
        <f>AND(#REF!,"AAAAAF3f588=")</f>
        <v>#REF!</v>
      </c>
      <c r="HA51" t="str">
        <f>AND(#REF!,"AAAAAF3f59A=")</f>
        <v>#REF!</v>
      </c>
      <c r="HB51" t="str">
        <f>AND(#REF!,"AAAAAF3f59E=")</f>
        <v>#REF!</v>
      </c>
      <c r="HC51" t="str">
        <f>AND(#REF!,"AAAAAF3f59I=")</f>
        <v>#REF!</v>
      </c>
      <c r="HD51" t="str">
        <f>AND(#REF!,"AAAAAF3f59M=")</f>
        <v>#REF!</v>
      </c>
      <c r="HE51" t="str">
        <f>AND(#REF!,"AAAAAF3f59Q=")</f>
        <v>#REF!</v>
      </c>
      <c r="HF51" t="str">
        <f>AND(#REF!,"AAAAAF3f59U=")</f>
        <v>#REF!</v>
      </c>
      <c r="HG51" t="str">
        <f>AND(#REF!,"AAAAAF3f59Y=")</f>
        <v>#REF!</v>
      </c>
      <c r="HH51" t="str">
        <f>AND(#REF!,"AAAAAF3f59c=")</f>
        <v>#REF!</v>
      </c>
      <c r="HI51" t="str">
        <f>AND(#REF!,"AAAAAF3f59g=")</f>
        <v>#REF!</v>
      </c>
      <c r="HJ51" t="str">
        <f>AND(#REF!,"AAAAAF3f59k=")</f>
        <v>#REF!</v>
      </c>
      <c r="HK51" t="str">
        <f>AND(#REF!,"AAAAAF3f59o=")</f>
        <v>#REF!</v>
      </c>
      <c r="HL51" t="str">
        <f>AND(#REF!,"AAAAAF3f59s=")</f>
        <v>#REF!</v>
      </c>
      <c r="HM51" t="str">
        <f>AND(#REF!,"AAAAAF3f59w=")</f>
        <v>#REF!</v>
      </c>
      <c r="HN51" t="str">
        <f>AND(#REF!,"AAAAAF3f590=")</f>
        <v>#REF!</v>
      </c>
      <c r="HO51" t="str">
        <f>AND(#REF!,"AAAAAF3f594=")</f>
        <v>#REF!</v>
      </c>
      <c r="HP51" t="str">
        <f>AND(#REF!,"AAAAAF3f598=")</f>
        <v>#REF!</v>
      </c>
      <c r="HQ51" t="str">
        <f>AND(#REF!,"AAAAAF3f5+A=")</f>
        <v>#REF!</v>
      </c>
      <c r="HR51" t="str">
        <f>AND(#REF!,"AAAAAF3f5+E=")</f>
        <v>#REF!</v>
      </c>
      <c r="HS51" t="str">
        <f>AND(#REF!,"AAAAAF3f5+I=")</f>
        <v>#REF!</v>
      </c>
      <c r="HT51" t="str">
        <f>AND(#REF!,"AAAAAF3f5+M=")</f>
        <v>#REF!</v>
      </c>
      <c r="HU51" t="str">
        <f>AND(#REF!,"AAAAAF3f5+Q=")</f>
        <v>#REF!</v>
      </c>
      <c r="HV51" t="str">
        <f>AND(#REF!,"AAAAAF3f5+U=")</f>
        <v>#REF!</v>
      </c>
      <c r="HW51" t="str">
        <f>AND(#REF!,"AAAAAF3f5+Y=")</f>
        <v>#REF!</v>
      </c>
      <c r="HX51" t="str">
        <f>AND(#REF!,"AAAAAF3f5+c=")</f>
        <v>#REF!</v>
      </c>
      <c r="HY51" t="str">
        <f>AND(#REF!,"AAAAAF3f5+g=")</f>
        <v>#REF!</v>
      </c>
      <c r="HZ51" t="str">
        <f>AND(#REF!,"AAAAAF3f5+k=")</f>
        <v>#REF!</v>
      </c>
      <c r="IA51" t="str">
        <f>AND(#REF!,"AAAAAF3f5+o=")</f>
        <v>#REF!</v>
      </c>
      <c r="IB51" t="str">
        <f>AND(#REF!,"AAAAAF3f5+s=")</f>
        <v>#REF!</v>
      </c>
      <c r="IC51" t="str">
        <f>AND(#REF!,"AAAAAF3f5+w=")</f>
        <v>#REF!</v>
      </c>
      <c r="ID51" t="str">
        <f>AND(#REF!,"AAAAAF3f5+0=")</f>
        <v>#REF!</v>
      </c>
      <c r="IE51" t="str">
        <f>AND(#REF!,"AAAAAF3f5+4=")</f>
        <v>#REF!</v>
      </c>
      <c r="IF51" t="str">
        <f>AND(#REF!,"AAAAAF3f5+8=")</f>
        <v>#REF!</v>
      </c>
      <c r="IG51" t="str">
        <f>AND(#REF!,"AAAAAF3f5/A=")</f>
        <v>#REF!</v>
      </c>
      <c r="IH51" t="str">
        <f>AND(#REF!,"AAAAAF3f5/E=")</f>
        <v>#REF!</v>
      </c>
      <c r="II51" t="str">
        <f>AND(#REF!,"AAAAAF3f5/I=")</f>
        <v>#REF!</v>
      </c>
      <c r="IJ51" t="str">
        <f>AND(#REF!,"AAAAAF3f5/M=")</f>
        <v>#REF!</v>
      </c>
      <c r="IK51" t="str">
        <f>AND(#REF!,"AAAAAF3f5/Q=")</f>
        <v>#REF!</v>
      </c>
      <c r="IL51" t="str">
        <f>AND(#REF!,"AAAAAF3f5/U=")</f>
        <v>#REF!</v>
      </c>
      <c r="IM51" t="str">
        <f>AND(#REF!,"AAAAAF3f5/Y=")</f>
        <v>#REF!</v>
      </c>
      <c r="IN51" t="str">
        <f>AND(#REF!,"AAAAAF3f5/c=")</f>
        <v>#REF!</v>
      </c>
      <c r="IO51" t="str">
        <f>IF(#REF!,"AAAAAF3f5/g=",0)</f>
        <v>#REF!</v>
      </c>
      <c r="IP51" t="str">
        <f>AND(#REF!,"AAAAAF3f5/k=")</f>
        <v>#REF!</v>
      </c>
      <c r="IQ51" t="str">
        <f>AND(#REF!,"AAAAAF3f5/o=")</f>
        <v>#REF!</v>
      </c>
      <c r="IR51" t="str">
        <f>AND(#REF!,"AAAAAF3f5/s=")</f>
        <v>#REF!</v>
      </c>
      <c r="IS51" t="str">
        <f>AND(#REF!,"AAAAAF3f5/w=")</f>
        <v>#REF!</v>
      </c>
      <c r="IT51" t="str">
        <f>AND(#REF!,"AAAAAF3f5/0=")</f>
        <v>#REF!</v>
      </c>
      <c r="IU51" t="str">
        <f>AND(#REF!,"AAAAAF3f5/4=")</f>
        <v>#REF!</v>
      </c>
      <c r="IV51" t="str">
        <f>AND(#REF!,"AAAAAF3f5/8=")</f>
        <v>#REF!</v>
      </c>
    </row>
    <row r="52" ht="15.75" customHeight="1">
      <c r="A52" t="str">
        <f>AND(#REF!,"AAAAADe//wA=")</f>
        <v>#REF!</v>
      </c>
      <c r="B52" t="str">
        <f>AND(#REF!,"AAAAADe//wE=")</f>
        <v>#REF!</v>
      </c>
      <c r="C52" t="str">
        <f>AND(#REF!,"AAAAADe//wI=")</f>
        <v>#REF!</v>
      </c>
      <c r="D52" t="str">
        <f>AND(#REF!,"AAAAADe//wM=")</f>
        <v>#REF!</v>
      </c>
      <c r="E52" t="str">
        <f>AND(#REF!,"AAAAADe//wQ=")</f>
        <v>#REF!</v>
      </c>
      <c r="F52" t="str">
        <f>AND(#REF!,"AAAAADe//wU=")</f>
        <v>#REF!</v>
      </c>
      <c r="G52" t="str">
        <f>AND(#REF!,"AAAAADe//wY=")</f>
        <v>#REF!</v>
      </c>
      <c r="H52" t="str">
        <f>AND(#REF!,"AAAAADe//wc=")</f>
        <v>#REF!</v>
      </c>
      <c r="I52" t="str">
        <f>AND(#REF!,"AAAAADe//wg=")</f>
        <v>#REF!</v>
      </c>
      <c r="J52" t="str">
        <f>AND(#REF!,"AAAAADe//wk=")</f>
        <v>#REF!</v>
      </c>
      <c r="K52" t="str">
        <f>AND(#REF!,"AAAAADe//wo=")</f>
        <v>#REF!</v>
      </c>
      <c r="L52" t="str">
        <f>AND(#REF!,"AAAAADe//ws=")</f>
        <v>#REF!</v>
      </c>
      <c r="M52" t="str">
        <f>AND(#REF!,"AAAAADe//ww=")</f>
        <v>#REF!</v>
      </c>
      <c r="N52" t="str">
        <f>AND(#REF!,"AAAAADe//w0=")</f>
        <v>#REF!</v>
      </c>
      <c r="O52" t="str">
        <f>AND(#REF!,"AAAAADe//w4=")</f>
        <v>#REF!</v>
      </c>
      <c r="P52" t="str">
        <f>AND(#REF!,"AAAAADe//w8=")</f>
        <v>#REF!</v>
      </c>
      <c r="Q52" t="str">
        <f>AND(#REF!,"AAAAADe//xA=")</f>
        <v>#REF!</v>
      </c>
      <c r="R52" t="str">
        <f>AND(#REF!,"AAAAADe//xE=")</f>
        <v>#REF!</v>
      </c>
      <c r="S52" t="str">
        <f>AND(#REF!,"AAAAADe//xI=")</f>
        <v>#REF!</v>
      </c>
      <c r="T52" t="str">
        <f>AND(#REF!,"AAAAADe//xM=")</f>
        <v>#REF!</v>
      </c>
      <c r="U52" t="str">
        <f>AND(#REF!,"AAAAADe//xQ=")</f>
        <v>#REF!</v>
      </c>
      <c r="V52" t="str">
        <f>AND(#REF!,"AAAAADe//xU=")</f>
        <v>#REF!</v>
      </c>
      <c r="W52" t="str">
        <f>AND(#REF!,"AAAAADe//xY=")</f>
        <v>#REF!</v>
      </c>
      <c r="X52" t="str">
        <f>AND(#REF!,"AAAAADe//xc=")</f>
        <v>#REF!</v>
      </c>
      <c r="Y52" t="str">
        <f>AND(#REF!,"AAAAADe//xg=")</f>
        <v>#REF!</v>
      </c>
      <c r="Z52" t="str">
        <f>AND(#REF!,"AAAAADe//xk=")</f>
        <v>#REF!</v>
      </c>
      <c r="AA52" t="str">
        <f>AND(#REF!,"AAAAADe//xo=")</f>
        <v>#REF!</v>
      </c>
      <c r="AB52" t="str">
        <f>AND(#REF!,"AAAAADe//xs=")</f>
        <v>#REF!</v>
      </c>
      <c r="AC52" t="str">
        <f>AND(#REF!,"AAAAADe//xw=")</f>
        <v>#REF!</v>
      </c>
      <c r="AD52" t="str">
        <f>AND(#REF!,"AAAAADe//x0=")</f>
        <v>#REF!</v>
      </c>
      <c r="AE52" t="str">
        <f>AND(#REF!,"AAAAADe//x4=")</f>
        <v>#REF!</v>
      </c>
      <c r="AF52" t="str">
        <f>AND(#REF!,"AAAAADe//x8=")</f>
        <v>#REF!</v>
      </c>
      <c r="AG52" t="str">
        <f>AND(#REF!,"AAAAADe//yA=")</f>
        <v>#REF!</v>
      </c>
      <c r="AH52" t="str">
        <f>AND(#REF!,"AAAAADe//yE=")</f>
        <v>#REF!</v>
      </c>
      <c r="AI52" t="str">
        <f>AND(#REF!,"AAAAADe//yI=")</f>
        <v>#REF!</v>
      </c>
      <c r="AJ52" t="str">
        <f>AND(#REF!,"AAAAADe//yM=")</f>
        <v>#REF!</v>
      </c>
      <c r="AK52" t="str">
        <f>AND(#REF!,"AAAAADe//yQ=")</f>
        <v>#REF!</v>
      </c>
      <c r="AL52" t="str">
        <f>AND(#REF!,"AAAAADe//yU=")</f>
        <v>#REF!</v>
      </c>
      <c r="AM52" t="str">
        <f>AND(#REF!,"AAAAADe//yY=")</f>
        <v>#REF!</v>
      </c>
      <c r="AN52" t="str">
        <f>AND(#REF!,"AAAAADe//yc=")</f>
        <v>#REF!</v>
      </c>
      <c r="AO52" t="str">
        <f>AND(#REF!,"AAAAADe//yg=")</f>
        <v>#REF!</v>
      </c>
      <c r="AP52" t="str">
        <f>AND(#REF!,"AAAAADe//yk=")</f>
        <v>#REF!</v>
      </c>
      <c r="AQ52" t="str">
        <f>AND(#REF!,"AAAAADe//yo=")</f>
        <v>#REF!</v>
      </c>
      <c r="AR52" t="str">
        <f>AND(#REF!,"AAAAADe//ys=")</f>
        <v>#REF!</v>
      </c>
      <c r="AS52" t="str">
        <f>AND(#REF!,"AAAAADe//yw=")</f>
        <v>#REF!</v>
      </c>
      <c r="AT52" t="str">
        <f>AND(#REF!,"AAAAADe//y0=")</f>
        <v>#REF!</v>
      </c>
      <c r="AU52" t="str">
        <f>AND(#REF!,"AAAAADe//y4=")</f>
        <v>#REF!</v>
      </c>
      <c r="AV52" t="str">
        <f>AND(#REF!,"AAAAADe//y8=")</f>
        <v>#REF!</v>
      </c>
      <c r="AW52" t="str">
        <f>AND(#REF!,"AAAAADe//zA=")</f>
        <v>#REF!</v>
      </c>
      <c r="AX52" t="str">
        <f>AND(#REF!,"AAAAADe//zE=")</f>
        <v>#REF!</v>
      </c>
      <c r="AY52" t="str">
        <f>AND(#REF!,"AAAAADe//zI=")</f>
        <v>#REF!</v>
      </c>
      <c r="AZ52" t="str">
        <f>AND(#REF!,"AAAAADe//zM=")</f>
        <v>#REF!</v>
      </c>
      <c r="BA52" t="str">
        <f>AND(#REF!,"AAAAADe//zQ=")</f>
        <v>#REF!</v>
      </c>
      <c r="BB52" t="str">
        <f>AND(#REF!,"AAAAADe//zU=")</f>
        <v>#REF!</v>
      </c>
      <c r="BC52" t="str">
        <f>AND(#REF!,"AAAAADe//zY=")</f>
        <v>#REF!</v>
      </c>
      <c r="BD52" t="str">
        <f>AND(#REF!,"AAAAADe//zc=")</f>
        <v>#REF!</v>
      </c>
      <c r="BE52" t="str">
        <f>AND(#REF!,"AAAAADe//zg=")</f>
        <v>#REF!</v>
      </c>
      <c r="BF52" t="str">
        <f>AND(#REF!,"AAAAADe//zk=")</f>
        <v>#REF!</v>
      </c>
      <c r="BG52" t="str">
        <f>AND(#REF!,"AAAAADe//zo=")</f>
        <v>#REF!</v>
      </c>
      <c r="BH52" t="str">
        <f>AND(#REF!,"AAAAADe//zs=")</f>
        <v>#REF!</v>
      </c>
      <c r="BI52" t="str">
        <f>AND(#REF!,"AAAAADe//zw=")</f>
        <v>#REF!</v>
      </c>
      <c r="BJ52" t="str">
        <f>AND(#REF!,"AAAAADe//z0=")</f>
        <v>#REF!</v>
      </c>
      <c r="BK52" t="str">
        <f>AND(#REF!,"AAAAADe//z4=")</f>
        <v>#REF!</v>
      </c>
      <c r="BL52" t="str">
        <f>AND(#REF!,"AAAAADe//z8=")</f>
        <v>#REF!</v>
      </c>
      <c r="BM52" t="str">
        <f>AND(#REF!,"AAAAADe//0A=")</f>
        <v>#REF!</v>
      </c>
      <c r="BN52" t="str">
        <f>AND(#REF!,"AAAAADe//0E=")</f>
        <v>#REF!</v>
      </c>
      <c r="BO52" t="str">
        <f>AND(#REF!,"AAAAADe//0I=")</f>
        <v>#REF!</v>
      </c>
      <c r="BP52" t="str">
        <f>AND(#REF!,"AAAAADe//0M=")</f>
        <v>#REF!</v>
      </c>
      <c r="BQ52" t="str">
        <f>IF(#REF!,"AAAAADe//0Q=",0)</f>
        <v>#REF!</v>
      </c>
      <c r="BR52" t="str">
        <f>AND(#REF!,"AAAAADe//0U=")</f>
        <v>#REF!</v>
      </c>
      <c r="BS52" t="str">
        <f>AND(#REF!,"AAAAADe//0Y=")</f>
        <v>#REF!</v>
      </c>
      <c r="BT52" t="str">
        <f>AND(#REF!,"AAAAADe//0c=")</f>
        <v>#REF!</v>
      </c>
      <c r="BU52" t="str">
        <f>AND(#REF!,"AAAAADe//0g=")</f>
        <v>#REF!</v>
      </c>
      <c r="BV52" t="str">
        <f>AND(#REF!,"AAAAADe//0k=")</f>
        <v>#REF!</v>
      </c>
      <c r="BW52" t="str">
        <f>AND(#REF!,"AAAAADe//0o=")</f>
        <v>#REF!</v>
      </c>
      <c r="BX52" t="str">
        <f>AND(#REF!,"AAAAADe//0s=")</f>
        <v>#REF!</v>
      </c>
      <c r="BY52" t="str">
        <f>AND(#REF!,"AAAAADe//0w=")</f>
        <v>#REF!</v>
      </c>
      <c r="BZ52" t="str">
        <f>AND(#REF!,"AAAAADe//00=")</f>
        <v>#REF!</v>
      </c>
      <c r="CA52" t="str">
        <f>AND(#REF!,"AAAAADe//04=")</f>
        <v>#REF!</v>
      </c>
      <c r="CB52" t="str">
        <f>AND(#REF!,"AAAAADe//08=")</f>
        <v>#REF!</v>
      </c>
      <c r="CC52" t="str">
        <f>AND(#REF!,"AAAAADe//1A=")</f>
        <v>#REF!</v>
      </c>
      <c r="CD52" t="str">
        <f>AND(#REF!,"AAAAADe//1E=")</f>
        <v>#REF!</v>
      </c>
      <c r="CE52" t="str">
        <f>AND(#REF!,"AAAAADe//1I=")</f>
        <v>#REF!</v>
      </c>
      <c r="CF52" t="str">
        <f>AND(#REF!,"AAAAADe//1M=")</f>
        <v>#REF!</v>
      </c>
      <c r="CG52" t="str">
        <f>AND(#REF!,"AAAAADe//1Q=")</f>
        <v>#REF!</v>
      </c>
      <c r="CH52" t="str">
        <f>AND(#REF!,"AAAAADe//1U=")</f>
        <v>#REF!</v>
      </c>
      <c r="CI52" t="str">
        <f>AND(#REF!,"AAAAADe//1Y=")</f>
        <v>#REF!</v>
      </c>
      <c r="CJ52" t="str">
        <f>AND(#REF!,"AAAAADe//1c=")</f>
        <v>#REF!</v>
      </c>
      <c r="CK52" t="str">
        <f>AND(#REF!,"AAAAADe//1g=")</f>
        <v>#REF!</v>
      </c>
      <c r="CL52" t="str">
        <f>AND(#REF!,"AAAAADe//1k=")</f>
        <v>#REF!</v>
      </c>
      <c r="CM52" t="str">
        <f>AND(#REF!,"AAAAADe//1o=")</f>
        <v>#REF!</v>
      </c>
      <c r="CN52" t="str">
        <f>AND(#REF!,"AAAAADe//1s=")</f>
        <v>#REF!</v>
      </c>
      <c r="CO52" t="str">
        <f>AND(#REF!,"AAAAADe//1w=")</f>
        <v>#REF!</v>
      </c>
      <c r="CP52" t="str">
        <f>AND(#REF!,"AAAAADe//10=")</f>
        <v>#REF!</v>
      </c>
      <c r="CQ52" t="str">
        <f>AND(#REF!,"AAAAADe//14=")</f>
        <v>#REF!</v>
      </c>
      <c r="CR52" t="str">
        <f>AND(#REF!,"AAAAADe//18=")</f>
        <v>#REF!</v>
      </c>
      <c r="CS52" t="str">
        <f>AND(#REF!,"AAAAADe//2A=")</f>
        <v>#REF!</v>
      </c>
      <c r="CT52" t="str">
        <f>AND(#REF!,"AAAAADe//2E=")</f>
        <v>#REF!</v>
      </c>
      <c r="CU52" t="str">
        <f>AND(#REF!,"AAAAADe//2I=")</f>
        <v>#REF!</v>
      </c>
      <c r="CV52" t="str">
        <f>AND(#REF!,"AAAAADe//2M=")</f>
        <v>#REF!</v>
      </c>
      <c r="CW52" t="str">
        <f>AND(#REF!,"AAAAADe//2Q=")</f>
        <v>#REF!</v>
      </c>
      <c r="CX52" t="str">
        <f>AND(#REF!,"AAAAADe//2U=")</f>
        <v>#REF!</v>
      </c>
      <c r="CY52" t="str">
        <f>AND(#REF!,"AAAAADe//2Y=")</f>
        <v>#REF!</v>
      </c>
      <c r="CZ52" t="str">
        <f>AND(#REF!,"AAAAADe//2c=")</f>
        <v>#REF!</v>
      </c>
      <c r="DA52" t="str">
        <f>AND(#REF!,"AAAAADe//2g=")</f>
        <v>#REF!</v>
      </c>
      <c r="DB52" t="str">
        <f>AND(#REF!,"AAAAADe//2k=")</f>
        <v>#REF!</v>
      </c>
      <c r="DC52" t="str">
        <f>AND(#REF!,"AAAAADe//2o=")</f>
        <v>#REF!</v>
      </c>
      <c r="DD52" t="str">
        <f>AND(#REF!,"AAAAADe//2s=")</f>
        <v>#REF!</v>
      </c>
      <c r="DE52" t="str">
        <f>AND(#REF!,"AAAAADe//2w=")</f>
        <v>#REF!</v>
      </c>
      <c r="DF52" t="str">
        <f>AND(#REF!,"AAAAADe//20=")</f>
        <v>#REF!</v>
      </c>
      <c r="DG52" t="str">
        <f>AND(#REF!,"AAAAADe//24=")</f>
        <v>#REF!</v>
      </c>
      <c r="DH52" t="str">
        <f>AND(#REF!,"AAAAADe//28=")</f>
        <v>#REF!</v>
      </c>
      <c r="DI52" t="str">
        <f>AND(#REF!,"AAAAADe//3A=")</f>
        <v>#REF!</v>
      </c>
      <c r="DJ52" t="str">
        <f>AND(#REF!,"AAAAADe//3E=")</f>
        <v>#REF!</v>
      </c>
      <c r="DK52" t="str">
        <f>AND(#REF!,"AAAAADe//3I=")</f>
        <v>#REF!</v>
      </c>
      <c r="DL52" t="str">
        <f>AND(#REF!,"AAAAADe//3M=")</f>
        <v>#REF!</v>
      </c>
      <c r="DM52" t="str">
        <f>AND(#REF!,"AAAAADe//3Q=")</f>
        <v>#REF!</v>
      </c>
      <c r="DN52" t="str">
        <f>AND(#REF!,"AAAAADe//3U=")</f>
        <v>#REF!</v>
      </c>
      <c r="DO52" t="str">
        <f>AND(#REF!,"AAAAADe//3Y=")</f>
        <v>#REF!</v>
      </c>
      <c r="DP52" t="str">
        <f>AND(#REF!,"AAAAADe//3c=")</f>
        <v>#REF!</v>
      </c>
      <c r="DQ52" t="str">
        <f>AND(#REF!,"AAAAADe//3g=")</f>
        <v>#REF!</v>
      </c>
      <c r="DR52" t="str">
        <f>AND(#REF!,"AAAAADe//3k=")</f>
        <v>#REF!</v>
      </c>
      <c r="DS52" t="str">
        <f>AND(#REF!,"AAAAADe//3o=")</f>
        <v>#REF!</v>
      </c>
      <c r="DT52" t="str">
        <f>AND(#REF!,"AAAAADe//3s=")</f>
        <v>#REF!</v>
      </c>
      <c r="DU52" t="str">
        <f>AND(#REF!,"AAAAADe//3w=")</f>
        <v>#REF!</v>
      </c>
      <c r="DV52" t="str">
        <f>AND(#REF!,"AAAAADe//30=")</f>
        <v>#REF!</v>
      </c>
      <c r="DW52" t="str">
        <f>AND(#REF!,"AAAAADe//34=")</f>
        <v>#REF!</v>
      </c>
      <c r="DX52" t="str">
        <f>AND(#REF!,"AAAAADe//38=")</f>
        <v>#REF!</v>
      </c>
      <c r="DY52" t="str">
        <f>AND(#REF!,"AAAAADe//4A=")</f>
        <v>#REF!</v>
      </c>
      <c r="DZ52" t="str">
        <f>AND(#REF!,"AAAAADe//4E=")</f>
        <v>#REF!</v>
      </c>
      <c r="EA52" t="str">
        <f>AND(#REF!,"AAAAADe//4I=")</f>
        <v>#REF!</v>
      </c>
      <c r="EB52" t="str">
        <f>AND(#REF!,"AAAAADe//4M=")</f>
        <v>#REF!</v>
      </c>
      <c r="EC52" t="str">
        <f>AND(#REF!,"AAAAADe//4Q=")</f>
        <v>#REF!</v>
      </c>
      <c r="ED52" t="str">
        <f>AND(#REF!,"AAAAADe//4U=")</f>
        <v>#REF!</v>
      </c>
      <c r="EE52" t="str">
        <f>AND(#REF!,"AAAAADe//4Y=")</f>
        <v>#REF!</v>
      </c>
      <c r="EF52" t="str">
        <f>AND(#REF!,"AAAAADe//4c=")</f>
        <v>#REF!</v>
      </c>
      <c r="EG52" t="str">
        <f>AND(#REF!,"AAAAADe//4g=")</f>
        <v>#REF!</v>
      </c>
      <c r="EH52" t="str">
        <f>AND(#REF!,"AAAAADe//4k=")</f>
        <v>#REF!</v>
      </c>
      <c r="EI52" t="str">
        <f>AND(#REF!,"AAAAADe//4o=")</f>
        <v>#REF!</v>
      </c>
      <c r="EJ52" t="str">
        <f>AND(#REF!,"AAAAADe//4s=")</f>
        <v>#REF!</v>
      </c>
      <c r="EK52" t="str">
        <f>AND(#REF!,"AAAAADe//4w=")</f>
        <v>#REF!</v>
      </c>
      <c r="EL52" t="str">
        <f>AND(#REF!,"AAAAADe//40=")</f>
        <v>#REF!</v>
      </c>
      <c r="EM52" t="str">
        <f>AND(#REF!,"AAAAADe//44=")</f>
        <v>#REF!</v>
      </c>
      <c r="EN52" t="str">
        <f>AND(#REF!,"AAAAADe//48=")</f>
        <v>#REF!</v>
      </c>
      <c r="EO52" t="str">
        <f>IF(#REF!,"AAAAADe//5A=",0)</f>
        <v>#REF!</v>
      </c>
      <c r="EP52" t="str">
        <f>AND(#REF!,"AAAAADe//5E=")</f>
        <v>#REF!</v>
      </c>
      <c r="EQ52" t="str">
        <f>AND(#REF!,"AAAAADe//5I=")</f>
        <v>#REF!</v>
      </c>
      <c r="ER52" t="str">
        <f>AND(#REF!,"AAAAADe//5M=")</f>
        <v>#REF!</v>
      </c>
      <c r="ES52" t="str">
        <f>AND(#REF!,"AAAAADe//5Q=")</f>
        <v>#REF!</v>
      </c>
      <c r="ET52" t="str">
        <f>AND(#REF!,"AAAAADe//5U=")</f>
        <v>#REF!</v>
      </c>
      <c r="EU52" t="str">
        <f>AND(#REF!,"AAAAADe//5Y=")</f>
        <v>#REF!</v>
      </c>
      <c r="EV52" t="str">
        <f>AND(#REF!,"AAAAADe//5c=")</f>
        <v>#REF!</v>
      </c>
      <c r="EW52" t="str">
        <f>AND(#REF!,"AAAAADe//5g=")</f>
        <v>#REF!</v>
      </c>
      <c r="EX52" t="str">
        <f>AND(#REF!,"AAAAADe//5k=")</f>
        <v>#REF!</v>
      </c>
      <c r="EY52" t="str">
        <f>AND(#REF!,"AAAAADe//5o=")</f>
        <v>#REF!</v>
      </c>
      <c r="EZ52" t="str">
        <f>AND(#REF!,"AAAAADe//5s=")</f>
        <v>#REF!</v>
      </c>
      <c r="FA52" t="str">
        <f>AND(#REF!,"AAAAADe//5w=")</f>
        <v>#REF!</v>
      </c>
      <c r="FB52" t="str">
        <f>AND(#REF!,"AAAAADe//50=")</f>
        <v>#REF!</v>
      </c>
      <c r="FC52" t="str">
        <f>AND(#REF!,"AAAAADe//54=")</f>
        <v>#REF!</v>
      </c>
      <c r="FD52" t="str">
        <f>AND(#REF!,"AAAAADe//58=")</f>
        <v>#REF!</v>
      </c>
      <c r="FE52" t="str">
        <f>AND(#REF!,"AAAAADe//6A=")</f>
        <v>#REF!</v>
      </c>
      <c r="FF52" t="str">
        <f>AND(#REF!,"AAAAADe//6E=")</f>
        <v>#REF!</v>
      </c>
      <c r="FG52" t="str">
        <f>AND(#REF!,"AAAAADe//6I=")</f>
        <v>#REF!</v>
      </c>
      <c r="FH52" t="str">
        <f>AND(#REF!,"AAAAADe//6M=")</f>
        <v>#REF!</v>
      </c>
      <c r="FI52" t="str">
        <f>AND(#REF!,"AAAAADe//6Q=")</f>
        <v>#REF!</v>
      </c>
      <c r="FJ52" t="str">
        <f>AND(#REF!,"AAAAADe//6U=")</f>
        <v>#REF!</v>
      </c>
      <c r="FK52" t="str">
        <f>AND(#REF!,"AAAAADe//6Y=")</f>
        <v>#REF!</v>
      </c>
      <c r="FL52" t="str">
        <f>AND(#REF!,"AAAAADe//6c=")</f>
        <v>#REF!</v>
      </c>
      <c r="FM52" t="str">
        <f>AND(#REF!,"AAAAADe//6g=")</f>
        <v>#REF!</v>
      </c>
      <c r="FN52" t="str">
        <f>AND(#REF!,"AAAAADe//6k=")</f>
        <v>#REF!</v>
      </c>
      <c r="FO52" t="str">
        <f>AND(#REF!,"AAAAADe//6o=")</f>
        <v>#REF!</v>
      </c>
      <c r="FP52" t="str">
        <f>AND(#REF!,"AAAAADe//6s=")</f>
        <v>#REF!</v>
      </c>
      <c r="FQ52" t="str">
        <f>AND(#REF!,"AAAAADe//6w=")</f>
        <v>#REF!</v>
      </c>
      <c r="FR52" t="str">
        <f>AND(#REF!,"AAAAADe//60=")</f>
        <v>#REF!</v>
      </c>
      <c r="FS52" t="str">
        <f>AND(#REF!,"AAAAADe//64=")</f>
        <v>#REF!</v>
      </c>
      <c r="FT52" t="str">
        <f>AND(#REF!,"AAAAADe//68=")</f>
        <v>#REF!</v>
      </c>
      <c r="FU52" t="str">
        <f>AND(#REF!,"AAAAADe//7A=")</f>
        <v>#REF!</v>
      </c>
      <c r="FV52" t="str">
        <f>AND(#REF!,"AAAAADe//7E=")</f>
        <v>#REF!</v>
      </c>
      <c r="FW52" t="str">
        <f>AND(#REF!,"AAAAADe//7I=")</f>
        <v>#REF!</v>
      </c>
      <c r="FX52" t="str">
        <f>AND(#REF!,"AAAAADe//7M=")</f>
        <v>#REF!</v>
      </c>
      <c r="FY52" t="str">
        <f>AND(#REF!,"AAAAADe//7Q=")</f>
        <v>#REF!</v>
      </c>
      <c r="FZ52" t="str">
        <f>AND(#REF!,"AAAAADe//7U=")</f>
        <v>#REF!</v>
      </c>
      <c r="GA52" t="str">
        <f>AND(#REF!,"AAAAADe//7Y=")</f>
        <v>#REF!</v>
      </c>
      <c r="GB52" t="str">
        <f>AND(#REF!,"AAAAADe//7c=")</f>
        <v>#REF!</v>
      </c>
      <c r="GC52" t="str">
        <f>AND(#REF!,"AAAAADe//7g=")</f>
        <v>#REF!</v>
      </c>
      <c r="GD52" t="str">
        <f>AND(#REF!,"AAAAADe//7k=")</f>
        <v>#REF!</v>
      </c>
      <c r="GE52" t="str">
        <f>AND(#REF!,"AAAAADe//7o=")</f>
        <v>#REF!</v>
      </c>
      <c r="GF52" t="str">
        <f>AND(#REF!,"AAAAADe//7s=")</f>
        <v>#REF!</v>
      </c>
      <c r="GG52" t="str">
        <f>AND(#REF!,"AAAAADe//7w=")</f>
        <v>#REF!</v>
      </c>
      <c r="GH52" t="str">
        <f>AND(#REF!,"AAAAADe//70=")</f>
        <v>#REF!</v>
      </c>
      <c r="GI52" t="str">
        <f>AND(#REF!,"AAAAADe//74=")</f>
        <v>#REF!</v>
      </c>
      <c r="GJ52" t="str">
        <f>AND(#REF!,"AAAAADe//78=")</f>
        <v>#REF!</v>
      </c>
      <c r="GK52" t="str">
        <f>AND(#REF!,"AAAAADe//8A=")</f>
        <v>#REF!</v>
      </c>
      <c r="GL52" t="str">
        <f>AND(#REF!,"AAAAADe//8E=")</f>
        <v>#REF!</v>
      </c>
      <c r="GM52" t="str">
        <f>AND(#REF!,"AAAAADe//8I=")</f>
        <v>#REF!</v>
      </c>
      <c r="GN52" t="str">
        <f>AND(#REF!,"AAAAADe//8M=")</f>
        <v>#REF!</v>
      </c>
      <c r="GO52" t="str">
        <f>AND(#REF!,"AAAAADe//8Q=")</f>
        <v>#REF!</v>
      </c>
      <c r="GP52" t="str">
        <f>AND(#REF!,"AAAAADe//8U=")</f>
        <v>#REF!</v>
      </c>
      <c r="GQ52" t="str">
        <f>AND(#REF!,"AAAAADe//8Y=")</f>
        <v>#REF!</v>
      </c>
      <c r="GR52" t="str">
        <f>AND(#REF!,"AAAAADe//8c=")</f>
        <v>#REF!</v>
      </c>
      <c r="GS52" t="str">
        <f>AND(#REF!,"AAAAADe//8g=")</f>
        <v>#REF!</v>
      </c>
      <c r="GT52" t="str">
        <f>AND(#REF!,"AAAAADe//8k=")</f>
        <v>#REF!</v>
      </c>
      <c r="GU52" t="str">
        <f>AND(#REF!,"AAAAADe//8o=")</f>
        <v>#REF!</v>
      </c>
      <c r="GV52" t="str">
        <f>AND(#REF!,"AAAAADe//8s=")</f>
        <v>#REF!</v>
      </c>
      <c r="GW52" t="str">
        <f>AND(#REF!,"AAAAADe//8w=")</f>
        <v>#REF!</v>
      </c>
      <c r="GX52" t="str">
        <f>AND(#REF!,"AAAAADe//80=")</f>
        <v>#REF!</v>
      </c>
      <c r="GY52" t="str">
        <f>AND(#REF!,"AAAAADe//84=")</f>
        <v>#REF!</v>
      </c>
      <c r="GZ52" t="str">
        <f>AND(#REF!,"AAAAADe//88=")</f>
        <v>#REF!</v>
      </c>
      <c r="HA52" t="str">
        <f>AND(#REF!,"AAAAADe//9A=")</f>
        <v>#REF!</v>
      </c>
      <c r="HB52" t="str">
        <f>AND(#REF!,"AAAAADe//9E=")</f>
        <v>#REF!</v>
      </c>
      <c r="HC52" t="str">
        <f>AND(#REF!,"AAAAADe//9I=")</f>
        <v>#REF!</v>
      </c>
      <c r="HD52" t="str">
        <f>AND(#REF!,"AAAAADe//9M=")</f>
        <v>#REF!</v>
      </c>
      <c r="HE52" t="str">
        <f>AND(#REF!,"AAAAADe//9Q=")</f>
        <v>#REF!</v>
      </c>
      <c r="HF52" t="str">
        <f>AND(#REF!,"AAAAADe//9U=")</f>
        <v>#REF!</v>
      </c>
      <c r="HG52" t="str">
        <f>AND(#REF!,"AAAAADe//9Y=")</f>
        <v>#REF!</v>
      </c>
      <c r="HH52" t="str">
        <f>AND(#REF!,"AAAAADe//9c=")</f>
        <v>#REF!</v>
      </c>
      <c r="HI52" t="str">
        <f>AND(#REF!,"AAAAADe//9g=")</f>
        <v>#REF!</v>
      </c>
      <c r="HJ52" t="str">
        <f>AND(#REF!,"AAAAADe//9k=")</f>
        <v>#REF!</v>
      </c>
      <c r="HK52" t="str">
        <f>AND(#REF!,"AAAAADe//9o=")</f>
        <v>#REF!</v>
      </c>
      <c r="HL52" t="str">
        <f>AND(#REF!,"AAAAADe//9s=")</f>
        <v>#REF!</v>
      </c>
      <c r="HM52" t="str">
        <f>IF(#REF!,"AAAAADe//9w=",0)</f>
        <v>#REF!</v>
      </c>
      <c r="HN52" t="str">
        <f>AND(#REF!,"AAAAADe//90=")</f>
        <v>#REF!</v>
      </c>
      <c r="HO52" t="str">
        <f>AND(#REF!,"AAAAADe//94=")</f>
        <v>#REF!</v>
      </c>
      <c r="HP52" t="str">
        <f>AND(#REF!,"AAAAADe//98=")</f>
        <v>#REF!</v>
      </c>
      <c r="HQ52" t="str">
        <f>AND(#REF!,"AAAAADe//+A=")</f>
        <v>#REF!</v>
      </c>
      <c r="HR52" t="str">
        <f>AND(#REF!,"AAAAADe//+E=")</f>
        <v>#REF!</v>
      </c>
      <c r="HS52" t="str">
        <f>AND(#REF!,"AAAAADe//+I=")</f>
        <v>#REF!</v>
      </c>
      <c r="HT52" t="str">
        <f>AND(#REF!,"AAAAADe//+M=")</f>
        <v>#REF!</v>
      </c>
      <c r="HU52" t="str">
        <f>AND(#REF!,"AAAAADe//+Q=")</f>
        <v>#REF!</v>
      </c>
      <c r="HV52" t="str">
        <f>AND(#REF!,"AAAAADe//+U=")</f>
        <v>#REF!</v>
      </c>
      <c r="HW52" t="str">
        <f>AND(#REF!,"AAAAADe//+Y=")</f>
        <v>#REF!</v>
      </c>
      <c r="HX52" t="str">
        <f>AND(#REF!,"AAAAADe//+c=")</f>
        <v>#REF!</v>
      </c>
      <c r="HY52" t="str">
        <f>AND(#REF!,"AAAAADe//+g=")</f>
        <v>#REF!</v>
      </c>
      <c r="HZ52" t="str">
        <f>AND(#REF!,"AAAAADe//+k=")</f>
        <v>#REF!</v>
      </c>
      <c r="IA52" t="str">
        <f>AND(#REF!,"AAAAADe//+o=")</f>
        <v>#REF!</v>
      </c>
      <c r="IB52" t="str">
        <f>AND(#REF!,"AAAAADe//+s=")</f>
        <v>#REF!</v>
      </c>
      <c r="IC52" t="str">
        <f>AND(#REF!,"AAAAADe//+w=")</f>
        <v>#REF!</v>
      </c>
      <c r="ID52" t="str">
        <f>AND(#REF!,"AAAAADe//+0=")</f>
        <v>#REF!</v>
      </c>
      <c r="IE52" t="str">
        <f>AND(#REF!,"AAAAADe//+4=")</f>
        <v>#REF!</v>
      </c>
      <c r="IF52" t="str">
        <f>AND(#REF!,"AAAAADe//+8=")</f>
        <v>#REF!</v>
      </c>
      <c r="IG52" t="str">
        <f>AND(#REF!,"AAAAADe///A=")</f>
        <v>#REF!</v>
      </c>
      <c r="IH52" t="str">
        <f>AND(#REF!,"AAAAADe///E=")</f>
        <v>#REF!</v>
      </c>
      <c r="II52" t="str">
        <f>AND(#REF!,"AAAAADe///I=")</f>
        <v>#REF!</v>
      </c>
      <c r="IJ52" t="str">
        <f>AND(#REF!,"AAAAADe///M=")</f>
        <v>#REF!</v>
      </c>
      <c r="IK52" t="str">
        <f>AND(#REF!,"AAAAADe///Q=")</f>
        <v>#REF!</v>
      </c>
      <c r="IL52" t="str">
        <f>AND(#REF!,"AAAAADe///U=")</f>
        <v>#REF!</v>
      </c>
      <c r="IM52" t="str">
        <f>AND(#REF!,"AAAAADe///Y=")</f>
        <v>#REF!</v>
      </c>
      <c r="IN52" t="str">
        <f>AND(#REF!,"AAAAADe///c=")</f>
        <v>#REF!</v>
      </c>
      <c r="IO52" t="str">
        <f>AND(#REF!,"AAAAADe///g=")</f>
        <v>#REF!</v>
      </c>
      <c r="IP52" t="str">
        <f>AND(#REF!,"AAAAADe///k=")</f>
        <v>#REF!</v>
      </c>
      <c r="IQ52" t="str">
        <f>AND(#REF!,"AAAAADe///o=")</f>
        <v>#REF!</v>
      </c>
      <c r="IR52" t="str">
        <f>AND(#REF!,"AAAAADe///s=")</f>
        <v>#REF!</v>
      </c>
      <c r="IS52" t="str">
        <f>AND(#REF!,"AAAAADe///w=")</f>
        <v>#REF!</v>
      </c>
      <c r="IT52" t="str">
        <f>AND(#REF!,"AAAAADe///0=")</f>
        <v>#REF!</v>
      </c>
      <c r="IU52" t="str">
        <f>AND(#REF!,"AAAAADe///4=")</f>
        <v>#REF!</v>
      </c>
      <c r="IV52" t="str">
        <f>AND(#REF!,"AAAAADe///8=")</f>
        <v>#REF!</v>
      </c>
    </row>
    <row r="53" ht="15.75" customHeight="1">
      <c r="A53" t="str">
        <f>AND(#REF!,"AAAAAH/nmwA=")</f>
        <v>#REF!</v>
      </c>
      <c r="B53" t="str">
        <f>AND(#REF!,"AAAAAH/nmwE=")</f>
        <v>#REF!</v>
      </c>
      <c r="C53" t="str">
        <f>AND(#REF!,"AAAAAH/nmwI=")</f>
        <v>#REF!</v>
      </c>
      <c r="D53" t="str">
        <f>AND(#REF!,"AAAAAH/nmwM=")</f>
        <v>#REF!</v>
      </c>
      <c r="E53" t="str">
        <f>AND(#REF!,"AAAAAH/nmwQ=")</f>
        <v>#REF!</v>
      </c>
      <c r="F53" t="str">
        <f>AND(#REF!,"AAAAAH/nmwU=")</f>
        <v>#REF!</v>
      </c>
      <c r="G53" t="str">
        <f>AND(#REF!,"AAAAAH/nmwY=")</f>
        <v>#REF!</v>
      </c>
      <c r="H53" t="str">
        <f>AND(#REF!,"AAAAAH/nmwc=")</f>
        <v>#REF!</v>
      </c>
      <c r="I53" t="str">
        <f>AND(#REF!,"AAAAAH/nmwg=")</f>
        <v>#REF!</v>
      </c>
      <c r="J53" t="str">
        <f>AND(#REF!,"AAAAAH/nmwk=")</f>
        <v>#REF!</v>
      </c>
      <c r="K53" t="str">
        <f>AND(#REF!,"AAAAAH/nmwo=")</f>
        <v>#REF!</v>
      </c>
      <c r="L53" t="str">
        <f>AND(#REF!,"AAAAAH/nmws=")</f>
        <v>#REF!</v>
      </c>
      <c r="M53" t="str">
        <f>AND(#REF!,"AAAAAH/nmww=")</f>
        <v>#REF!</v>
      </c>
      <c r="N53" t="str">
        <f>AND(#REF!,"AAAAAH/nmw0=")</f>
        <v>#REF!</v>
      </c>
      <c r="O53" t="str">
        <f>AND(#REF!,"AAAAAH/nmw4=")</f>
        <v>#REF!</v>
      </c>
      <c r="P53" t="str">
        <f>AND(#REF!,"AAAAAH/nmw8=")</f>
        <v>#REF!</v>
      </c>
      <c r="Q53" t="str">
        <f>AND(#REF!,"AAAAAH/nmxA=")</f>
        <v>#REF!</v>
      </c>
      <c r="R53" t="str">
        <f>AND(#REF!,"AAAAAH/nmxE=")</f>
        <v>#REF!</v>
      </c>
      <c r="S53" t="str">
        <f>AND(#REF!,"AAAAAH/nmxI=")</f>
        <v>#REF!</v>
      </c>
      <c r="T53" t="str">
        <f>AND(#REF!,"AAAAAH/nmxM=")</f>
        <v>#REF!</v>
      </c>
      <c r="U53" t="str">
        <f>AND(#REF!,"AAAAAH/nmxQ=")</f>
        <v>#REF!</v>
      </c>
      <c r="V53" t="str">
        <f>AND(#REF!,"AAAAAH/nmxU=")</f>
        <v>#REF!</v>
      </c>
      <c r="W53" t="str">
        <f>AND(#REF!,"AAAAAH/nmxY=")</f>
        <v>#REF!</v>
      </c>
      <c r="X53" t="str">
        <f>AND(#REF!,"AAAAAH/nmxc=")</f>
        <v>#REF!</v>
      </c>
      <c r="Y53" t="str">
        <f>AND(#REF!,"AAAAAH/nmxg=")</f>
        <v>#REF!</v>
      </c>
      <c r="Z53" t="str">
        <f>AND(#REF!,"AAAAAH/nmxk=")</f>
        <v>#REF!</v>
      </c>
      <c r="AA53" t="str">
        <f>AND(#REF!,"AAAAAH/nmxo=")</f>
        <v>#REF!</v>
      </c>
      <c r="AB53" t="str">
        <f>AND(#REF!,"AAAAAH/nmxs=")</f>
        <v>#REF!</v>
      </c>
      <c r="AC53" t="str">
        <f>AND(#REF!,"AAAAAH/nmxw=")</f>
        <v>#REF!</v>
      </c>
      <c r="AD53" t="str">
        <f>AND(#REF!,"AAAAAH/nmx0=")</f>
        <v>#REF!</v>
      </c>
      <c r="AE53" t="str">
        <f>AND(#REF!,"AAAAAH/nmx4=")</f>
        <v>#REF!</v>
      </c>
      <c r="AF53" t="str">
        <f>AND(#REF!,"AAAAAH/nmx8=")</f>
        <v>#REF!</v>
      </c>
      <c r="AG53" t="str">
        <f>AND(#REF!,"AAAAAH/nmyA=")</f>
        <v>#REF!</v>
      </c>
      <c r="AH53" t="str">
        <f>AND(#REF!,"AAAAAH/nmyE=")</f>
        <v>#REF!</v>
      </c>
      <c r="AI53" t="str">
        <f>AND(#REF!,"AAAAAH/nmyI=")</f>
        <v>#REF!</v>
      </c>
      <c r="AJ53" t="str">
        <f>AND(#REF!,"AAAAAH/nmyM=")</f>
        <v>#REF!</v>
      </c>
      <c r="AK53" t="str">
        <f>AND(#REF!,"AAAAAH/nmyQ=")</f>
        <v>#REF!</v>
      </c>
      <c r="AL53" t="str">
        <f>AND(#REF!,"AAAAAH/nmyU=")</f>
        <v>#REF!</v>
      </c>
      <c r="AM53" t="str">
        <f>AND(#REF!,"AAAAAH/nmyY=")</f>
        <v>#REF!</v>
      </c>
      <c r="AN53" t="str">
        <f>AND(#REF!,"AAAAAH/nmyc=")</f>
        <v>#REF!</v>
      </c>
      <c r="AO53" t="str">
        <f>IF(#REF!,"AAAAAH/nmyg=",0)</f>
        <v>#REF!</v>
      </c>
      <c r="AP53" t="str">
        <f>AND(#REF!,"AAAAAH/nmyk=")</f>
        <v>#REF!</v>
      </c>
      <c r="AQ53" t="str">
        <f>AND(#REF!,"AAAAAH/nmyo=")</f>
        <v>#REF!</v>
      </c>
      <c r="AR53" t="str">
        <f>AND(#REF!,"AAAAAH/nmys=")</f>
        <v>#REF!</v>
      </c>
      <c r="AS53" t="str">
        <f>AND(#REF!,"AAAAAH/nmyw=")</f>
        <v>#REF!</v>
      </c>
      <c r="AT53" t="str">
        <f>AND(#REF!,"AAAAAH/nmy0=")</f>
        <v>#REF!</v>
      </c>
      <c r="AU53" t="str">
        <f>AND(#REF!,"AAAAAH/nmy4=")</f>
        <v>#REF!</v>
      </c>
      <c r="AV53" t="str">
        <f>AND(#REF!,"AAAAAH/nmy8=")</f>
        <v>#REF!</v>
      </c>
      <c r="AW53" t="str">
        <f>AND(#REF!,"AAAAAH/nmzA=")</f>
        <v>#REF!</v>
      </c>
      <c r="AX53" t="str">
        <f>AND(#REF!,"AAAAAH/nmzE=")</f>
        <v>#REF!</v>
      </c>
      <c r="AY53" t="str">
        <f>AND(#REF!,"AAAAAH/nmzI=")</f>
        <v>#REF!</v>
      </c>
      <c r="AZ53" t="str">
        <f>AND(#REF!,"AAAAAH/nmzM=")</f>
        <v>#REF!</v>
      </c>
      <c r="BA53" t="str">
        <f>AND(#REF!,"AAAAAH/nmzQ=")</f>
        <v>#REF!</v>
      </c>
      <c r="BB53" t="str">
        <f>AND(#REF!,"AAAAAH/nmzU=")</f>
        <v>#REF!</v>
      </c>
      <c r="BC53" t="str">
        <f>AND(#REF!,"AAAAAH/nmzY=")</f>
        <v>#REF!</v>
      </c>
      <c r="BD53" t="str">
        <f>AND(#REF!,"AAAAAH/nmzc=")</f>
        <v>#REF!</v>
      </c>
      <c r="BE53" t="str">
        <f>AND(#REF!,"AAAAAH/nmzg=")</f>
        <v>#REF!</v>
      </c>
      <c r="BF53" t="str">
        <f>AND(#REF!,"AAAAAH/nmzk=")</f>
        <v>#REF!</v>
      </c>
      <c r="BG53" t="str">
        <f>AND(#REF!,"AAAAAH/nmzo=")</f>
        <v>#REF!</v>
      </c>
      <c r="BH53" t="str">
        <f>AND(#REF!,"AAAAAH/nmzs=")</f>
        <v>#REF!</v>
      </c>
      <c r="BI53" t="str">
        <f>AND(#REF!,"AAAAAH/nmzw=")</f>
        <v>#REF!</v>
      </c>
      <c r="BJ53" t="str">
        <f>AND(#REF!,"AAAAAH/nmz0=")</f>
        <v>#REF!</v>
      </c>
      <c r="BK53" t="str">
        <f>AND(#REF!,"AAAAAH/nmz4=")</f>
        <v>#REF!</v>
      </c>
      <c r="BL53" t="str">
        <f>AND(#REF!,"AAAAAH/nmz8=")</f>
        <v>#REF!</v>
      </c>
      <c r="BM53" t="str">
        <f>AND(#REF!,"AAAAAH/nm0A=")</f>
        <v>#REF!</v>
      </c>
      <c r="BN53" t="str">
        <f>AND(#REF!,"AAAAAH/nm0E=")</f>
        <v>#REF!</v>
      </c>
      <c r="BO53" t="str">
        <f>AND(#REF!,"AAAAAH/nm0I=")</f>
        <v>#REF!</v>
      </c>
      <c r="BP53" t="str">
        <f>AND(#REF!,"AAAAAH/nm0M=")</f>
        <v>#REF!</v>
      </c>
      <c r="BQ53" t="str">
        <f>AND(#REF!,"AAAAAH/nm0Q=")</f>
        <v>#REF!</v>
      </c>
      <c r="BR53" t="str">
        <f>AND(#REF!,"AAAAAH/nm0U=")</f>
        <v>#REF!</v>
      </c>
      <c r="BS53" t="str">
        <f>AND(#REF!,"AAAAAH/nm0Y=")</f>
        <v>#REF!</v>
      </c>
      <c r="BT53" t="str">
        <f>AND(#REF!,"AAAAAH/nm0c=")</f>
        <v>#REF!</v>
      </c>
      <c r="BU53" t="str">
        <f>AND(#REF!,"AAAAAH/nm0g=")</f>
        <v>#REF!</v>
      </c>
      <c r="BV53" t="str">
        <f>AND(#REF!,"AAAAAH/nm0k=")</f>
        <v>#REF!</v>
      </c>
      <c r="BW53" t="str">
        <f>AND(#REF!,"AAAAAH/nm0o=")</f>
        <v>#REF!</v>
      </c>
      <c r="BX53" t="str">
        <f>AND(#REF!,"AAAAAH/nm0s=")</f>
        <v>#REF!</v>
      </c>
      <c r="BY53" t="str">
        <f>AND(#REF!,"AAAAAH/nm0w=")</f>
        <v>#REF!</v>
      </c>
      <c r="BZ53" t="str">
        <f>AND(#REF!,"AAAAAH/nm00=")</f>
        <v>#REF!</v>
      </c>
      <c r="CA53" t="str">
        <f>AND(#REF!,"AAAAAH/nm04=")</f>
        <v>#REF!</v>
      </c>
      <c r="CB53" t="str">
        <f>AND(#REF!,"AAAAAH/nm08=")</f>
        <v>#REF!</v>
      </c>
      <c r="CC53" t="str">
        <f>AND(#REF!,"AAAAAH/nm1A=")</f>
        <v>#REF!</v>
      </c>
      <c r="CD53" t="str">
        <f>AND(#REF!,"AAAAAH/nm1E=")</f>
        <v>#REF!</v>
      </c>
      <c r="CE53" t="str">
        <f>AND(#REF!,"AAAAAH/nm1I=")</f>
        <v>#REF!</v>
      </c>
      <c r="CF53" t="str">
        <f>AND(#REF!,"AAAAAH/nm1M=")</f>
        <v>#REF!</v>
      </c>
      <c r="CG53" t="str">
        <f>AND(#REF!,"AAAAAH/nm1Q=")</f>
        <v>#REF!</v>
      </c>
      <c r="CH53" t="str">
        <f>AND(#REF!,"AAAAAH/nm1U=")</f>
        <v>#REF!</v>
      </c>
      <c r="CI53" t="str">
        <f>AND(#REF!,"AAAAAH/nm1Y=")</f>
        <v>#REF!</v>
      </c>
      <c r="CJ53" t="str">
        <f>AND(#REF!,"AAAAAH/nm1c=")</f>
        <v>#REF!</v>
      </c>
      <c r="CK53" t="str">
        <f>AND(#REF!,"AAAAAH/nm1g=")</f>
        <v>#REF!</v>
      </c>
      <c r="CL53" t="str">
        <f>AND(#REF!,"AAAAAH/nm1k=")</f>
        <v>#REF!</v>
      </c>
      <c r="CM53" t="str">
        <f>AND(#REF!,"AAAAAH/nm1o=")</f>
        <v>#REF!</v>
      </c>
      <c r="CN53" t="str">
        <f>AND(#REF!,"AAAAAH/nm1s=")</f>
        <v>#REF!</v>
      </c>
      <c r="CO53" t="str">
        <f>AND(#REF!,"AAAAAH/nm1w=")</f>
        <v>#REF!</v>
      </c>
      <c r="CP53" t="str">
        <f>AND(#REF!,"AAAAAH/nm10=")</f>
        <v>#REF!</v>
      </c>
      <c r="CQ53" t="str">
        <f>AND(#REF!,"AAAAAH/nm14=")</f>
        <v>#REF!</v>
      </c>
      <c r="CR53" t="str">
        <f>AND(#REF!,"AAAAAH/nm18=")</f>
        <v>#REF!</v>
      </c>
      <c r="CS53" t="str">
        <f>AND(#REF!,"AAAAAH/nm2A=")</f>
        <v>#REF!</v>
      </c>
      <c r="CT53" t="str">
        <f>AND(#REF!,"AAAAAH/nm2E=")</f>
        <v>#REF!</v>
      </c>
      <c r="CU53" t="str">
        <f>AND(#REF!,"AAAAAH/nm2I=")</f>
        <v>#REF!</v>
      </c>
      <c r="CV53" t="str">
        <f>AND(#REF!,"AAAAAH/nm2M=")</f>
        <v>#REF!</v>
      </c>
      <c r="CW53" t="str">
        <f>AND(#REF!,"AAAAAH/nm2Q=")</f>
        <v>#REF!</v>
      </c>
      <c r="CX53" t="str">
        <f>AND(#REF!,"AAAAAH/nm2U=")</f>
        <v>#REF!</v>
      </c>
      <c r="CY53" t="str">
        <f>AND(#REF!,"AAAAAH/nm2Y=")</f>
        <v>#REF!</v>
      </c>
      <c r="CZ53" t="str">
        <f>AND(#REF!,"AAAAAH/nm2c=")</f>
        <v>#REF!</v>
      </c>
      <c r="DA53" t="str">
        <f>AND(#REF!,"AAAAAH/nm2g=")</f>
        <v>#REF!</v>
      </c>
      <c r="DB53" t="str">
        <f>AND(#REF!,"AAAAAH/nm2k=")</f>
        <v>#REF!</v>
      </c>
      <c r="DC53" t="str">
        <f>AND(#REF!,"AAAAAH/nm2o=")</f>
        <v>#REF!</v>
      </c>
      <c r="DD53" t="str">
        <f>AND(#REF!,"AAAAAH/nm2s=")</f>
        <v>#REF!</v>
      </c>
      <c r="DE53" t="str">
        <f>AND(#REF!,"AAAAAH/nm2w=")</f>
        <v>#REF!</v>
      </c>
      <c r="DF53" t="str">
        <f>AND(#REF!,"AAAAAH/nm20=")</f>
        <v>#REF!</v>
      </c>
      <c r="DG53" t="str">
        <f>AND(#REF!,"AAAAAH/nm24=")</f>
        <v>#REF!</v>
      </c>
      <c r="DH53" t="str">
        <f>AND(#REF!,"AAAAAH/nm28=")</f>
        <v>#REF!</v>
      </c>
      <c r="DI53" t="str">
        <f>AND(#REF!,"AAAAAH/nm3A=")</f>
        <v>#REF!</v>
      </c>
      <c r="DJ53" t="str">
        <f>AND(#REF!,"AAAAAH/nm3E=")</f>
        <v>#REF!</v>
      </c>
      <c r="DK53" t="str">
        <f>AND(#REF!,"AAAAAH/nm3I=")</f>
        <v>#REF!</v>
      </c>
      <c r="DL53" t="str">
        <f>AND(#REF!,"AAAAAH/nm3M=")</f>
        <v>#REF!</v>
      </c>
      <c r="DM53" t="str">
        <f>IF(#REF!,"AAAAAH/nm3Q=",0)</f>
        <v>#REF!</v>
      </c>
      <c r="DN53" t="str">
        <f>AND(#REF!,"AAAAAH/nm3U=")</f>
        <v>#REF!</v>
      </c>
      <c r="DO53" t="str">
        <f>AND(#REF!,"AAAAAH/nm3Y=")</f>
        <v>#REF!</v>
      </c>
      <c r="DP53" t="str">
        <f>AND(#REF!,"AAAAAH/nm3c=")</f>
        <v>#REF!</v>
      </c>
      <c r="DQ53" t="str">
        <f>AND(#REF!,"AAAAAH/nm3g=")</f>
        <v>#REF!</v>
      </c>
      <c r="DR53" t="str">
        <f>AND(#REF!,"AAAAAH/nm3k=")</f>
        <v>#REF!</v>
      </c>
      <c r="DS53" t="str">
        <f>AND(#REF!,"AAAAAH/nm3o=")</f>
        <v>#REF!</v>
      </c>
      <c r="DT53" t="str">
        <f>AND(#REF!,"AAAAAH/nm3s=")</f>
        <v>#REF!</v>
      </c>
      <c r="DU53" t="str">
        <f>AND(#REF!,"AAAAAH/nm3w=")</f>
        <v>#REF!</v>
      </c>
      <c r="DV53" t="str">
        <f>AND(#REF!,"AAAAAH/nm30=")</f>
        <v>#REF!</v>
      </c>
      <c r="DW53" t="str">
        <f>AND(#REF!,"AAAAAH/nm34=")</f>
        <v>#REF!</v>
      </c>
      <c r="DX53" t="str">
        <f>AND(#REF!,"AAAAAH/nm38=")</f>
        <v>#REF!</v>
      </c>
      <c r="DY53" t="str">
        <f>AND(#REF!,"AAAAAH/nm4A=")</f>
        <v>#REF!</v>
      </c>
      <c r="DZ53" t="str">
        <f>AND(#REF!,"AAAAAH/nm4E=")</f>
        <v>#REF!</v>
      </c>
      <c r="EA53" t="str">
        <f>AND(#REF!,"AAAAAH/nm4I=")</f>
        <v>#REF!</v>
      </c>
      <c r="EB53" t="str">
        <f>AND(#REF!,"AAAAAH/nm4M=")</f>
        <v>#REF!</v>
      </c>
      <c r="EC53" t="str">
        <f>AND(#REF!,"AAAAAH/nm4Q=")</f>
        <v>#REF!</v>
      </c>
      <c r="ED53" t="str">
        <f>AND(#REF!,"AAAAAH/nm4U=")</f>
        <v>#REF!</v>
      </c>
      <c r="EE53" t="str">
        <f>AND(#REF!,"AAAAAH/nm4Y=")</f>
        <v>#REF!</v>
      </c>
      <c r="EF53" t="str">
        <f>AND(#REF!,"AAAAAH/nm4c=")</f>
        <v>#REF!</v>
      </c>
      <c r="EG53" t="str">
        <f>AND(#REF!,"AAAAAH/nm4g=")</f>
        <v>#REF!</v>
      </c>
      <c r="EH53" t="str">
        <f>AND(#REF!,"AAAAAH/nm4k=")</f>
        <v>#REF!</v>
      </c>
      <c r="EI53" t="str">
        <f>AND(#REF!,"AAAAAH/nm4o=")</f>
        <v>#REF!</v>
      </c>
      <c r="EJ53" t="str">
        <f>AND(#REF!,"AAAAAH/nm4s=")</f>
        <v>#REF!</v>
      </c>
      <c r="EK53" t="str">
        <f>AND(#REF!,"AAAAAH/nm4w=")</f>
        <v>#REF!</v>
      </c>
      <c r="EL53" t="str">
        <f>AND(#REF!,"AAAAAH/nm40=")</f>
        <v>#REF!</v>
      </c>
      <c r="EM53" t="str">
        <f>AND(#REF!,"AAAAAH/nm44=")</f>
        <v>#REF!</v>
      </c>
      <c r="EN53" t="str">
        <f>AND(#REF!,"AAAAAH/nm48=")</f>
        <v>#REF!</v>
      </c>
      <c r="EO53" t="str">
        <f>AND(#REF!,"AAAAAH/nm5A=")</f>
        <v>#REF!</v>
      </c>
      <c r="EP53" t="str">
        <f>AND(#REF!,"AAAAAH/nm5E=")</f>
        <v>#REF!</v>
      </c>
      <c r="EQ53" t="str">
        <f>AND(#REF!,"AAAAAH/nm5I=")</f>
        <v>#REF!</v>
      </c>
      <c r="ER53" t="str">
        <f>AND(#REF!,"AAAAAH/nm5M=")</f>
        <v>#REF!</v>
      </c>
      <c r="ES53" t="str">
        <f>AND(#REF!,"AAAAAH/nm5Q=")</f>
        <v>#REF!</v>
      </c>
      <c r="ET53" t="str">
        <f>AND(#REF!,"AAAAAH/nm5U=")</f>
        <v>#REF!</v>
      </c>
      <c r="EU53" t="str">
        <f>AND(#REF!,"AAAAAH/nm5Y=")</f>
        <v>#REF!</v>
      </c>
      <c r="EV53" t="str">
        <f>AND(#REF!,"AAAAAH/nm5c=")</f>
        <v>#REF!</v>
      </c>
      <c r="EW53" t="str">
        <f>AND(#REF!,"AAAAAH/nm5g=")</f>
        <v>#REF!</v>
      </c>
      <c r="EX53" t="str">
        <f>AND(#REF!,"AAAAAH/nm5k=")</f>
        <v>#REF!</v>
      </c>
      <c r="EY53" t="str">
        <f>AND(#REF!,"AAAAAH/nm5o=")</f>
        <v>#REF!</v>
      </c>
      <c r="EZ53" t="str">
        <f>AND(#REF!,"AAAAAH/nm5s=")</f>
        <v>#REF!</v>
      </c>
      <c r="FA53" t="str">
        <f>AND(#REF!,"AAAAAH/nm5w=")</f>
        <v>#REF!</v>
      </c>
      <c r="FB53" t="str">
        <f>AND(#REF!,"AAAAAH/nm50=")</f>
        <v>#REF!</v>
      </c>
      <c r="FC53" t="str">
        <f>AND(#REF!,"AAAAAH/nm54=")</f>
        <v>#REF!</v>
      </c>
      <c r="FD53" t="str">
        <f>AND(#REF!,"AAAAAH/nm58=")</f>
        <v>#REF!</v>
      </c>
      <c r="FE53" t="str">
        <f>AND(#REF!,"AAAAAH/nm6A=")</f>
        <v>#REF!</v>
      </c>
      <c r="FF53" t="str">
        <f>AND(#REF!,"AAAAAH/nm6E=")</f>
        <v>#REF!</v>
      </c>
      <c r="FG53" t="str">
        <f>AND(#REF!,"AAAAAH/nm6I=")</f>
        <v>#REF!</v>
      </c>
      <c r="FH53" t="str">
        <f>AND(#REF!,"AAAAAH/nm6M=")</f>
        <v>#REF!</v>
      </c>
      <c r="FI53" t="str">
        <f>AND(#REF!,"AAAAAH/nm6Q=")</f>
        <v>#REF!</v>
      </c>
      <c r="FJ53" t="str">
        <f>AND(#REF!,"AAAAAH/nm6U=")</f>
        <v>#REF!</v>
      </c>
      <c r="FK53" t="str">
        <f>AND(#REF!,"AAAAAH/nm6Y=")</f>
        <v>#REF!</v>
      </c>
      <c r="FL53" t="str">
        <f>AND(#REF!,"AAAAAH/nm6c=")</f>
        <v>#REF!</v>
      </c>
      <c r="FM53" t="str">
        <f>AND(#REF!,"AAAAAH/nm6g=")</f>
        <v>#REF!</v>
      </c>
      <c r="FN53" t="str">
        <f>AND(#REF!,"AAAAAH/nm6k=")</f>
        <v>#REF!</v>
      </c>
      <c r="FO53" t="str">
        <f>AND(#REF!,"AAAAAH/nm6o=")</f>
        <v>#REF!</v>
      </c>
      <c r="FP53" t="str">
        <f>AND(#REF!,"AAAAAH/nm6s=")</f>
        <v>#REF!</v>
      </c>
      <c r="FQ53" t="str">
        <f>AND(#REF!,"AAAAAH/nm6w=")</f>
        <v>#REF!</v>
      </c>
      <c r="FR53" t="str">
        <f>AND(#REF!,"AAAAAH/nm60=")</f>
        <v>#REF!</v>
      </c>
      <c r="FS53" t="str">
        <f>AND(#REF!,"AAAAAH/nm64=")</f>
        <v>#REF!</v>
      </c>
      <c r="FT53" t="str">
        <f>AND(#REF!,"AAAAAH/nm68=")</f>
        <v>#REF!</v>
      </c>
      <c r="FU53" t="str">
        <f>AND(#REF!,"AAAAAH/nm7A=")</f>
        <v>#REF!</v>
      </c>
      <c r="FV53" t="str">
        <f>AND(#REF!,"AAAAAH/nm7E=")</f>
        <v>#REF!</v>
      </c>
      <c r="FW53" t="str">
        <f>AND(#REF!,"AAAAAH/nm7I=")</f>
        <v>#REF!</v>
      </c>
      <c r="FX53" t="str">
        <f>AND(#REF!,"AAAAAH/nm7M=")</f>
        <v>#REF!</v>
      </c>
      <c r="FY53" t="str">
        <f>AND(#REF!,"AAAAAH/nm7Q=")</f>
        <v>#REF!</v>
      </c>
      <c r="FZ53" t="str">
        <f>AND(#REF!,"AAAAAH/nm7U=")</f>
        <v>#REF!</v>
      </c>
      <c r="GA53" t="str">
        <f>AND(#REF!,"AAAAAH/nm7Y=")</f>
        <v>#REF!</v>
      </c>
      <c r="GB53" t="str">
        <f>AND(#REF!,"AAAAAH/nm7c=")</f>
        <v>#REF!</v>
      </c>
      <c r="GC53" t="str">
        <f>AND(#REF!,"AAAAAH/nm7g=")</f>
        <v>#REF!</v>
      </c>
      <c r="GD53" t="str">
        <f>AND(#REF!,"AAAAAH/nm7k=")</f>
        <v>#REF!</v>
      </c>
      <c r="GE53" t="str">
        <f>AND(#REF!,"AAAAAH/nm7o=")</f>
        <v>#REF!</v>
      </c>
      <c r="GF53" t="str">
        <f>AND(#REF!,"AAAAAH/nm7s=")</f>
        <v>#REF!</v>
      </c>
      <c r="GG53" t="str">
        <f>AND(#REF!,"AAAAAH/nm7w=")</f>
        <v>#REF!</v>
      </c>
      <c r="GH53" t="str">
        <f>AND(#REF!,"AAAAAH/nm70=")</f>
        <v>#REF!</v>
      </c>
      <c r="GI53" t="str">
        <f>AND(#REF!,"AAAAAH/nm74=")</f>
        <v>#REF!</v>
      </c>
      <c r="GJ53" t="str">
        <f>AND(#REF!,"AAAAAH/nm78=")</f>
        <v>#REF!</v>
      </c>
      <c r="GK53" t="str">
        <f>IF(#REF!,"AAAAAH/nm8A=",0)</f>
        <v>#REF!</v>
      </c>
      <c r="GL53" t="str">
        <f>AND(#REF!,"AAAAAH/nm8E=")</f>
        <v>#REF!</v>
      </c>
      <c r="GM53" t="str">
        <f>AND(#REF!,"AAAAAH/nm8I=")</f>
        <v>#REF!</v>
      </c>
      <c r="GN53" t="str">
        <f>AND(#REF!,"AAAAAH/nm8M=")</f>
        <v>#REF!</v>
      </c>
      <c r="GO53" t="str">
        <f>AND(#REF!,"AAAAAH/nm8Q=")</f>
        <v>#REF!</v>
      </c>
      <c r="GP53" t="str">
        <f>AND(#REF!,"AAAAAH/nm8U=")</f>
        <v>#REF!</v>
      </c>
      <c r="GQ53" t="str">
        <f>AND(#REF!,"AAAAAH/nm8Y=")</f>
        <v>#REF!</v>
      </c>
      <c r="GR53" t="str">
        <f>AND(#REF!,"AAAAAH/nm8c=")</f>
        <v>#REF!</v>
      </c>
      <c r="GS53" t="str">
        <f>AND(#REF!,"AAAAAH/nm8g=")</f>
        <v>#REF!</v>
      </c>
      <c r="GT53" t="str">
        <f>AND(#REF!,"AAAAAH/nm8k=")</f>
        <v>#REF!</v>
      </c>
      <c r="GU53" t="str">
        <f>AND(#REF!,"AAAAAH/nm8o=")</f>
        <v>#REF!</v>
      </c>
      <c r="GV53" t="str">
        <f>AND(#REF!,"AAAAAH/nm8s=")</f>
        <v>#REF!</v>
      </c>
      <c r="GW53" t="str">
        <f>AND(#REF!,"AAAAAH/nm8w=")</f>
        <v>#REF!</v>
      </c>
      <c r="GX53" t="str">
        <f>AND(#REF!,"AAAAAH/nm80=")</f>
        <v>#REF!</v>
      </c>
      <c r="GY53" t="str">
        <f>AND(#REF!,"AAAAAH/nm84=")</f>
        <v>#REF!</v>
      </c>
      <c r="GZ53" t="str">
        <f>AND(#REF!,"AAAAAH/nm88=")</f>
        <v>#REF!</v>
      </c>
      <c r="HA53" t="str">
        <f>AND(#REF!,"AAAAAH/nm9A=")</f>
        <v>#REF!</v>
      </c>
      <c r="HB53" t="str">
        <f>AND(#REF!,"AAAAAH/nm9E=")</f>
        <v>#REF!</v>
      </c>
      <c r="HC53" t="str">
        <f>AND(#REF!,"AAAAAH/nm9I=")</f>
        <v>#REF!</v>
      </c>
      <c r="HD53" t="str">
        <f>AND(#REF!,"AAAAAH/nm9M=")</f>
        <v>#REF!</v>
      </c>
      <c r="HE53" t="str">
        <f>AND(#REF!,"AAAAAH/nm9Q=")</f>
        <v>#REF!</v>
      </c>
      <c r="HF53" t="str">
        <f>AND(#REF!,"AAAAAH/nm9U=")</f>
        <v>#REF!</v>
      </c>
      <c r="HG53" t="str">
        <f>AND(#REF!,"AAAAAH/nm9Y=")</f>
        <v>#REF!</v>
      </c>
      <c r="HH53" t="str">
        <f>AND(#REF!,"AAAAAH/nm9c=")</f>
        <v>#REF!</v>
      </c>
      <c r="HI53" t="str">
        <f>AND(#REF!,"AAAAAH/nm9g=")</f>
        <v>#REF!</v>
      </c>
      <c r="HJ53" t="str">
        <f>AND(#REF!,"AAAAAH/nm9k=")</f>
        <v>#REF!</v>
      </c>
      <c r="HK53" t="str">
        <f>AND(#REF!,"AAAAAH/nm9o=")</f>
        <v>#REF!</v>
      </c>
      <c r="HL53" t="str">
        <f>AND(#REF!,"AAAAAH/nm9s=")</f>
        <v>#REF!</v>
      </c>
      <c r="HM53" t="str">
        <f>AND(#REF!,"AAAAAH/nm9w=")</f>
        <v>#REF!</v>
      </c>
      <c r="HN53" t="str">
        <f>AND(#REF!,"AAAAAH/nm90=")</f>
        <v>#REF!</v>
      </c>
      <c r="HO53" t="str">
        <f>AND(#REF!,"AAAAAH/nm94=")</f>
        <v>#REF!</v>
      </c>
      <c r="HP53" t="str">
        <f>AND(#REF!,"AAAAAH/nm98=")</f>
        <v>#REF!</v>
      </c>
      <c r="HQ53" t="str">
        <f>AND(#REF!,"AAAAAH/nm+A=")</f>
        <v>#REF!</v>
      </c>
      <c r="HR53" t="str">
        <f>AND(#REF!,"AAAAAH/nm+E=")</f>
        <v>#REF!</v>
      </c>
      <c r="HS53" t="str">
        <f>AND(#REF!,"AAAAAH/nm+I=")</f>
        <v>#REF!</v>
      </c>
      <c r="HT53" t="str">
        <f>AND(#REF!,"AAAAAH/nm+M=")</f>
        <v>#REF!</v>
      </c>
      <c r="HU53" t="str">
        <f>AND(#REF!,"AAAAAH/nm+Q=")</f>
        <v>#REF!</v>
      </c>
      <c r="HV53" t="str">
        <f>AND(#REF!,"AAAAAH/nm+U=")</f>
        <v>#REF!</v>
      </c>
      <c r="HW53" t="str">
        <f>AND(#REF!,"AAAAAH/nm+Y=")</f>
        <v>#REF!</v>
      </c>
      <c r="HX53" t="str">
        <f>AND(#REF!,"AAAAAH/nm+c=")</f>
        <v>#REF!</v>
      </c>
      <c r="HY53" t="str">
        <f>AND(#REF!,"AAAAAH/nm+g=")</f>
        <v>#REF!</v>
      </c>
      <c r="HZ53" t="str">
        <f>AND(#REF!,"AAAAAH/nm+k=")</f>
        <v>#REF!</v>
      </c>
      <c r="IA53" t="str">
        <f>AND(#REF!,"AAAAAH/nm+o=")</f>
        <v>#REF!</v>
      </c>
      <c r="IB53" t="str">
        <f>AND(#REF!,"AAAAAH/nm+s=")</f>
        <v>#REF!</v>
      </c>
      <c r="IC53" t="str">
        <f>AND(#REF!,"AAAAAH/nm+w=")</f>
        <v>#REF!</v>
      </c>
      <c r="ID53" t="str">
        <f>AND(#REF!,"AAAAAH/nm+0=")</f>
        <v>#REF!</v>
      </c>
      <c r="IE53" t="str">
        <f>AND(#REF!,"AAAAAH/nm+4=")</f>
        <v>#REF!</v>
      </c>
      <c r="IF53" t="str">
        <f>AND(#REF!,"AAAAAH/nm+8=")</f>
        <v>#REF!</v>
      </c>
      <c r="IG53" t="str">
        <f>AND(#REF!,"AAAAAH/nm/A=")</f>
        <v>#REF!</v>
      </c>
      <c r="IH53" t="str">
        <f>AND(#REF!,"AAAAAH/nm/E=")</f>
        <v>#REF!</v>
      </c>
      <c r="II53" t="str">
        <f>AND(#REF!,"AAAAAH/nm/I=")</f>
        <v>#REF!</v>
      </c>
      <c r="IJ53" t="str">
        <f>AND(#REF!,"AAAAAH/nm/M=")</f>
        <v>#REF!</v>
      </c>
      <c r="IK53" t="str">
        <f>AND(#REF!,"AAAAAH/nm/Q=")</f>
        <v>#REF!</v>
      </c>
      <c r="IL53" t="str">
        <f>AND(#REF!,"AAAAAH/nm/U=")</f>
        <v>#REF!</v>
      </c>
      <c r="IM53" t="str">
        <f>AND(#REF!,"AAAAAH/nm/Y=")</f>
        <v>#REF!</v>
      </c>
      <c r="IN53" t="str">
        <f>AND(#REF!,"AAAAAH/nm/c=")</f>
        <v>#REF!</v>
      </c>
      <c r="IO53" t="str">
        <f>AND(#REF!,"AAAAAH/nm/g=")</f>
        <v>#REF!</v>
      </c>
      <c r="IP53" t="str">
        <f>AND(#REF!,"AAAAAH/nm/k=")</f>
        <v>#REF!</v>
      </c>
      <c r="IQ53" t="str">
        <f>AND(#REF!,"AAAAAH/nm/o=")</f>
        <v>#REF!</v>
      </c>
      <c r="IR53" t="str">
        <f>AND(#REF!,"AAAAAH/nm/s=")</f>
        <v>#REF!</v>
      </c>
      <c r="IS53" t="str">
        <f>AND(#REF!,"AAAAAH/nm/w=")</f>
        <v>#REF!</v>
      </c>
      <c r="IT53" t="str">
        <f>AND(#REF!,"AAAAAH/nm/0=")</f>
        <v>#REF!</v>
      </c>
      <c r="IU53" t="str">
        <f>AND(#REF!,"AAAAAH/nm/4=")</f>
        <v>#REF!</v>
      </c>
      <c r="IV53" t="str">
        <f>AND(#REF!,"AAAAAH/nm/8=")</f>
        <v>#REF!</v>
      </c>
    </row>
    <row r="54" ht="15.75" customHeight="1">
      <c r="A54" t="str">
        <f>AND(#REF!,"AAAAAGy//wA=")</f>
        <v>#REF!</v>
      </c>
      <c r="B54" t="str">
        <f>AND(#REF!,"AAAAAGy//wE=")</f>
        <v>#REF!</v>
      </c>
      <c r="C54" t="str">
        <f>AND(#REF!,"AAAAAGy//wI=")</f>
        <v>#REF!</v>
      </c>
      <c r="D54" t="str">
        <f>AND(#REF!,"AAAAAGy//wM=")</f>
        <v>#REF!</v>
      </c>
      <c r="E54" t="str">
        <f>AND(#REF!,"AAAAAGy//wQ=")</f>
        <v>#REF!</v>
      </c>
      <c r="F54" t="str">
        <f>AND(#REF!,"AAAAAGy//wU=")</f>
        <v>#REF!</v>
      </c>
      <c r="G54" t="str">
        <f>AND(#REF!,"AAAAAGy//wY=")</f>
        <v>#REF!</v>
      </c>
      <c r="H54" t="str">
        <f>AND(#REF!,"AAAAAGy//wc=")</f>
        <v>#REF!</v>
      </c>
      <c r="I54" t="str">
        <f>AND(#REF!,"AAAAAGy//wg=")</f>
        <v>#REF!</v>
      </c>
      <c r="J54" t="str">
        <f>AND(#REF!,"AAAAAGy//wk=")</f>
        <v>#REF!</v>
      </c>
      <c r="K54" t="str">
        <f>AND(#REF!,"AAAAAGy//wo=")</f>
        <v>#REF!</v>
      </c>
      <c r="L54" t="str">
        <f>AND(#REF!,"AAAAAGy//ws=")</f>
        <v>#REF!</v>
      </c>
      <c r="M54" t="str">
        <f>IF(#REF!,"AAAAAGy//ww=",0)</f>
        <v>#REF!</v>
      </c>
      <c r="N54" t="str">
        <f>AND(#REF!,"AAAAAGy//w0=")</f>
        <v>#REF!</v>
      </c>
      <c r="O54" t="str">
        <f>AND(#REF!,"AAAAAGy//w4=")</f>
        <v>#REF!</v>
      </c>
      <c r="P54" t="str">
        <f>AND(#REF!,"AAAAAGy//w8=")</f>
        <v>#REF!</v>
      </c>
      <c r="Q54" t="str">
        <f>AND(#REF!,"AAAAAGy//xA=")</f>
        <v>#REF!</v>
      </c>
      <c r="R54" t="str">
        <f>AND(#REF!,"AAAAAGy//xE=")</f>
        <v>#REF!</v>
      </c>
      <c r="S54" t="str">
        <f>AND(#REF!,"AAAAAGy//xI=")</f>
        <v>#REF!</v>
      </c>
      <c r="T54" t="str">
        <f>AND(#REF!,"AAAAAGy//xM=")</f>
        <v>#REF!</v>
      </c>
      <c r="U54" t="str">
        <f>AND(#REF!,"AAAAAGy//xQ=")</f>
        <v>#REF!</v>
      </c>
      <c r="V54" t="str">
        <f>AND(#REF!,"AAAAAGy//xU=")</f>
        <v>#REF!</v>
      </c>
      <c r="W54" t="str">
        <f>AND(#REF!,"AAAAAGy//xY=")</f>
        <v>#REF!</v>
      </c>
      <c r="X54" t="str">
        <f>AND(#REF!,"AAAAAGy//xc=")</f>
        <v>#REF!</v>
      </c>
      <c r="Y54" t="str">
        <f>AND(#REF!,"AAAAAGy//xg=")</f>
        <v>#REF!</v>
      </c>
      <c r="Z54" t="str">
        <f>AND(#REF!,"AAAAAGy//xk=")</f>
        <v>#REF!</v>
      </c>
      <c r="AA54" t="str">
        <f>AND(#REF!,"AAAAAGy//xo=")</f>
        <v>#REF!</v>
      </c>
      <c r="AB54" t="str">
        <f>AND(#REF!,"AAAAAGy//xs=")</f>
        <v>#REF!</v>
      </c>
      <c r="AC54" t="str">
        <f>AND(#REF!,"AAAAAGy//xw=")</f>
        <v>#REF!</v>
      </c>
      <c r="AD54" t="str">
        <f>AND(#REF!,"AAAAAGy//x0=")</f>
        <v>#REF!</v>
      </c>
      <c r="AE54" t="str">
        <f>AND(#REF!,"AAAAAGy//x4=")</f>
        <v>#REF!</v>
      </c>
      <c r="AF54" t="str">
        <f>AND(#REF!,"AAAAAGy//x8=")</f>
        <v>#REF!</v>
      </c>
      <c r="AG54" t="str">
        <f>AND(#REF!,"AAAAAGy//yA=")</f>
        <v>#REF!</v>
      </c>
      <c r="AH54" t="str">
        <f>AND(#REF!,"AAAAAGy//yE=")</f>
        <v>#REF!</v>
      </c>
      <c r="AI54" t="str">
        <f>AND(#REF!,"AAAAAGy//yI=")</f>
        <v>#REF!</v>
      </c>
      <c r="AJ54" t="str">
        <f>AND(#REF!,"AAAAAGy//yM=")</f>
        <v>#REF!</v>
      </c>
      <c r="AK54" t="str">
        <f>AND(#REF!,"AAAAAGy//yQ=")</f>
        <v>#REF!</v>
      </c>
      <c r="AL54" t="str">
        <f>AND(#REF!,"AAAAAGy//yU=")</f>
        <v>#REF!</v>
      </c>
      <c r="AM54" t="str">
        <f>AND(#REF!,"AAAAAGy//yY=")</f>
        <v>#REF!</v>
      </c>
      <c r="AN54" t="str">
        <f>AND(#REF!,"AAAAAGy//yc=")</f>
        <v>#REF!</v>
      </c>
      <c r="AO54" t="str">
        <f>AND(#REF!,"AAAAAGy//yg=")</f>
        <v>#REF!</v>
      </c>
      <c r="AP54" t="str">
        <f>AND(#REF!,"AAAAAGy//yk=")</f>
        <v>#REF!</v>
      </c>
      <c r="AQ54" t="str">
        <f>AND(#REF!,"AAAAAGy//yo=")</f>
        <v>#REF!</v>
      </c>
      <c r="AR54" t="str">
        <f>AND(#REF!,"AAAAAGy//ys=")</f>
        <v>#REF!</v>
      </c>
      <c r="AS54" t="str">
        <f>AND(#REF!,"AAAAAGy//yw=")</f>
        <v>#REF!</v>
      </c>
      <c r="AT54" t="str">
        <f>AND(#REF!,"AAAAAGy//y0=")</f>
        <v>#REF!</v>
      </c>
      <c r="AU54" t="str">
        <f>AND(#REF!,"AAAAAGy//y4=")</f>
        <v>#REF!</v>
      </c>
      <c r="AV54" t="str">
        <f>AND(#REF!,"AAAAAGy//y8=")</f>
        <v>#REF!</v>
      </c>
      <c r="AW54" t="str">
        <f>AND(#REF!,"AAAAAGy//zA=")</f>
        <v>#REF!</v>
      </c>
      <c r="AX54" t="str">
        <f>AND(#REF!,"AAAAAGy//zE=")</f>
        <v>#REF!</v>
      </c>
      <c r="AY54" t="str">
        <f>AND(#REF!,"AAAAAGy//zI=")</f>
        <v>#REF!</v>
      </c>
      <c r="AZ54" t="str">
        <f>AND(#REF!,"AAAAAGy//zM=")</f>
        <v>#REF!</v>
      </c>
      <c r="BA54" t="str">
        <f>AND(#REF!,"AAAAAGy//zQ=")</f>
        <v>#REF!</v>
      </c>
      <c r="BB54" t="str">
        <f>AND(#REF!,"AAAAAGy//zU=")</f>
        <v>#REF!</v>
      </c>
      <c r="BC54" t="str">
        <f>AND(#REF!,"AAAAAGy//zY=")</f>
        <v>#REF!</v>
      </c>
      <c r="BD54" t="str">
        <f>AND(#REF!,"AAAAAGy//zc=")</f>
        <v>#REF!</v>
      </c>
      <c r="BE54" t="str">
        <f>AND(#REF!,"AAAAAGy//zg=")</f>
        <v>#REF!</v>
      </c>
      <c r="BF54" t="str">
        <f>AND(#REF!,"AAAAAGy//zk=")</f>
        <v>#REF!</v>
      </c>
      <c r="BG54" t="str">
        <f>AND(#REF!,"AAAAAGy//zo=")</f>
        <v>#REF!</v>
      </c>
      <c r="BH54" t="str">
        <f>AND(#REF!,"AAAAAGy//zs=")</f>
        <v>#REF!</v>
      </c>
      <c r="BI54" t="str">
        <f>AND(#REF!,"AAAAAGy//zw=")</f>
        <v>#REF!</v>
      </c>
      <c r="BJ54" t="str">
        <f>AND(#REF!,"AAAAAGy//z0=")</f>
        <v>#REF!</v>
      </c>
      <c r="BK54" t="str">
        <f>AND(#REF!,"AAAAAGy//z4=")</f>
        <v>#REF!</v>
      </c>
      <c r="BL54" t="str">
        <f>AND(#REF!,"AAAAAGy//z8=")</f>
        <v>#REF!</v>
      </c>
      <c r="BM54" t="str">
        <f>AND(#REF!,"AAAAAGy//0A=")</f>
        <v>#REF!</v>
      </c>
      <c r="BN54" t="str">
        <f>AND(#REF!,"AAAAAGy//0E=")</f>
        <v>#REF!</v>
      </c>
      <c r="BO54" t="str">
        <f>AND(#REF!,"AAAAAGy//0I=")</f>
        <v>#REF!</v>
      </c>
      <c r="BP54" t="str">
        <f>AND(#REF!,"AAAAAGy//0M=")</f>
        <v>#REF!</v>
      </c>
      <c r="BQ54" t="str">
        <f>AND(#REF!,"AAAAAGy//0Q=")</f>
        <v>#REF!</v>
      </c>
      <c r="BR54" t="str">
        <f>AND(#REF!,"AAAAAGy//0U=")</f>
        <v>#REF!</v>
      </c>
      <c r="BS54" t="str">
        <f>AND(#REF!,"AAAAAGy//0Y=")</f>
        <v>#REF!</v>
      </c>
      <c r="BT54" t="str">
        <f>AND(#REF!,"AAAAAGy//0c=")</f>
        <v>#REF!</v>
      </c>
      <c r="BU54" t="str">
        <f>AND(#REF!,"AAAAAGy//0g=")</f>
        <v>#REF!</v>
      </c>
      <c r="BV54" t="str">
        <f>AND(#REF!,"AAAAAGy//0k=")</f>
        <v>#REF!</v>
      </c>
      <c r="BW54" t="str">
        <f>AND(#REF!,"AAAAAGy//0o=")</f>
        <v>#REF!</v>
      </c>
      <c r="BX54" t="str">
        <f>AND(#REF!,"AAAAAGy//0s=")</f>
        <v>#REF!</v>
      </c>
      <c r="BY54" t="str">
        <f>AND(#REF!,"AAAAAGy//0w=")</f>
        <v>#REF!</v>
      </c>
      <c r="BZ54" t="str">
        <f>AND(#REF!,"AAAAAGy//00=")</f>
        <v>#REF!</v>
      </c>
      <c r="CA54" t="str">
        <f>AND(#REF!,"AAAAAGy//04=")</f>
        <v>#REF!</v>
      </c>
      <c r="CB54" t="str">
        <f>AND(#REF!,"AAAAAGy//08=")</f>
        <v>#REF!</v>
      </c>
      <c r="CC54" t="str">
        <f>AND(#REF!,"AAAAAGy//1A=")</f>
        <v>#REF!</v>
      </c>
      <c r="CD54" t="str">
        <f>AND(#REF!,"AAAAAGy//1E=")</f>
        <v>#REF!</v>
      </c>
      <c r="CE54" t="str">
        <f>AND(#REF!,"AAAAAGy//1I=")</f>
        <v>#REF!</v>
      </c>
      <c r="CF54" t="str">
        <f>AND(#REF!,"AAAAAGy//1M=")</f>
        <v>#REF!</v>
      </c>
      <c r="CG54" t="str">
        <f>AND(#REF!,"AAAAAGy//1Q=")</f>
        <v>#REF!</v>
      </c>
      <c r="CH54" t="str">
        <f>AND(#REF!,"AAAAAGy//1U=")</f>
        <v>#REF!</v>
      </c>
      <c r="CI54" t="str">
        <f>AND(#REF!,"AAAAAGy//1Y=")</f>
        <v>#REF!</v>
      </c>
      <c r="CJ54" t="str">
        <f>AND(#REF!,"AAAAAGy//1c=")</f>
        <v>#REF!</v>
      </c>
      <c r="CK54" t="str">
        <f>IF(#REF!,"AAAAAGy//1g=",0)</f>
        <v>#REF!</v>
      </c>
      <c r="CL54" t="str">
        <f>AND(#REF!,"AAAAAGy//1k=")</f>
        <v>#REF!</v>
      </c>
      <c r="CM54" t="str">
        <f>AND(#REF!,"AAAAAGy//1o=")</f>
        <v>#REF!</v>
      </c>
      <c r="CN54" t="str">
        <f>AND(#REF!,"AAAAAGy//1s=")</f>
        <v>#REF!</v>
      </c>
      <c r="CO54" t="str">
        <f>AND(#REF!,"AAAAAGy//1w=")</f>
        <v>#REF!</v>
      </c>
      <c r="CP54" t="str">
        <f>AND(#REF!,"AAAAAGy//10=")</f>
        <v>#REF!</v>
      </c>
      <c r="CQ54" t="str">
        <f>AND(#REF!,"AAAAAGy//14=")</f>
        <v>#REF!</v>
      </c>
      <c r="CR54" t="str">
        <f>AND(#REF!,"AAAAAGy//18=")</f>
        <v>#REF!</v>
      </c>
      <c r="CS54" t="str">
        <f>AND(#REF!,"AAAAAGy//2A=")</f>
        <v>#REF!</v>
      </c>
      <c r="CT54" t="str">
        <f>AND(#REF!,"AAAAAGy//2E=")</f>
        <v>#REF!</v>
      </c>
      <c r="CU54" t="str">
        <f>AND(#REF!,"AAAAAGy//2I=")</f>
        <v>#REF!</v>
      </c>
      <c r="CV54" t="str">
        <f>AND(#REF!,"AAAAAGy//2M=")</f>
        <v>#REF!</v>
      </c>
      <c r="CW54" t="str">
        <f>AND(#REF!,"AAAAAGy//2Q=")</f>
        <v>#REF!</v>
      </c>
      <c r="CX54" t="str">
        <f>AND(#REF!,"AAAAAGy//2U=")</f>
        <v>#REF!</v>
      </c>
      <c r="CY54" t="str">
        <f>AND(#REF!,"AAAAAGy//2Y=")</f>
        <v>#REF!</v>
      </c>
      <c r="CZ54" t="str">
        <f>AND(#REF!,"AAAAAGy//2c=")</f>
        <v>#REF!</v>
      </c>
      <c r="DA54" t="str">
        <f>AND(#REF!,"AAAAAGy//2g=")</f>
        <v>#REF!</v>
      </c>
      <c r="DB54" t="str">
        <f>AND(#REF!,"AAAAAGy//2k=")</f>
        <v>#REF!</v>
      </c>
      <c r="DC54" t="str">
        <f>AND(#REF!,"AAAAAGy//2o=")</f>
        <v>#REF!</v>
      </c>
      <c r="DD54" t="str">
        <f>AND(#REF!,"AAAAAGy//2s=")</f>
        <v>#REF!</v>
      </c>
      <c r="DE54" t="str">
        <f>AND(#REF!,"AAAAAGy//2w=")</f>
        <v>#REF!</v>
      </c>
      <c r="DF54" t="str">
        <f>AND(#REF!,"AAAAAGy//20=")</f>
        <v>#REF!</v>
      </c>
      <c r="DG54" t="str">
        <f>AND(#REF!,"AAAAAGy//24=")</f>
        <v>#REF!</v>
      </c>
      <c r="DH54" t="str">
        <f>AND(#REF!,"AAAAAGy//28=")</f>
        <v>#REF!</v>
      </c>
      <c r="DI54" t="str">
        <f>AND(#REF!,"AAAAAGy//3A=")</f>
        <v>#REF!</v>
      </c>
      <c r="DJ54" t="str">
        <f>AND(#REF!,"AAAAAGy//3E=")</f>
        <v>#REF!</v>
      </c>
      <c r="DK54" t="str">
        <f>AND(#REF!,"AAAAAGy//3I=")</f>
        <v>#REF!</v>
      </c>
      <c r="DL54" t="str">
        <f>AND(#REF!,"AAAAAGy//3M=")</f>
        <v>#REF!</v>
      </c>
      <c r="DM54" t="str">
        <f>AND(#REF!,"AAAAAGy//3Q=")</f>
        <v>#REF!</v>
      </c>
      <c r="DN54" t="str">
        <f>AND(#REF!,"AAAAAGy//3U=")</f>
        <v>#REF!</v>
      </c>
      <c r="DO54" t="str">
        <f>AND(#REF!,"AAAAAGy//3Y=")</f>
        <v>#REF!</v>
      </c>
      <c r="DP54" t="str">
        <f>AND(#REF!,"AAAAAGy//3c=")</f>
        <v>#REF!</v>
      </c>
      <c r="DQ54" t="str">
        <f>AND(#REF!,"AAAAAGy//3g=")</f>
        <v>#REF!</v>
      </c>
      <c r="DR54" t="str">
        <f>AND(#REF!,"AAAAAGy//3k=")</f>
        <v>#REF!</v>
      </c>
      <c r="DS54" t="str">
        <f>AND(#REF!,"AAAAAGy//3o=")</f>
        <v>#REF!</v>
      </c>
      <c r="DT54" t="str">
        <f>AND(#REF!,"AAAAAGy//3s=")</f>
        <v>#REF!</v>
      </c>
      <c r="DU54" t="str">
        <f>AND(#REF!,"AAAAAGy//3w=")</f>
        <v>#REF!</v>
      </c>
      <c r="DV54" t="str">
        <f>AND(#REF!,"AAAAAGy//30=")</f>
        <v>#REF!</v>
      </c>
      <c r="DW54" t="str">
        <f>AND(#REF!,"AAAAAGy//34=")</f>
        <v>#REF!</v>
      </c>
      <c r="DX54" t="str">
        <f>AND(#REF!,"AAAAAGy//38=")</f>
        <v>#REF!</v>
      </c>
      <c r="DY54" t="str">
        <f>AND(#REF!,"AAAAAGy//4A=")</f>
        <v>#REF!</v>
      </c>
      <c r="DZ54" t="str">
        <f>AND(#REF!,"AAAAAGy//4E=")</f>
        <v>#REF!</v>
      </c>
      <c r="EA54" t="str">
        <f>AND(#REF!,"AAAAAGy//4I=")</f>
        <v>#REF!</v>
      </c>
      <c r="EB54" t="str">
        <f>AND(#REF!,"AAAAAGy//4M=")</f>
        <v>#REF!</v>
      </c>
      <c r="EC54" t="str">
        <f>AND(#REF!,"AAAAAGy//4Q=")</f>
        <v>#REF!</v>
      </c>
      <c r="ED54" t="str">
        <f>AND(#REF!,"AAAAAGy//4U=")</f>
        <v>#REF!</v>
      </c>
      <c r="EE54" t="str">
        <f>AND(#REF!,"AAAAAGy//4Y=")</f>
        <v>#REF!</v>
      </c>
      <c r="EF54" t="str">
        <f>AND(#REF!,"AAAAAGy//4c=")</f>
        <v>#REF!</v>
      </c>
      <c r="EG54" t="str">
        <f>AND(#REF!,"AAAAAGy//4g=")</f>
        <v>#REF!</v>
      </c>
      <c r="EH54" t="str">
        <f>AND(#REF!,"AAAAAGy//4k=")</f>
        <v>#REF!</v>
      </c>
      <c r="EI54" t="str">
        <f>AND(#REF!,"AAAAAGy//4o=")</f>
        <v>#REF!</v>
      </c>
      <c r="EJ54" t="str">
        <f>AND(#REF!,"AAAAAGy//4s=")</f>
        <v>#REF!</v>
      </c>
      <c r="EK54" t="str">
        <f>AND(#REF!,"AAAAAGy//4w=")</f>
        <v>#REF!</v>
      </c>
      <c r="EL54" t="str">
        <f>AND(#REF!,"AAAAAGy//40=")</f>
        <v>#REF!</v>
      </c>
      <c r="EM54" t="str">
        <f>AND(#REF!,"AAAAAGy//44=")</f>
        <v>#REF!</v>
      </c>
      <c r="EN54" t="str">
        <f>AND(#REF!,"AAAAAGy//48=")</f>
        <v>#REF!</v>
      </c>
      <c r="EO54" t="str">
        <f>AND(#REF!,"AAAAAGy//5A=")</f>
        <v>#REF!</v>
      </c>
      <c r="EP54" t="str">
        <f>AND(#REF!,"AAAAAGy//5E=")</f>
        <v>#REF!</v>
      </c>
      <c r="EQ54" t="str">
        <f>AND(#REF!,"AAAAAGy//5I=")</f>
        <v>#REF!</v>
      </c>
      <c r="ER54" t="str">
        <f>AND(#REF!,"AAAAAGy//5M=")</f>
        <v>#REF!</v>
      </c>
      <c r="ES54" t="str">
        <f>AND(#REF!,"AAAAAGy//5Q=")</f>
        <v>#REF!</v>
      </c>
      <c r="ET54" t="str">
        <f>AND(#REF!,"AAAAAGy//5U=")</f>
        <v>#REF!</v>
      </c>
      <c r="EU54" t="str">
        <f>AND(#REF!,"AAAAAGy//5Y=")</f>
        <v>#REF!</v>
      </c>
      <c r="EV54" t="str">
        <f>AND(#REF!,"AAAAAGy//5c=")</f>
        <v>#REF!</v>
      </c>
      <c r="EW54" t="str">
        <f>AND(#REF!,"AAAAAGy//5g=")</f>
        <v>#REF!</v>
      </c>
      <c r="EX54" t="str">
        <f>AND(#REF!,"AAAAAGy//5k=")</f>
        <v>#REF!</v>
      </c>
      <c r="EY54" t="str">
        <f>AND(#REF!,"AAAAAGy//5o=")</f>
        <v>#REF!</v>
      </c>
      <c r="EZ54" t="str">
        <f>AND(#REF!,"AAAAAGy//5s=")</f>
        <v>#REF!</v>
      </c>
      <c r="FA54" t="str">
        <f>AND(#REF!,"AAAAAGy//5w=")</f>
        <v>#REF!</v>
      </c>
      <c r="FB54" t="str">
        <f>AND(#REF!,"AAAAAGy//50=")</f>
        <v>#REF!</v>
      </c>
      <c r="FC54" t="str">
        <f>AND(#REF!,"AAAAAGy//54=")</f>
        <v>#REF!</v>
      </c>
      <c r="FD54" t="str">
        <f>AND(#REF!,"AAAAAGy//58=")</f>
        <v>#REF!</v>
      </c>
      <c r="FE54" t="str">
        <f>AND(#REF!,"AAAAAGy//6A=")</f>
        <v>#REF!</v>
      </c>
      <c r="FF54" t="str">
        <f>AND(#REF!,"AAAAAGy//6E=")</f>
        <v>#REF!</v>
      </c>
      <c r="FG54" t="str">
        <f>AND(#REF!,"AAAAAGy//6I=")</f>
        <v>#REF!</v>
      </c>
      <c r="FH54" t="str">
        <f>AND(#REF!,"AAAAAGy//6M=")</f>
        <v>#REF!</v>
      </c>
      <c r="FI54" t="str">
        <f>IF(#REF!,"AAAAAGy//6Q=",0)</f>
        <v>#REF!</v>
      </c>
      <c r="FJ54" t="str">
        <f>AND(#REF!,"AAAAAGy//6U=")</f>
        <v>#REF!</v>
      </c>
      <c r="FK54" t="str">
        <f>AND(#REF!,"AAAAAGy//6Y=")</f>
        <v>#REF!</v>
      </c>
      <c r="FL54" t="str">
        <f>AND(#REF!,"AAAAAGy//6c=")</f>
        <v>#REF!</v>
      </c>
      <c r="FM54" t="str">
        <f>AND(#REF!,"AAAAAGy//6g=")</f>
        <v>#REF!</v>
      </c>
      <c r="FN54" t="str">
        <f>AND(#REF!,"AAAAAGy//6k=")</f>
        <v>#REF!</v>
      </c>
      <c r="FO54" t="str">
        <f>AND(#REF!,"AAAAAGy//6o=")</f>
        <v>#REF!</v>
      </c>
      <c r="FP54" t="str">
        <f>AND(#REF!,"AAAAAGy//6s=")</f>
        <v>#REF!</v>
      </c>
      <c r="FQ54" t="str">
        <f>AND(#REF!,"AAAAAGy//6w=")</f>
        <v>#REF!</v>
      </c>
      <c r="FR54" t="str">
        <f>AND(#REF!,"AAAAAGy//60=")</f>
        <v>#REF!</v>
      </c>
      <c r="FS54" t="str">
        <f>AND(#REF!,"AAAAAGy//64=")</f>
        <v>#REF!</v>
      </c>
      <c r="FT54" t="str">
        <f>AND(#REF!,"AAAAAGy//68=")</f>
        <v>#REF!</v>
      </c>
      <c r="FU54" t="str">
        <f>AND(#REF!,"AAAAAGy//7A=")</f>
        <v>#REF!</v>
      </c>
      <c r="FV54" t="str">
        <f>AND(#REF!,"AAAAAGy//7E=")</f>
        <v>#REF!</v>
      </c>
      <c r="FW54" t="str">
        <f>AND(#REF!,"AAAAAGy//7I=")</f>
        <v>#REF!</v>
      </c>
      <c r="FX54" t="str">
        <f>AND(#REF!,"AAAAAGy//7M=")</f>
        <v>#REF!</v>
      </c>
      <c r="FY54" t="str">
        <f>AND(#REF!,"AAAAAGy//7Q=")</f>
        <v>#REF!</v>
      </c>
      <c r="FZ54" t="str">
        <f>AND(#REF!,"AAAAAGy//7U=")</f>
        <v>#REF!</v>
      </c>
      <c r="GA54" t="str">
        <f>AND(#REF!,"AAAAAGy//7Y=")</f>
        <v>#REF!</v>
      </c>
      <c r="GB54" t="str">
        <f>AND(#REF!,"AAAAAGy//7c=")</f>
        <v>#REF!</v>
      </c>
      <c r="GC54" t="str">
        <f>AND(#REF!,"AAAAAGy//7g=")</f>
        <v>#REF!</v>
      </c>
      <c r="GD54" t="str">
        <f>AND(#REF!,"AAAAAGy//7k=")</f>
        <v>#REF!</v>
      </c>
      <c r="GE54" t="str">
        <f>AND(#REF!,"AAAAAGy//7o=")</f>
        <v>#REF!</v>
      </c>
      <c r="GF54" t="str">
        <f>AND(#REF!,"AAAAAGy//7s=")</f>
        <v>#REF!</v>
      </c>
      <c r="GG54" t="str">
        <f>AND(#REF!,"AAAAAGy//7w=")</f>
        <v>#REF!</v>
      </c>
      <c r="GH54" t="str">
        <f>AND(#REF!,"AAAAAGy//70=")</f>
        <v>#REF!</v>
      </c>
      <c r="GI54" t="str">
        <f>AND(#REF!,"AAAAAGy//74=")</f>
        <v>#REF!</v>
      </c>
      <c r="GJ54" t="str">
        <f>AND(#REF!,"AAAAAGy//78=")</f>
        <v>#REF!</v>
      </c>
      <c r="GK54" t="str">
        <f>AND(#REF!,"AAAAAGy//8A=")</f>
        <v>#REF!</v>
      </c>
      <c r="GL54" t="str">
        <f>AND(#REF!,"AAAAAGy//8E=")</f>
        <v>#REF!</v>
      </c>
      <c r="GM54" t="str">
        <f>AND(#REF!,"AAAAAGy//8I=")</f>
        <v>#REF!</v>
      </c>
      <c r="GN54" t="str">
        <f>AND(#REF!,"AAAAAGy//8M=")</f>
        <v>#REF!</v>
      </c>
      <c r="GO54" t="str">
        <f>AND(#REF!,"AAAAAGy//8Q=")</f>
        <v>#REF!</v>
      </c>
      <c r="GP54" t="str">
        <f>AND(#REF!,"AAAAAGy//8U=")</f>
        <v>#REF!</v>
      </c>
      <c r="GQ54" t="str">
        <f>AND(#REF!,"AAAAAGy//8Y=")</f>
        <v>#REF!</v>
      </c>
      <c r="GR54" t="str">
        <f>AND(#REF!,"AAAAAGy//8c=")</f>
        <v>#REF!</v>
      </c>
      <c r="GS54" t="str">
        <f>AND(#REF!,"AAAAAGy//8g=")</f>
        <v>#REF!</v>
      </c>
      <c r="GT54" t="str">
        <f>AND(#REF!,"AAAAAGy//8k=")</f>
        <v>#REF!</v>
      </c>
      <c r="GU54" t="str">
        <f>AND(#REF!,"AAAAAGy//8o=")</f>
        <v>#REF!</v>
      </c>
      <c r="GV54" t="str">
        <f>AND(#REF!,"AAAAAGy//8s=")</f>
        <v>#REF!</v>
      </c>
      <c r="GW54" t="str">
        <f>AND(#REF!,"AAAAAGy//8w=")</f>
        <v>#REF!</v>
      </c>
      <c r="GX54" t="str">
        <f>AND(#REF!,"AAAAAGy//80=")</f>
        <v>#REF!</v>
      </c>
      <c r="GY54" t="str">
        <f>AND(#REF!,"AAAAAGy//84=")</f>
        <v>#REF!</v>
      </c>
      <c r="GZ54" t="str">
        <f>AND(#REF!,"AAAAAGy//88=")</f>
        <v>#REF!</v>
      </c>
      <c r="HA54" t="str">
        <f>AND(#REF!,"AAAAAGy//9A=")</f>
        <v>#REF!</v>
      </c>
      <c r="HB54" t="str">
        <f>AND(#REF!,"AAAAAGy//9E=")</f>
        <v>#REF!</v>
      </c>
      <c r="HC54" t="str">
        <f>AND(#REF!,"AAAAAGy//9I=")</f>
        <v>#REF!</v>
      </c>
      <c r="HD54" t="str">
        <f>AND(#REF!,"AAAAAGy//9M=")</f>
        <v>#REF!</v>
      </c>
      <c r="HE54" t="str">
        <f>AND(#REF!,"AAAAAGy//9Q=")</f>
        <v>#REF!</v>
      </c>
      <c r="HF54" t="str">
        <f>AND(#REF!,"AAAAAGy//9U=")</f>
        <v>#REF!</v>
      </c>
      <c r="HG54" t="str">
        <f>AND(#REF!,"AAAAAGy//9Y=")</f>
        <v>#REF!</v>
      </c>
      <c r="HH54" t="str">
        <f>AND(#REF!,"AAAAAGy//9c=")</f>
        <v>#REF!</v>
      </c>
      <c r="HI54" t="str">
        <f>AND(#REF!,"AAAAAGy//9g=")</f>
        <v>#REF!</v>
      </c>
      <c r="HJ54" t="str">
        <f>AND(#REF!,"AAAAAGy//9k=")</f>
        <v>#REF!</v>
      </c>
      <c r="HK54" t="str">
        <f>AND(#REF!,"AAAAAGy//9o=")</f>
        <v>#REF!</v>
      </c>
      <c r="HL54" t="str">
        <f>AND(#REF!,"AAAAAGy//9s=")</f>
        <v>#REF!</v>
      </c>
      <c r="HM54" t="str">
        <f>AND(#REF!,"AAAAAGy//9w=")</f>
        <v>#REF!</v>
      </c>
      <c r="HN54" t="str">
        <f>AND(#REF!,"AAAAAGy//90=")</f>
        <v>#REF!</v>
      </c>
      <c r="HO54" t="str">
        <f>AND(#REF!,"AAAAAGy//94=")</f>
        <v>#REF!</v>
      </c>
      <c r="HP54" t="str">
        <f>AND(#REF!,"AAAAAGy//98=")</f>
        <v>#REF!</v>
      </c>
      <c r="HQ54" t="str">
        <f>AND(#REF!,"AAAAAGy//+A=")</f>
        <v>#REF!</v>
      </c>
      <c r="HR54" t="str">
        <f>AND(#REF!,"AAAAAGy//+E=")</f>
        <v>#REF!</v>
      </c>
      <c r="HS54" t="str">
        <f>AND(#REF!,"AAAAAGy//+I=")</f>
        <v>#REF!</v>
      </c>
      <c r="HT54" t="str">
        <f>AND(#REF!,"AAAAAGy//+M=")</f>
        <v>#REF!</v>
      </c>
      <c r="HU54" t="str">
        <f>AND(#REF!,"AAAAAGy//+Q=")</f>
        <v>#REF!</v>
      </c>
      <c r="HV54" t="str">
        <f>AND(#REF!,"AAAAAGy//+U=")</f>
        <v>#REF!</v>
      </c>
      <c r="HW54" t="str">
        <f>AND(#REF!,"AAAAAGy//+Y=")</f>
        <v>#REF!</v>
      </c>
      <c r="HX54" t="str">
        <f>AND(#REF!,"AAAAAGy//+c=")</f>
        <v>#REF!</v>
      </c>
      <c r="HY54" t="str">
        <f>AND(#REF!,"AAAAAGy//+g=")</f>
        <v>#REF!</v>
      </c>
      <c r="HZ54" t="str">
        <f>AND(#REF!,"AAAAAGy//+k=")</f>
        <v>#REF!</v>
      </c>
      <c r="IA54" t="str">
        <f>AND(#REF!,"AAAAAGy//+o=")</f>
        <v>#REF!</v>
      </c>
      <c r="IB54" t="str">
        <f>AND(#REF!,"AAAAAGy//+s=")</f>
        <v>#REF!</v>
      </c>
      <c r="IC54" t="str">
        <f>AND(#REF!,"AAAAAGy//+w=")</f>
        <v>#REF!</v>
      </c>
      <c r="ID54" t="str">
        <f>AND(#REF!,"AAAAAGy//+0=")</f>
        <v>#REF!</v>
      </c>
      <c r="IE54" t="str">
        <f>AND(#REF!,"AAAAAGy//+4=")</f>
        <v>#REF!</v>
      </c>
      <c r="IF54" t="str">
        <f>AND(#REF!,"AAAAAGy//+8=")</f>
        <v>#REF!</v>
      </c>
      <c r="IG54" t="str">
        <f>IF(#REF!,"AAAAAGy///A=",0)</f>
        <v>#REF!</v>
      </c>
      <c r="IH54" t="str">
        <f>AND(#REF!,"AAAAAGy///E=")</f>
        <v>#REF!</v>
      </c>
      <c r="II54" t="str">
        <f>AND(#REF!,"AAAAAGy///I=")</f>
        <v>#REF!</v>
      </c>
      <c r="IJ54" t="str">
        <f>AND(#REF!,"AAAAAGy///M=")</f>
        <v>#REF!</v>
      </c>
      <c r="IK54" t="str">
        <f>AND(#REF!,"AAAAAGy///Q=")</f>
        <v>#REF!</v>
      </c>
      <c r="IL54" t="str">
        <f>AND(#REF!,"AAAAAGy///U=")</f>
        <v>#REF!</v>
      </c>
      <c r="IM54" t="str">
        <f>AND(#REF!,"AAAAAGy///Y=")</f>
        <v>#REF!</v>
      </c>
      <c r="IN54" t="str">
        <f>AND(#REF!,"AAAAAGy///c=")</f>
        <v>#REF!</v>
      </c>
      <c r="IO54" t="str">
        <f>AND(#REF!,"AAAAAGy///g=")</f>
        <v>#REF!</v>
      </c>
      <c r="IP54" t="str">
        <f>AND(#REF!,"AAAAAGy///k=")</f>
        <v>#REF!</v>
      </c>
      <c r="IQ54" t="str">
        <f>AND(#REF!,"AAAAAGy///o=")</f>
        <v>#REF!</v>
      </c>
      <c r="IR54" t="str">
        <f>AND(#REF!,"AAAAAGy///s=")</f>
        <v>#REF!</v>
      </c>
      <c r="IS54" t="str">
        <f>AND(#REF!,"AAAAAGy///w=")</f>
        <v>#REF!</v>
      </c>
      <c r="IT54" t="str">
        <f>AND(#REF!,"AAAAAGy///0=")</f>
        <v>#REF!</v>
      </c>
      <c r="IU54" t="str">
        <f>AND(#REF!,"AAAAAGy///4=")</f>
        <v>#REF!</v>
      </c>
      <c r="IV54" t="str">
        <f>AND(#REF!,"AAAAAGy///8=")</f>
        <v>#REF!</v>
      </c>
    </row>
    <row r="55" ht="15.75" customHeight="1">
      <c r="A55" t="str">
        <f>AND(#REF!,"AAAAACd96AA=")</f>
        <v>#REF!</v>
      </c>
      <c r="B55" t="str">
        <f>AND(#REF!,"AAAAACd96AE=")</f>
        <v>#REF!</v>
      </c>
      <c r="C55" t="str">
        <f>AND(#REF!,"AAAAACd96AI=")</f>
        <v>#REF!</v>
      </c>
      <c r="D55" t="str">
        <f>AND(#REF!,"AAAAACd96AM=")</f>
        <v>#REF!</v>
      </c>
      <c r="E55" t="str">
        <f>AND(#REF!,"AAAAACd96AQ=")</f>
        <v>#REF!</v>
      </c>
      <c r="F55" t="str">
        <f>AND(#REF!,"AAAAACd96AU=")</f>
        <v>#REF!</v>
      </c>
      <c r="G55" t="str">
        <f>AND(#REF!,"AAAAACd96AY=")</f>
        <v>#REF!</v>
      </c>
      <c r="H55" t="str">
        <f>AND(#REF!,"AAAAACd96Ac=")</f>
        <v>#REF!</v>
      </c>
      <c r="I55" t="str">
        <f>AND(#REF!,"AAAAACd96Ag=")</f>
        <v>#REF!</v>
      </c>
      <c r="J55" t="str">
        <f>AND(#REF!,"AAAAACd96Ak=")</f>
        <v>#REF!</v>
      </c>
      <c r="K55" t="str">
        <f>AND(#REF!,"AAAAACd96Ao=")</f>
        <v>#REF!</v>
      </c>
      <c r="L55" t="str">
        <f>AND(#REF!,"AAAAACd96As=")</f>
        <v>#REF!</v>
      </c>
      <c r="M55" t="str">
        <f>AND(#REF!,"AAAAACd96Aw=")</f>
        <v>#REF!</v>
      </c>
      <c r="N55" t="str">
        <f>AND(#REF!,"AAAAACd96A0=")</f>
        <v>#REF!</v>
      </c>
      <c r="O55" t="str">
        <f>AND(#REF!,"AAAAACd96A4=")</f>
        <v>#REF!</v>
      </c>
      <c r="P55" t="str">
        <f>AND(#REF!,"AAAAACd96A8=")</f>
        <v>#REF!</v>
      </c>
      <c r="Q55" t="str">
        <f>AND(#REF!,"AAAAACd96BA=")</f>
        <v>#REF!</v>
      </c>
      <c r="R55" t="str">
        <f>AND(#REF!,"AAAAACd96BE=")</f>
        <v>#REF!</v>
      </c>
      <c r="S55" t="str">
        <f>AND(#REF!,"AAAAACd96BI=")</f>
        <v>#REF!</v>
      </c>
      <c r="T55" t="str">
        <f>AND(#REF!,"AAAAACd96BM=")</f>
        <v>#REF!</v>
      </c>
      <c r="U55" t="str">
        <f>AND(#REF!,"AAAAACd96BQ=")</f>
        <v>#REF!</v>
      </c>
      <c r="V55" t="str">
        <f>AND(#REF!,"AAAAACd96BU=")</f>
        <v>#REF!</v>
      </c>
      <c r="W55" t="str">
        <f>AND(#REF!,"AAAAACd96BY=")</f>
        <v>#REF!</v>
      </c>
      <c r="X55" t="str">
        <f>AND(#REF!,"AAAAACd96Bc=")</f>
        <v>#REF!</v>
      </c>
      <c r="Y55" t="str">
        <f>AND(#REF!,"AAAAACd96Bg=")</f>
        <v>#REF!</v>
      </c>
      <c r="Z55" t="str">
        <f>AND(#REF!,"AAAAACd96Bk=")</f>
        <v>#REF!</v>
      </c>
      <c r="AA55" t="str">
        <f>AND(#REF!,"AAAAACd96Bo=")</f>
        <v>#REF!</v>
      </c>
      <c r="AB55" t="str">
        <f>AND(#REF!,"AAAAACd96Bs=")</f>
        <v>#REF!</v>
      </c>
      <c r="AC55" t="str">
        <f>AND(#REF!,"AAAAACd96Bw=")</f>
        <v>#REF!</v>
      </c>
      <c r="AD55" t="str">
        <f>AND(#REF!,"AAAAACd96B0=")</f>
        <v>#REF!</v>
      </c>
      <c r="AE55" t="str">
        <f>AND(#REF!,"AAAAACd96B4=")</f>
        <v>#REF!</v>
      </c>
      <c r="AF55" t="str">
        <f>AND(#REF!,"AAAAACd96B8=")</f>
        <v>#REF!</v>
      </c>
      <c r="AG55" t="str">
        <f>AND(#REF!,"AAAAACd96CA=")</f>
        <v>#REF!</v>
      </c>
      <c r="AH55" t="str">
        <f>AND(#REF!,"AAAAACd96CE=")</f>
        <v>#REF!</v>
      </c>
      <c r="AI55" t="str">
        <f>AND(#REF!,"AAAAACd96CI=")</f>
        <v>#REF!</v>
      </c>
      <c r="AJ55" t="str">
        <f>AND(#REF!,"AAAAACd96CM=")</f>
        <v>#REF!</v>
      </c>
      <c r="AK55" t="str">
        <f>AND(#REF!,"AAAAACd96CQ=")</f>
        <v>#REF!</v>
      </c>
      <c r="AL55" t="str">
        <f>AND(#REF!,"AAAAACd96CU=")</f>
        <v>#REF!</v>
      </c>
      <c r="AM55" t="str">
        <f>AND(#REF!,"AAAAACd96CY=")</f>
        <v>#REF!</v>
      </c>
      <c r="AN55" t="str">
        <f>AND(#REF!,"AAAAACd96Cc=")</f>
        <v>#REF!</v>
      </c>
      <c r="AO55" t="str">
        <f>AND(#REF!,"AAAAACd96Cg=")</f>
        <v>#REF!</v>
      </c>
      <c r="AP55" t="str">
        <f>AND(#REF!,"AAAAACd96Ck=")</f>
        <v>#REF!</v>
      </c>
      <c r="AQ55" t="str">
        <f>AND(#REF!,"AAAAACd96Co=")</f>
        <v>#REF!</v>
      </c>
      <c r="AR55" t="str">
        <f>AND(#REF!,"AAAAACd96Cs=")</f>
        <v>#REF!</v>
      </c>
      <c r="AS55" t="str">
        <f>AND(#REF!,"AAAAACd96Cw=")</f>
        <v>#REF!</v>
      </c>
      <c r="AT55" t="str">
        <f>AND(#REF!,"AAAAACd96C0=")</f>
        <v>#REF!</v>
      </c>
      <c r="AU55" t="str">
        <f>AND(#REF!,"AAAAACd96C4=")</f>
        <v>#REF!</v>
      </c>
      <c r="AV55" t="str">
        <f>AND(#REF!,"AAAAACd96C8=")</f>
        <v>#REF!</v>
      </c>
      <c r="AW55" t="str">
        <f>AND(#REF!,"AAAAACd96DA=")</f>
        <v>#REF!</v>
      </c>
      <c r="AX55" t="str">
        <f>AND(#REF!,"AAAAACd96DE=")</f>
        <v>#REF!</v>
      </c>
      <c r="AY55" t="str">
        <f>AND(#REF!,"AAAAACd96DI=")</f>
        <v>#REF!</v>
      </c>
      <c r="AZ55" t="str">
        <f>AND(#REF!,"AAAAACd96DM=")</f>
        <v>#REF!</v>
      </c>
      <c r="BA55" t="str">
        <f>AND(#REF!,"AAAAACd96DQ=")</f>
        <v>#REF!</v>
      </c>
      <c r="BB55" t="str">
        <f>AND(#REF!,"AAAAACd96DU=")</f>
        <v>#REF!</v>
      </c>
      <c r="BC55" t="str">
        <f>AND(#REF!,"AAAAACd96DY=")</f>
        <v>#REF!</v>
      </c>
      <c r="BD55" t="str">
        <f>AND(#REF!,"AAAAACd96Dc=")</f>
        <v>#REF!</v>
      </c>
      <c r="BE55" t="str">
        <f>AND(#REF!,"AAAAACd96Dg=")</f>
        <v>#REF!</v>
      </c>
      <c r="BF55" t="str">
        <f>AND(#REF!,"AAAAACd96Dk=")</f>
        <v>#REF!</v>
      </c>
      <c r="BG55" t="str">
        <f>AND(#REF!,"AAAAACd96Do=")</f>
        <v>#REF!</v>
      </c>
      <c r="BH55" t="str">
        <f>AND(#REF!,"AAAAACd96Ds=")</f>
        <v>#REF!</v>
      </c>
      <c r="BI55" t="str">
        <f>IF(#REF!,"AAAAACd96Dw=",0)</f>
        <v>#REF!</v>
      </c>
      <c r="BJ55" t="str">
        <f>AND(#REF!,"AAAAACd96D0=")</f>
        <v>#REF!</v>
      </c>
      <c r="BK55" t="str">
        <f>AND(#REF!,"AAAAACd96D4=")</f>
        <v>#REF!</v>
      </c>
      <c r="BL55" t="str">
        <f>AND(#REF!,"AAAAACd96D8=")</f>
        <v>#REF!</v>
      </c>
      <c r="BM55" t="str">
        <f>AND(#REF!,"AAAAACd96EA=")</f>
        <v>#REF!</v>
      </c>
      <c r="BN55" t="str">
        <f>AND(#REF!,"AAAAACd96EE=")</f>
        <v>#REF!</v>
      </c>
      <c r="BO55" t="str">
        <f>AND(#REF!,"AAAAACd96EI=")</f>
        <v>#REF!</v>
      </c>
      <c r="BP55" t="str">
        <f>AND(#REF!,"AAAAACd96EM=")</f>
        <v>#REF!</v>
      </c>
      <c r="BQ55" t="str">
        <f>AND(#REF!,"AAAAACd96EQ=")</f>
        <v>#REF!</v>
      </c>
      <c r="BR55" t="str">
        <f>AND(#REF!,"AAAAACd96EU=")</f>
        <v>#REF!</v>
      </c>
      <c r="BS55" t="str">
        <f>AND(#REF!,"AAAAACd96EY=")</f>
        <v>#REF!</v>
      </c>
      <c r="BT55" t="str">
        <f>AND(#REF!,"AAAAACd96Ec=")</f>
        <v>#REF!</v>
      </c>
      <c r="BU55" t="str">
        <f>AND(#REF!,"AAAAACd96Eg=")</f>
        <v>#REF!</v>
      </c>
      <c r="BV55" t="str">
        <f>AND(#REF!,"AAAAACd96Ek=")</f>
        <v>#REF!</v>
      </c>
      <c r="BW55" t="str">
        <f>AND(#REF!,"AAAAACd96Eo=")</f>
        <v>#REF!</v>
      </c>
      <c r="BX55" t="str">
        <f>AND(#REF!,"AAAAACd96Es=")</f>
        <v>#REF!</v>
      </c>
      <c r="BY55" t="str">
        <f>AND(#REF!,"AAAAACd96Ew=")</f>
        <v>#REF!</v>
      </c>
      <c r="BZ55" t="str">
        <f>AND(#REF!,"AAAAACd96E0=")</f>
        <v>#REF!</v>
      </c>
      <c r="CA55" t="str">
        <f>AND(#REF!,"AAAAACd96E4=")</f>
        <v>#REF!</v>
      </c>
      <c r="CB55" t="str">
        <f>AND(#REF!,"AAAAACd96E8=")</f>
        <v>#REF!</v>
      </c>
      <c r="CC55" t="str">
        <f>AND(#REF!,"AAAAACd96FA=")</f>
        <v>#REF!</v>
      </c>
      <c r="CD55" t="str">
        <f>AND(#REF!,"AAAAACd96FE=")</f>
        <v>#REF!</v>
      </c>
      <c r="CE55" t="str">
        <f>AND(#REF!,"AAAAACd96FI=")</f>
        <v>#REF!</v>
      </c>
      <c r="CF55" t="str">
        <f>AND(#REF!,"AAAAACd96FM=")</f>
        <v>#REF!</v>
      </c>
      <c r="CG55" t="str">
        <f>AND(#REF!,"AAAAACd96FQ=")</f>
        <v>#REF!</v>
      </c>
      <c r="CH55" t="str">
        <f>AND(#REF!,"AAAAACd96FU=")</f>
        <v>#REF!</v>
      </c>
      <c r="CI55" t="str">
        <f>AND(#REF!,"AAAAACd96FY=")</f>
        <v>#REF!</v>
      </c>
      <c r="CJ55" t="str">
        <f>AND(#REF!,"AAAAACd96Fc=")</f>
        <v>#REF!</v>
      </c>
      <c r="CK55" t="str">
        <f>AND(#REF!,"AAAAACd96Fg=")</f>
        <v>#REF!</v>
      </c>
      <c r="CL55" t="str">
        <f>AND(#REF!,"AAAAACd96Fk=")</f>
        <v>#REF!</v>
      </c>
      <c r="CM55" t="str">
        <f>AND(#REF!,"AAAAACd96Fo=")</f>
        <v>#REF!</v>
      </c>
      <c r="CN55" t="str">
        <f>AND(#REF!,"AAAAACd96Fs=")</f>
        <v>#REF!</v>
      </c>
      <c r="CO55" t="str">
        <f>AND(#REF!,"AAAAACd96Fw=")</f>
        <v>#REF!</v>
      </c>
      <c r="CP55" t="str">
        <f>AND(#REF!,"AAAAACd96F0=")</f>
        <v>#REF!</v>
      </c>
      <c r="CQ55" t="str">
        <f>AND(#REF!,"AAAAACd96F4=")</f>
        <v>#REF!</v>
      </c>
      <c r="CR55" t="str">
        <f>AND(#REF!,"AAAAACd96F8=")</f>
        <v>#REF!</v>
      </c>
      <c r="CS55" t="str">
        <f>AND(#REF!,"AAAAACd96GA=")</f>
        <v>#REF!</v>
      </c>
      <c r="CT55" t="str">
        <f>AND(#REF!,"AAAAACd96GE=")</f>
        <v>#REF!</v>
      </c>
      <c r="CU55" t="str">
        <f>AND(#REF!,"AAAAACd96GI=")</f>
        <v>#REF!</v>
      </c>
      <c r="CV55" t="str">
        <f>AND(#REF!,"AAAAACd96GM=")</f>
        <v>#REF!</v>
      </c>
      <c r="CW55" t="str">
        <f>AND(#REF!,"AAAAACd96GQ=")</f>
        <v>#REF!</v>
      </c>
      <c r="CX55" t="str">
        <f>AND(#REF!,"AAAAACd96GU=")</f>
        <v>#REF!</v>
      </c>
      <c r="CY55" t="str">
        <f>AND(#REF!,"AAAAACd96GY=")</f>
        <v>#REF!</v>
      </c>
      <c r="CZ55" t="str">
        <f>AND(#REF!,"AAAAACd96Gc=")</f>
        <v>#REF!</v>
      </c>
      <c r="DA55" t="str">
        <f>AND(#REF!,"AAAAACd96Gg=")</f>
        <v>#REF!</v>
      </c>
      <c r="DB55" t="str">
        <f>AND(#REF!,"AAAAACd96Gk=")</f>
        <v>#REF!</v>
      </c>
      <c r="DC55" t="str">
        <f>AND(#REF!,"AAAAACd96Go=")</f>
        <v>#REF!</v>
      </c>
      <c r="DD55" t="str">
        <f>AND(#REF!,"AAAAACd96Gs=")</f>
        <v>#REF!</v>
      </c>
      <c r="DE55" t="str">
        <f>AND(#REF!,"AAAAACd96Gw=")</f>
        <v>#REF!</v>
      </c>
      <c r="DF55" t="str">
        <f>AND(#REF!,"AAAAACd96G0=")</f>
        <v>#REF!</v>
      </c>
      <c r="DG55" t="str">
        <f>AND(#REF!,"AAAAACd96G4=")</f>
        <v>#REF!</v>
      </c>
      <c r="DH55" t="str">
        <f>AND(#REF!,"AAAAACd96G8=")</f>
        <v>#REF!</v>
      </c>
      <c r="DI55" t="str">
        <f>AND(#REF!,"AAAAACd96HA=")</f>
        <v>#REF!</v>
      </c>
      <c r="DJ55" t="str">
        <f>AND(#REF!,"AAAAACd96HE=")</f>
        <v>#REF!</v>
      </c>
      <c r="DK55" t="str">
        <f>AND(#REF!,"AAAAACd96HI=")</f>
        <v>#REF!</v>
      </c>
      <c r="DL55" t="str">
        <f>AND(#REF!,"AAAAACd96HM=")</f>
        <v>#REF!</v>
      </c>
      <c r="DM55" t="str">
        <f>AND(#REF!,"AAAAACd96HQ=")</f>
        <v>#REF!</v>
      </c>
      <c r="DN55" t="str">
        <f>AND(#REF!,"AAAAACd96HU=")</f>
        <v>#REF!</v>
      </c>
      <c r="DO55" t="str">
        <f>AND(#REF!,"AAAAACd96HY=")</f>
        <v>#REF!</v>
      </c>
      <c r="DP55" t="str">
        <f>AND(#REF!,"AAAAACd96Hc=")</f>
        <v>#REF!</v>
      </c>
      <c r="DQ55" t="str">
        <f>AND(#REF!,"AAAAACd96Hg=")</f>
        <v>#REF!</v>
      </c>
      <c r="DR55" t="str">
        <f>AND(#REF!,"AAAAACd96Hk=")</f>
        <v>#REF!</v>
      </c>
      <c r="DS55" t="str">
        <f>AND(#REF!,"AAAAACd96Ho=")</f>
        <v>#REF!</v>
      </c>
      <c r="DT55" t="str">
        <f>AND(#REF!,"AAAAACd96Hs=")</f>
        <v>#REF!</v>
      </c>
      <c r="DU55" t="str">
        <f>AND(#REF!,"AAAAACd96Hw=")</f>
        <v>#REF!</v>
      </c>
      <c r="DV55" t="str">
        <f>AND(#REF!,"AAAAACd96H0=")</f>
        <v>#REF!</v>
      </c>
      <c r="DW55" t="str">
        <f>AND(#REF!,"AAAAACd96H4=")</f>
        <v>#REF!</v>
      </c>
      <c r="DX55" t="str">
        <f>AND(#REF!,"AAAAACd96H8=")</f>
        <v>#REF!</v>
      </c>
      <c r="DY55" t="str">
        <f>AND(#REF!,"AAAAACd96IA=")</f>
        <v>#REF!</v>
      </c>
      <c r="DZ55" t="str">
        <f>AND(#REF!,"AAAAACd96IE=")</f>
        <v>#REF!</v>
      </c>
      <c r="EA55" t="str">
        <f>AND(#REF!,"AAAAACd96II=")</f>
        <v>#REF!</v>
      </c>
      <c r="EB55" t="str">
        <f>AND(#REF!,"AAAAACd96IM=")</f>
        <v>#REF!</v>
      </c>
      <c r="EC55" t="str">
        <f>AND(#REF!,"AAAAACd96IQ=")</f>
        <v>#REF!</v>
      </c>
      <c r="ED55" t="str">
        <f>AND(#REF!,"AAAAACd96IU=")</f>
        <v>#REF!</v>
      </c>
      <c r="EE55" t="str">
        <f>AND(#REF!,"AAAAACd96IY=")</f>
        <v>#REF!</v>
      </c>
      <c r="EF55" t="str">
        <f>AND(#REF!,"AAAAACd96Ic=")</f>
        <v>#REF!</v>
      </c>
      <c r="EG55" t="str">
        <f>IF(#REF!,"AAAAACd96Ig=",0)</f>
        <v>#REF!</v>
      </c>
      <c r="EH55" t="str">
        <f>AND(#REF!,"AAAAACd96Ik=")</f>
        <v>#REF!</v>
      </c>
      <c r="EI55" t="str">
        <f>AND(#REF!,"AAAAACd96Io=")</f>
        <v>#REF!</v>
      </c>
      <c r="EJ55" t="str">
        <f>AND(#REF!,"AAAAACd96Is=")</f>
        <v>#REF!</v>
      </c>
      <c r="EK55" t="str">
        <f>IF(#REF!,"AAAAACd96Iw=",0)</f>
        <v>#REF!</v>
      </c>
      <c r="EL55" t="str">
        <f>AND(#REF!,"AAAAACd96I0=")</f>
        <v>#REF!</v>
      </c>
      <c r="EM55" t="str">
        <f>AND(#REF!,"AAAAACd96I4=")</f>
        <v>#REF!</v>
      </c>
      <c r="EN55" t="str">
        <f>AND(#REF!,"AAAAACd96I8=")</f>
        <v>#REF!</v>
      </c>
      <c r="EO55" t="str">
        <f>IF(#REF!,"AAAAACd96JA=",0)</f>
        <v>#REF!</v>
      </c>
      <c r="EP55" t="str">
        <f>AND(#REF!,"AAAAACd96JE=")</f>
        <v>#REF!</v>
      </c>
      <c r="EQ55" t="str">
        <f>AND(#REF!,"AAAAACd96JI=")</f>
        <v>#REF!</v>
      </c>
      <c r="ER55" t="str">
        <f>AND(#REF!,"AAAAACd96JM=")</f>
        <v>#REF!</v>
      </c>
      <c r="ES55" t="str">
        <f>IF(#REF!,"AAAAACd96JQ=",0)</f>
        <v>#REF!</v>
      </c>
      <c r="ET55" t="str">
        <f>AND(#REF!,"AAAAACd96JU=")</f>
        <v>#REF!</v>
      </c>
      <c r="EU55" t="str">
        <f>AND(#REF!,"AAAAACd96JY=")</f>
        <v>#REF!</v>
      </c>
      <c r="EV55" t="str">
        <f>AND(#REF!,"AAAAACd96Jc=")</f>
        <v>#REF!</v>
      </c>
      <c r="EW55" t="str">
        <f>IF(#REF!,"AAAAACd96Jg=",0)</f>
        <v>#REF!</v>
      </c>
      <c r="EX55" t="str">
        <f>AND(#REF!,"AAAAACd96Jk=")</f>
        <v>#REF!</v>
      </c>
      <c r="EY55" t="str">
        <f>AND(#REF!,"AAAAACd96Jo=")</f>
        <v>#REF!</v>
      </c>
      <c r="EZ55" t="str">
        <f>AND(#REF!,"AAAAACd96Js=")</f>
        <v>#REF!</v>
      </c>
      <c r="FA55" t="str">
        <f>IF(#REF!,"AAAAACd96Jw=",0)</f>
        <v>#REF!</v>
      </c>
      <c r="FB55" t="str">
        <f>AND(#REF!,"AAAAACd96J0=")</f>
        <v>#REF!</v>
      </c>
      <c r="FC55" t="str">
        <f>AND(#REF!,"AAAAACd96J4=")</f>
        <v>#REF!</v>
      </c>
      <c r="FD55" t="str">
        <f>AND(#REF!,"AAAAACd96J8=")</f>
        <v>#REF!</v>
      </c>
      <c r="FE55" t="str">
        <f>IF(#REF!,"AAAAACd96KA=",0)</f>
        <v>#REF!</v>
      </c>
      <c r="FF55" t="str">
        <f>AND(#REF!,"AAAAACd96KE=")</f>
        <v>#REF!</v>
      </c>
      <c r="FG55" t="str">
        <f>AND(#REF!,"AAAAACd96KI=")</f>
        <v>#REF!</v>
      </c>
      <c r="FH55" t="str">
        <f>AND(#REF!,"AAAAACd96KM=")</f>
        <v>#REF!</v>
      </c>
      <c r="FI55" t="str">
        <f>IF(#REF!,"AAAAACd96KQ=",0)</f>
        <v>#REF!</v>
      </c>
      <c r="FJ55" t="str">
        <f>AND(#REF!,"AAAAACd96KU=")</f>
        <v>#REF!</v>
      </c>
      <c r="FK55" t="str">
        <f>AND(#REF!,"AAAAACd96KY=")</f>
        <v>#REF!</v>
      </c>
      <c r="FL55" t="str">
        <f>AND(#REF!,"AAAAACd96Kc=")</f>
        <v>#REF!</v>
      </c>
      <c r="FM55" t="str">
        <f>IF(#REF!,"AAAAACd96Kg=",0)</f>
        <v>#REF!</v>
      </c>
      <c r="FN55" t="str">
        <f>AND(#REF!,"AAAAACd96Kk=")</f>
        <v>#REF!</v>
      </c>
      <c r="FO55" t="str">
        <f>AND(#REF!,"AAAAACd96Ko=")</f>
        <v>#REF!</v>
      </c>
      <c r="FP55" t="str">
        <f>AND(#REF!,"AAAAACd96Ks=")</f>
        <v>#REF!</v>
      </c>
      <c r="FQ55" t="str">
        <f>IF(#REF!,"AAAAACd96Kw=",0)</f>
        <v>#REF!</v>
      </c>
      <c r="FR55" t="str">
        <f>AND(#REF!,"AAAAACd96K0=")</f>
        <v>#REF!</v>
      </c>
      <c r="FS55" t="str">
        <f>AND(#REF!,"AAAAACd96K4=")</f>
        <v>#REF!</v>
      </c>
      <c r="FT55" t="str">
        <f>AND(#REF!,"AAAAACd96K8=")</f>
        <v>#REF!</v>
      </c>
      <c r="FU55" t="str">
        <f>IF(#REF!,"AAAAACd96LA=",0)</f>
        <v>#REF!</v>
      </c>
      <c r="FV55" t="str">
        <f>AND(#REF!,"AAAAACd96LE=")</f>
        <v>#REF!</v>
      </c>
      <c r="FW55" t="str">
        <f>AND(#REF!,"AAAAACd96LI=")</f>
        <v>#REF!</v>
      </c>
      <c r="FX55" t="str">
        <f>AND(#REF!,"AAAAACd96LM=")</f>
        <v>#REF!</v>
      </c>
      <c r="FY55" t="str">
        <f>IF(#REF!,"AAAAACd96LQ=",0)</f>
        <v>#REF!</v>
      </c>
      <c r="FZ55" t="str">
        <f>AND(#REF!,"AAAAACd96LU=")</f>
        <v>#REF!</v>
      </c>
      <c r="GA55" t="str">
        <f>AND(#REF!,"AAAAACd96LY=")</f>
        <v>#REF!</v>
      </c>
      <c r="GB55" t="str">
        <f>AND(#REF!,"AAAAACd96Lc=")</f>
        <v>#REF!</v>
      </c>
      <c r="GC55" t="str">
        <f>IF(#REF!,"AAAAACd96Lg=",0)</f>
        <v>#REF!</v>
      </c>
      <c r="GD55" t="str">
        <f>AND(#REF!,"AAAAACd96Lk=")</f>
        <v>#REF!</v>
      </c>
      <c r="GE55" t="str">
        <f>AND(#REF!,"AAAAACd96Lo=")</f>
        <v>#REF!</v>
      </c>
      <c r="GF55" t="str">
        <f>AND(#REF!,"AAAAACd96Ls=")</f>
        <v>#REF!</v>
      </c>
      <c r="GG55" t="str">
        <f>IF(#REF!,"AAAAACd96Lw=",0)</f>
        <v>#REF!</v>
      </c>
      <c r="GH55" t="str">
        <f>AND(#REF!,"AAAAACd96L0=")</f>
        <v>#REF!</v>
      </c>
      <c r="GI55" t="str">
        <f>AND(#REF!,"AAAAACd96L4=")</f>
        <v>#REF!</v>
      </c>
      <c r="GJ55" t="str">
        <f>AND(#REF!,"AAAAACd96L8=")</f>
        <v>#REF!</v>
      </c>
      <c r="GK55" t="str">
        <f>IF(#REF!,"AAAAACd96MA=",0)</f>
        <v>#REF!</v>
      </c>
      <c r="GL55" t="str">
        <f>AND(#REF!,"AAAAACd96ME=")</f>
        <v>#REF!</v>
      </c>
      <c r="GM55" t="str">
        <f>AND(#REF!,"AAAAACd96MI=")</f>
        <v>#REF!</v>
      </c>
      <c r="GN55" t="str">
        <f>AND(#REF!,"AAAAACd96MM=")</f>
        <v>#REF!</v>
      </c>
      <c r="GO55" t="str">
        <f>IF(#REF!,"AAAAACd96MQ=",0)</f>
        <v>#REF!</v>
      </c>
      <c r="GP55" t="str">
        <f>AND(#REF!,"AAAAACd96MU=")</f>
        <v>#REF!</v>
      </c>
      <c r="GQ55" t="str">
        <f>AND(#REF!,"AAAAACd96MY=")</f>
        <v>#REF!</v>
      </c>
      <c r="GR55" t="str">
        <f>AND(#REF!,"AAAAACd96Mc=")</f>
        <v>#REF!</v>
      </c>
      <c r="GS55" t="str">
        <f>IF(#REF!,"AAAAACd96Mg=",0)</f>
        <v>#REF!</v>
      </c>
      <c r="GT55" t="str">
        <f>AND(#REF!,"AAAAACd96Mk=")</f>
        <v>#REF!</v>
      </c>
      <c r="GU55" t="str">
        <f>AND(#REF!,"AAAAACd96Mo=")</f>
        <v>#REF!</v>
      </c>
      <c r="GV55" t="str">
        <f>AND(#REF!,"AAAAACd96Ms=")</f>
        <v>#REF!</v>
      </c>
      <c r="GW55" t="str">
        <f>IF(#REF!,"AAAAACd96Mw=",0)</f>
        <v>#REF!</v>
      </c>
      <c r="GX55" t="str">
        <f>AND(#REF!,"AAAAACd96M0=")</f>
        <v>#REF!</v>
      </c>
      <c r="GY55" t="str">
        <f>AND(#REF!,"AAAAACd96M4=")</f>
        <v>#REF!</v>
      </c>
      <c r="GZ55" t="str">
        <f>AND(#REF!,"AAAAACd96M8=")</f>
        <v>#REF!</v>
      </c>
      <c r="HA55" t="str">
        <f>IF(#REF!,"AAAAACd96NA=",0)</f>
        <v>#REF!</v>
      </c>
      <c r="HB55" t="str">
        <f>AND(#REF!,"AAAAACd96NE=")</f>
        <v>#REF!</v>
      </c>
      <c r="HC55" t="str">
        <f>AND(#REF!,"AAAAACd96NI=")</f>
        <v>#REF!</v>
      </c>
      <c r="HD55" t="str">
        <f>AND(#REF!,"AAAAACd96NM=")</f>
        <v>#REF!</v>
      </c>
      <c r="HE55" t="str">
        <f>IF(#REF!,"AAAAACd96NQ=",0)</f>
        <v>#REF!</v>
      </c>
      <c r="HF55" t="str">
        <f>AND(#REF!,"AAAAACd96NU=")</f>
        <v>#REF!</v>
      </c>
      <c r="HG55" t="str">
        <f>AND(#REF!,"AAAAACd96NY=")</f>
        <v>#REF!</v>
      </c>
      <c r="HH55" t="str">
        <f>AND(#REF!,"AAAAACd96Nc=")</f>
        <v>#REF!</v>
      </c>
      <c r="HI55" t="str">
        <f>IF(#REF!,"AAAAACd96Ng=",0)</f>
        <v>#REF!</v>
      </c>
      <c r="HJ55" t="str">
        <f>AND(#REF!,"AAAAACd96Nk=")</f>
        <v>#REF!</v>
      </c>
      <c r="HK55" t="str">
        <f>AND(#REF!,"AAAAACd96No=")</f>
        <v>#REF!</v>
      </c>
      <c r="HL55" t="str">
        <f>AND(#REF!,"AAAAACd96Ns=")</f>
        <v>#REF!</v>
      </c>
      <c r="HM55" t="str">
        <f>IF(#REF!,"AAAAACd96Nw=",0)</f>
        <v>#REF!</v>
      </c>
      <c r="HN55" t="str">
        <f>AND(#REF!,"AAAAACd96N0=")</f>
        <v>#REF!</v>
      </c>
      <c r="HO55" t="str">
        <f>AND(#REF!,"AAAAACd96N4=")</f>
        <v>#REF!</v>
      </c>
      <c r="HP55" t="str">
        <f>AND(#REF!,"AAAAACd96N8=")</f>
        <v>#REF!</v>
      </c>
      <c r="HQ55" t="str">
        <f>IF(#REF!,"AAAAACd96OA=",0)</f>
        <v>#REF!</v>
      </c>
      <c r="HR55" t="str">
        <f>AND(#REF!,"AAAAACd96OE=")</f>
        <v>#REF!</v>
      </c>
      <c r="HS55" t="str">
        <f>AND(#REF!,"AAAAACd96OI=")</f>
        <v>#REF!</v>
      </c>
      <c r="HT55" t="str">
        <f>AND(#REF!,"AAAAACd96OM=")</f>
        <v>#REF!</v>
      </c>
      <c r="HU55" t="str">
        <f>IF(#REF!,"AAAAACd96OQ=",0)</f>
        <v>#REF!</v>
      </c>
      <c r="HV55" t="str">
        <f>AND(#REF!,"AAAAACd96OU=")</f>
        <v>#REF!</v>
      </c>
      <c r="HW55" t="str">
        <f>AND(#REF!,"AAAAACd96OY=")</f>
        <v>#REF!</v>
      </c>
      <c r="HX55" t="str">
        <f>AND(#REF!,"AAAAACd96Oc=")</f>
        <v>#REF!</v>
      </c>
      <c r="HY55" t="str">
        <f>IF(#REF!,"AAAAACd96Og=",0)</f>
        <v>#REF!</v>
      </c>
      <c r="HZ55" t="str">
        <f>AND(#REF!,"AAAAACd96Ok=")</f>
        <v>#REF!</v>
      </c>
      <c r="IA55" t="str">
        <f>AND(#REF!,"AAAAACd96Oo=")</f>
        <v>#REF!</v>
      </c>
      <c r="IB55" t="str">
        <f>AND(#REF!,"AAAAACd96Os=")</f>
        <v>#REF!</v>
      </c>
      <c r="IC55" t="str">
        <f>IF(#REF!,"AAAAACd96Ow=",0)</f>
        <v>#REF!</v>
      </c>
      <c r="ID55" t="str">
        <f>AND(#REF!,"AAAAACd96O0=")</f>
        <v>#REF!</v>
      </c>
      <c r="IE55" t="str">
        <f>AND(#REF!,"AAAAACd96O4=")</f>
        <v>#REF!</v>
      </c>
      <c r="IF55" t="str">
        <f>AND(#REF!,"AAAAACd96O8=")</f>
        <v>#REF!</v>
      </c>
      <c r="IG55" t="str">
        <f>IF(#REF!,"AAAAACd96PA=",0)</f>
        <v>#REF!</v>
      </c>
      <c r="IH55" t="str">
        <f>AND(#REF!,"AAAAACd96PE=")</f>
        <v>#REF!</v>
      </c>
      <c r="II55" t="str">
        <f>AND(#REF!,"AAAAACd96PI=")</f>
        <v>#REF!</v>
      </c>
      <c r="IJ55" t="str">
        <f>AND(#REF!,"AAAAACd96PM=")</f>
        <v>#REF!</v>
      </c>
      <c r="IK55" t="str">
        <f>IF(#REF!,"AAAAACd96PQ=",0)</f>
        <v>#REF!</v>
      </c>
      <c r="IL55" t="str">
        <f>AND(#REF!,"AAAAACd96PU=")</f>
        <v>#REF!</v>
      </c>
      <c r="IM55" t="str">
        <f>AND(#REF!,"AAAAACd96PY=")</f>
        <v>#REF!</v>
      </c>
      <c r="IN55" t="str">
        <f>AND(#REF!,"AAAAACd96Pc=")</f>
        <v>#REF!</v>
      </c>
      <c r="IO55" t="str">
        <f>IF(#REF!,"AAAAACd96Pg=",0)</f>
        <v>#REF!</v>
      </c>
      <c r="IP55" t="str">
        <f>AND(#REF!,"AAAAACd96Pk=")</f>
        <v>#REF!</v>
      </c>
      <c r="IQ55" t="str">
        <f>AND(#REF!,"AAAAACd96Po=")</f>
        <v>#REF!</v>
      </c>
      <c r="IR55" t="str">
        <f>AND(#REF!,"AAAAACd96Ps=")</f>
        <v>#REF!</v>
      </c>
      <c r="IS55" t="str">
        <f>IF(#REF!,"AAAAACd96Pw=",0)</f>
        <v>#REF!</v>
      </c>
      <c r="IT55" t="str">
        <f>AND(#REF!,"AAAAACd96P0=")</f>
        <v>#REF!</v>
      </c>
      <c r="IU55" t="str">
        <f>AND(#REF!,"AAAAACd96P4=")</f>
        <v>#REF!</v>
      </c>
      <c r="IV55" t="str">
        <f>AND(#REF!,"AAAAACd96P8=")</f>
        <v>#REF!</v>
      </c>
    </row>
    <row r="56" ht="15.75" customHeight="1">
      <c r="A56" t="str">
        <f>IF(#REF!,"AAAAAHvvZgA=",0)</f>
        <v>#REF!</v>
      </c>
      <c r="B56" t="str">
        <f>AND(#REF!,"AAAAAHvvZgE=")</f>
        <v>#REF!</v>
      </c>
      <c r="C56" t="str">
        <f>AND(#REF!,"AAAAAHvvZgI=")</f>
        <v>#REF!</v>
      </c>
      <c r="D56" t="str">
        <f>AND(#REF!,"AAAAAHvvZgM=")</f>
        <v>#REF!</v>
      </c>
      <c r="E56" t="str">
        <f>IF(#REF!,"AAAAAHvvZgQ=",0)</f>
        <v>#REF!</v>
      </c>
      <c r="F56" t="str">
        <f>AND(#REF!,"AAAAAHvvZgU=")</f>
        <v>#REF!</v>
      </c>
      <c r="G56" t="str">
        <f>AND(#REF!,"AAAAAHvvZgY=")</f>
        <v>#REF!</v>
      </c>
      <c r="H56" t="str">
        <f>AND(#REF!,"AAAAAHvvZgc=")</f>
        <v>#REF!</v>
      </c>
      <c r="I56" t="str">
        <f>IF(#REF!,"AAAAAHvvZgg=",0)</f>
        <v>#REF!</v>
      </c>
      <c r="J56" t="str">
        <f>AND(#REF!,"AAAAAHvvZgk=")</f>
        <v>#REF!</v>
      </c>
      <c r="K56" t="str">
        <f>AND(#REF!,"AAAAAHvvZgo=")</f>
        <v>#REF!</v>
      </c>
      <c r="L56" t="str">
        <f>AND(#REF!,"AAAAAHvvZgs=")</f>
        <v>#REF!</v>
      </c>
      <c r="M56" t="str">
        <f>IF(#REF!,"AAAAAHvvZgw=",0)</f>
        <v>#REF!</v>
      </c>
      <c r="N56" t="str">
        <f>AND(#REF!,"AAAAAHvvZg0=")</f>
        <v>#REF!</v>
      </c>
      <c r="O56" t="str">
        <f>AND(#REF!,"AAAAAHvvZg4=")</f>
        <v>#REF!</v>
      </c>
      <c r="P56" t="str">
        <f>AND(#REF!,"AAAAAHvvZg8=")</f>
        <v>#REF!</v>
      </c>
      <c r="Q56" t="str">
        <f>IF(#REF!,"AAAAAHvvZhA=",0)</f>
        <v>#REF!</v>
      </c>
      <c r="R56" t="str">
        <f>AND(#REF!,"AAAAAHvvZhE=")</f>
        <v>#REF!</v>
      </c>
      <c r="S56" t="str">
        <f>AND(#REF!,"AAAAAHvvZhI=")</f>
        <v>#REF!</v>
      </c>
      <c r="T56" t="str">
        <f>AND(#REF!,"AAAAAHvvZhM=")</f>
        <v>#REF!</v>
      </c>
      <c r="U56" t="str">
        <f>IF(#REF!,"AAAAAHvvZhQ=",0)</f>
        <v>#REF!</v>
      </c>
      <c r="V56" t="str">
        <f>AND(#REF!,"AAAAAHvvZhU=")</f>
        <v>#REF!</v>
      </c>
      <c r="W56" t="str">
        <f>AND(#REF!,"AAAAAHvvZhY=")</f>
        <v>#REF!</v>
      </c>
      <c r="X56" t="str">
        <f>AND(#REF!,"AAAAAHvvZhc=")</f>
        <v>#REF!</v>
      </c>
      <c r="Y56" t="str">
        <f>IF(#REF!,"AAAAAHvvZhg=",0)</f>
        <v>#REF!</v>
      </c>
      <c r="Z56" t="str">
        <f>AND(#REF!,"AAAAAHvvZhk=")</f>
        <v>#REF!</v>
      </c>
      <c r="AA56" t="str">
        <f>AND(#REF!,"AAAAAHvvZho=")</f>
        <v>#REF!</v>
      </c>
      <c r="AB56" t="str">
        <f>AND(#REF!,"AAAAAHvvZhs=")</f>
        <v>#REF!</v>
      </c>
      <c r="AC56" t="str">
        <f>IF(#REF!,"AAAAAHvvZhw=",0)</f>
        <v>#REF!</v>
      </c>
      <c r="AD56" t="str">
        <f>IF(#REF!,"AAAAAHvvZh0=",0)</f>
        <v>#REF!</v>
      </c>
      <c r="AE56" t="str">
        <f>IF(#REF!,"AAAAAHvvZh4=",0)</f>
        <v>#REF!</v>
      </c>
      <c r="AF56" t="str">
        <f>IF(#REF!,"AAAAAHvvZh8=",0)</f>
        <v>#REF!</v>
      </c>
      <c r="AG56" t="str">
        <f>IF(#REF!,"AAAAAHvvZiA=",0)</f>
        <v>#REF!</v>
      </c>
      <c r="AH56" t="str">
        <f>IF(#REF!,"AAAAAHvvZiE=",0)</f>
        <v>#REF!</v>
      </c>
      <c r="AI56" t="str">
        <f>IF(#REF!,"AAAAAHvvZiI=",0)</f>
        <v>#REF!</v>
      </c>
      <c r="AJ56" t="str">
        <f>IF(#REF!,"AAAAAHvvZiM=",0)</f>
        <v>#REF!</v>
      </c>
      <c r="AK56" t="str">
        <f>IF(#REF!,"AAAAAHvvZiQ=",0)</f>
        <v>#REF!</v>
      </c>
      <c r="AL56" t="str">
        <f>IF(#REF!,"AAAAAHvvZiU=",0)</f>
        <v>#REF!</v>
      </c>
      <c r="AM56" t="str">
        <f>IF(#REF!,"AAAAAHvvZiY=",0)</f>
        <v>#REF!</v>
      </c>
      <c r="AN56" t="str">
        <f>IF(#REF!,"AAAAAHvvZic=",0)</f>
        <v>#REF!</v>
      </c>
      <c r="AO56" t="str">
        <f>IF(#REF!,"AAAAAHvvZig=",0)</f>
        <v>#REF!</v>
      </c>
      <c r="AP56" t="str">
        <f>IF(#REF!,"AAAAAHvvZik=",0)</f>
        <v>#REF!</v>
      </c>
      <c r="AQ56" t="str">
        <f>IF(#REF!,"AAAAAHvvZio=",0)</f>
        <v>#REF!</v>
      </c>
      <c r="AR56" t="str">
        <f>IF(#REF!,"AAAAAHvvZis=",0)</f>
        <v>#REF!</v>
      </c>
      <c r="AS56" t="str">
        <f>IF(#REF!,"AAAAAHvvZiw=",0)</f>
        <v>#REF!</v>
      </c>
      <c r="AT56" t="str">
        <f>IF(#REF!,"AAAAAHvvZi0=",0)</f>
        <v>#REF!</v>
      </c>
      <c r="AU56" t="str">
        <f>IF(#REF!,"AAAAAHvvZi4=",0)</f>
        <v>#REF!</v>
      </c>
      <c r="AV56" t="str">
        <f>IF(#REF!,"AAAAAHvvZi8=",0)</f>
        <v>#REF!</v>
      </c>
      <c r="AW56" t="str">
        <f>IF(#REF!,"AAAAAHvvZjA=",0)</f>
        <v>#REF!</v>
      </c>
      <c r="AX56" t="str">
        <f>IF(#REF!,"AAAAAHvvZjE=",0)</f>
        <v>#REF!</v>
      </c>
      <c r="AY56" t="str">
        <f>IF(#REF!,"AAAAAHvvZjI=",0)</f>
        <v>#REF!</v>
      </c>
      <c r="AZ56" t="str">
        <f>IF(#REF!,"AAAAAHvvZjM=",0)</f>
        <v>#REF!</v>
      </c>
      <c r="BA56" t="str">
        <f>IF(#REF!,"AAAAAHvvZjQ=",0)</f>
        <v>#REF!</v>
      </c>
      <c r="BB56" t="str">
        <f>IF(#REF!,"AAAAAHvvZjU=",0)</f>
        <v>#REF!</v>
      </c>
      <c r="BC56" t="str">
        <f>IF(#REF!,"AAAAAHvvZjY=",0)</f>
        <v>#REF!</v>
      </c>
      <c r="BD56" t="str">
        <f>IF(#REF!,"AAAAAHvvZjc=",0)</f>
        <v>#REF!</v>
      </c>
      <c r="BE56" t="str">
        <f>IF(#REF!,"AAAAAHvvZjg=",0)</f>
        <v>#REF!</v>
      </c>
      <c r="BF56" t="str">
        <f>IF(#REF!,"AAAAAHvvZjk=",0)</f>
        <v>#REF!</v>
      </c>
      <c r="BG56" t="str">
        <f>IF(#REF!,"AAAAAHvvZjo=",0)</f>
        <v>#REF!</v>
      </c>
      <c r="BH56" t="str">
        <f>IF(#REF!,"AAAAAHvvZjs=",0)</f>
        <v>#REF!</v>
      </c>
      <c r="BI56" t="str">
        <f>IF(#REF!,"AAAAAHvvZjw=",0)</f>
        <v>#REF!</v>
      </c>
      <c r="BJ56" t="str">
        <f>IF(#REF!,"AAAAAHvvZj0=",0)</f>
        <v>#REF!</v>
      </c>
      <c r="BK56" t="str">
        <f>IF(#REF!,"AAAAAHvvZj4=",0)</f>
        <v>#REF!</v>
      </c>
      <c r="BL56" t="str">
        <f>IF(#REF!,"AAAAAHvvZj8=",0)</f>
        <v>#REF!</v>
      </c>
      <c r="BM56" t="str">
        <f>IF(#REF!,"AAAAAHvvZkA=",0)</f>
        <v>#REF!</v>
      </c>
      <c r="BN56" t="str">
        <f>IF(#REF!,"AAAAAHvvZkE=",0)</f>
        <v>#REF!</v>
      </c>
      <c r="BO56" t="str">
        <f>IF(#REF!,"AAAAAHvvZkI=",0)</f>
        <v>#REF!</v>
      </c>
      <c r="BP56" t="str">
        <f>IF(#REF!,"AAAAAHvvZkM=",0)</f>
        <v>#REF!</v>
      </c>
      <c r="BQ56" t="str">
        <f>IF(#REF!,"AAAAAHvvZkQ=",0)</f>
        <v>#REF!</v>
      </c>
      <c r="BR56" t="str">
        <f>IF(#REF!,"AAAAAHvvZkU=",0)</f>
        <v>#REF!</v>
      </c>
      <c r="BS56" t="str">
        <f>IF(#REF!,"AAAAAHvvZkY=",0)</f>
        <v>#REF!</v>
      </c>
      <c r="BT56" t="str">
        <f>IF(#REF!,"AAAAAHvvZkc=",0)</f>
        <v>#REF!</v>
      </c>
      <c r="BU56" t="str">
        <f>IF(#REF!,"AAAAAHvvZkg=",0)</f>
        <v>#REF!</v>
      </c>
      <c r="BV56" t="str">
        <f>IF(#REF!,"AAAAAHvvZkk=",0)</f>
        <v>#REF!</v>
      </c>
      <c r="BW56" t="str">
        <f>IF(#REF!,"AAAAAHvvZko=",0)</f>
        <v>#REF!</v>
      </c>
      <c r="BX56" t="str">
        <f>IF(#REF!,"AAAAAHvvZks=",0)</f>
        <v>#REF!</v>
      </c>
      <c r="BY56" t="str">
        <f>IF(#REF!,"AAAAAHvvZkw=",0)</f>
        <v>#REF!</v>
      </c>
      <c r="BZ56" t="str">
        <f>IF(#REF!,"AAAAAHvvZk0=",0)</f>
        <v>#REF!</v>
      </c>
      <c r="CA56" t="str">
        <f>IF(#REF!,"AAAAAHvvZk4=",0)</f>
        <v>#REF!</v>
      </c>
      <c r="CB56" t="str">
        <f>IF(#REF!,"AAAAAHvvZk8=",0)</f>
        <v>#REF!</v>
      </c>
      <c r="CC56" t="str">
        <f>IF(#REF!,"AAAAAHvvZlA=",0)</f>
        <v>#REF!</v>
      </c>
      <c r="CD56" t="str">
        <f>IF(#REF!,"AAAAAHvvZlE=",0)</f>
        <v>#REF!</v>
      </c>
      <c r="CE56" t="str">
        <f>IF(#REF!,"AAAAAHvvZlI=",0)</f>
        <v>#REF!</v>
      </c>
      <c r="CF56" t="str">
        <f>IF(#REF!,"AAAAAHvvZlM=",0)</f>
        <v>#REF!</v>
      </c>
      <c r="CG56" t="str">
        <f>IF(#REF!,"AAAAAHvvZlQ=",0)</f>
        <v>#REF!</v>
      </c>
      <c r="CH56" t="str">
        <f>IF(#REF!,"AAAAAHvvZlU=",0)</f>
        <v>#REF!</v>
      </c>
      <c r="CI56" t="str">
        <f>IF(#REF!,"AAAAAHvvZlY=",0)</f>
        <v>#REF!</v>
      </c>
      <c r="CJ56" t="str">
        <f>IF(#REF!,"AAAAAHvvZlc=",0)</f>
        <v>#REF!</v>
      </c>
      <c r="CK56" t="str">
        <f>IF(#REF!,"AAAAAHvvZlg=",0)</f>
        <v>#REF!</v>
      </c>
      <c r="CL56" t="str">
        <f>IF(#REF!,"AAAAAHvvZlk=",0)</f>
        <v>#REF!</v>
      </c>
      <c r="CM56" t="str">
        <f>IF(#REF!,"AAAAAHvvZlo=",0)</f>
        <v>#REF!</v>
      </c>
      <c r="CN56" t="str">
        <f>IF(#REF!,"AAAAAHvvZls=",0)</f>
        <v>#REF!</v>
      </c>
      <c r="CO56" t="str">
        <f>IF(#REF!,"AAAAAHvvZlw=",0)</f>
        <v>#REF!</v>
      </c>
      <c r="CP56" t="str">
        <f>IF(#REF!,"AAAAAHvvZl0=",0)</f>
        <v>#REF!</v>
      </c>
      <c r="CQ56" t="str">
        <f>IF(#REF!,"AAAAAHvvZl4=",0)</f>
        <v>#REF!</v>
      </c>
      <c r="CR56" t="str">
        <f>IF(#REF!,"AAAAAHvvZl8=",0)</f>
        <v>#REF!</v>
      </c>
      <c r="CS56" t="str">
        <f>IF(#REF!,"AAAAAHvvZmA=",0)</f>
        <v>#REF!</v>
      </c>
      <c r="CT56" t="str">
        <f>IF(#REF!,"AAAAAHvvZmE=",0)</f>
        <v>#REF!</v>
      </c>
      <c r="CU56" t="str">
        <f>IF(#REF!,"AAAAAHvvZmI=",0)</f>
        <v>#REF!</v>
      </c>
      <c r="CV56" t="str">
        <f>IF(#REF!,"AAAAAHvvZmM=",0)</f>
        <v>#REF!</v>
      </c>
      <c r="CW56" t="str">
        <f>IF(#REF!,"AAAAAHvvZmQ=",0)</f>
        <v>#REF!</v>
      </c>
      <c r="CX56" t="str">
        <f>IF(#REF!,"AAAAAHvvZmU=",0)</f>
        <v>#REF!</v>
      </c>
      <c r="CY56" t="str">
        <f>IF(#REF!,"AAAAAHvvZmY=",0)</f>
        <v>#REF!</v>
      </c>
      <c r="CZ56" t="str">
        <f>IF(#REF!,"AAAAAHvvZmc=",0)</f>
        <v>#REF!</v>
      </c>
      <c r="DA56" t="str">
        <f>AND(#REF!,"AAAAAHvvZmg=")</f>
        <v>#REF!</v>
      </c>
      <c r="DB56" t="str">
        <f>AND(#REF!,"AAAAAHvvZmk=")</f>
        <v>#REF!</v>
      </c>
      <c r="DC56" t="str">
        <f>AND(#REF!,"AAAAAHvvZmo=")</f>
        <v>#REF!</v>
      </c>
      <c r="DD56" t="str">
        <f>AND(#REF!,"AAAAAHvvZms=")</f>
        <v>#REF!</v>
      </c>
      <c r="DE56" t="str">
        <f>AND(#REF!,"AAAAAHvvZmw=")</f>
        <v>#REF!</v>
      </c>
      <c r="DF56" t="str">
        <f>AND(#REF!,"AAAAAHvvZm0=")</f>
        <v>#REF!</v>
      </c>
      <c r="DG56" t="str">
        <f>AND(#REF!,"AAAAAHvvZm4=")</f>
        <v>#REF!</v>
      </c>
      <c r="DH56" t="str">
        <f>AND(#REF!,"AAAAAHvvZm8=")</f>
        <v>#REF!</v>
      </c>
      <c r="DI56" t="str">
        <f>AND(#REF!,"AAAAAHvvZnA=")</f>
        <v>#REF!</v>
      </c>
      <c r="DJ56" t="str">
        <f>AND(#REF!,"AAAAAHvvZnE=")</f>
        <v>#REF!</v>
      </c>
      <c r="DK56" t="str">
        <f>AND(#REF!,"AAAAAHvvZnI=")</f>
        <v>#REF!</v>
      </c>
      <c r="DL56" t="str">
        <f>AND(#REF!,"AAAAAHvvZnM=")</f>
        <v>#REF!</v>
      </c>
      <c r="DM56" t="str">
        <f>AND(#REF!,"AAAAAHvvZnQ=")</f>
        <v>#REF!</v>
      </c>
      <c r="DN56" t="str">
        <f>AND(#REF!,"AAAAAHvvZnU=")</f>
        <v>#REF!</v>
      </c>
      <c r="DO56" t="str">
        <f>AND(#REF!,"AAAAAHvvZnY=")</f>
        <v>#REF!</v>
      </c>
      <c r="DP56" t="str">
        <f>AND(#REF!,"AAAAAHvvZnc=")</f>
        <v>#REF!</v>
      </c>
      <c r="DQ56" t="str">
        <f>AND(#REF!,"AAAAAHvvZng=")</f>
        <v>#REF!</v>
      </c>
      <c r="DR56" t="str">
        <f>AND(#REF!,"AAAAAHvvZnk=")</f>
        <v>#REF!</v>
      </c>
      <c r="DS56" t="str">
        <f>AND(#REF!,"AAAAAHvvZno=")</f>
        <v>#REF!</v>
      </c>
      <c r="DT56" t="str">
        <f>AND(#REF!,"AAAAAHvvZns=")</f>
        <v>#REF!</v>
      </c>
      <c r="DU56" t="str">
        <f>AND(#REF!,"AAAAAHvvZnw=")</f>
        <v>#REF!</v>
      </c>
      <c r="DV56" t="str">
        <f>AND(#REF!,"AAAAAHvvZn0=")</f>
        <v>#REF!</v>
      </c>
      <c r="DW56" t="str">
        <f>AND(#REF!,"AAAAAHvvZn4=")</f>
        <v>#REF!</v>
      </c>
      <c r="DX56" t="str">
        <f>AND(#REF!,"AAAAAHvvZn8=")</f>
        <v>#REF!</v>
      </c>
      <c r="DY56" t="str">
        <f>AND(#REF!,"AAAAAHvvZoA=")</f>
        <v>#REF!</v>
      </c>
      <c r="DZ56" t="str">
        <f>AND(#REF!,"AAAAAHvvZoE=")</f>
        <v>#REF!</v>
      </c>
      <c r="EA56" t="str">
        <f>AND(#REF!,"AAAAAHvvZoI=")</f>
        <v>#REF!</v>
      </c>
      <c r="EB56" t="str">
        <f>AND(#REF!,"AAAAAHvvZoM=")</f>
        <v>#REF!</v>
      </c>
      <c r="EC56" t="str">
        <f>AND(#REF!,"AAAAAHvvZoQ=")</f>
        <v>#REF!</v>
      </c>
      <c r="ED56" t="str">
        <f>AND(#REF!,"AAAAAHvvZoU=")</f>
        <v>#REF!</v>
      </c>
      <c r="EE56" t="str">
        <f>AND(#REF!,"AAAAAHvvZoY=")</f>
        <v>#REF!</v>
      </c>
      <c r="EF56" t="str">
        <f>AND(#REF!,"AAAAAHvvZoc=")</f>
        <v>#REF!</v>
      </c>
      <c r="EG56" t="str">
        <f>AND(#REF!,"AAAAAHvvZog=")</f>
        <v>#REF!</v>
      </c>
      <c r="EH56" t="str">
        <f>AND(#REF!,"AAAAAHvvZok=")</f>
        <v>#REF!</v>
      </c>
      <c r="EI56" t="str">
        <f>AND(#REF!,"AAAAAHvvZoo=")</f>
        <v>#REF!</v>
      </c>
      <c r="EJ56" t="str">
        <f>AND(#REF!,"AAAAAHvvZos=")</f>
        <v>#REF!</v>
      </c>
      <c r="EK56" t="str">
        <f>AND(#REF!,"AAAAAHvvZow=")</f>
        <v>#REF!</v>
      </c>
      <c r="EL56" t="str">
        <f>AND(#REF!,"AAAAAHvvZo0=")</f>
        <v>#REF!</v>
      </c>
      <c r="EM56" t="str">
        <f>AND(#REF!,"AAAAAHvvZo4=")</f>
        <v>#REF!</v>
      </c>
      <c r="EN56" t="str">
        <f>AND(#REF!,"AAAAAHvvZo8=")</f>
        <v>#REF!</v>
      </c>
      <c r="EO56" t="str">
        <f>AND(#REF!,"AAAAAHvvZpA=")</f>
        <v>#REF!</v>
      </c>
      <c r="EP56" t="str">
        <f>AND(#REF!,"AAAAAHvvZpE=")</f>
        <v>#REF!</v>
      </c>
      <c r="EQ56" t="str">
        <f>AND(#REF!,"AAAAAHvvZpI=")</f>
        <v>#REF!</v>
      </c>
      <c r="ER56" t="str">
        <f>AND(#REF!,"AAAAAHvvZpM=")</f>
        <v>#REF!</v>
      </c>
      <c r="ES56" t="str">
        <f>AND(#REF!,"AAAAAHvvZpQ=")</f>
        <v>#REF!</v>
      </c>
      <c r="ET56" t="str">
        <f>AND(#REF!,"AAAAAHvvZpU=")</f>
        <v>#REF!</v>
      </c>
      <c r="EU56" t="str">
        <f>AND(#REF!,"AAAAAHvvZpY=")</f>
        <v>#REF!</v>
      </c>
      <c r="EV56" t="str">
        <f>AND(#REF!,"AAAAAHvvZpc=")</f>
        <v>#REF!</v>
      </c>
      <c r="EW56" t="str">
        <f>AND(#REF!,"AAAAAHvvZpg=")</f>
        <v>#REF!</v>
      </c>
      <c r="EX56" t="str">
        <f>AND(#REF!,"AAAAAHvvZpk=")</f>
        <v>#REF!</v>
      </c>
      <c r="EY56" t="str">
        <f>AND(#REF!,"AAAAAHvvZpo=")</f>
        <v>#REF!</v>
      </c>
      <c r="EZ56" t="str">
        <f>AND(#REF!,"AAAAAHvvZps=")</f>
        <v>#REF!</v>
      </c>
      <c r="FA56" t="str">
        <f>AND(#REF!,"AAAAAHvvZpw=")</f>
        <v>#REF!</v>
      </c>
      <c r="FB56" t="str">
        <f>AND(#REF!,"AAAAAHvvZp0=")</f>
        <v>#REF!</v>
      </c>
      <c r="FC56" t="str">
        <f>AND(#REF!,"AAAAAHvvZp4=")</f>
        <v>#REF!</v>
      </c>
      <c r="FD56" t="str">
        <f>AND(#REF!,"AAAAAHvvZp8=")</f>
        <v>#REF!</v>
      </c>
      <c r="FE56" t="str">
        <f>AND(#REF!,"AAAAAHvvZqA=")</f>
        <v>#REF!</v>
      </c>
      <c r="FF56" t="str">
        <f>AND(#REF!,"AAAAAHvvZqE=")</f>
        <v>#REF!</v>
      </c>
      <c r="FG56" t="str">
        <f>AND(#REF!,"AAAAAHvvZqI=")</f>
        <v>#REF!</v>
      </c>
      <c r="FH56" t="str">
        <f>AND(#REF!,"AAAAAHvvZqM=")</f>
        <v>#REF!</v>
      </c>
      <c r="FI56" t="str">
        <f>AND(#REF!,"AAAAAHvvZqQ=")</f>
        <v>#REF!</v>
      </c>
      <c r="FJ56" t="str">
        <f>AND(#REF!,"AAAAAHvvZqU=")</f>
        <v>#REF!</v>
      </c>
      <c r="FK56" t="str">
        <f>AND(#REF!,"AAAAAHvvZqY=")</f>
        <v>#REF!</v>
      </c>
      <c r="FL56" t="str">
        <f>AND(#REF!,"AAAAAHvvZqc=")</f>
        <v>#REF!</v>
      </c>
      <c r="FM56" t="str">
        <f>AND(#REF!,"AAAAAHvvZqg=")</f>
        <v>#REF!</v>
      </c>
      <c r="FN56" t="str">
        <f>AND(#REF!,"AAAAAHvvZqk=")</f>
        <v>#REF!</v>
      </c>
      <c r="FO56" t="str">
        <f>AND(#REF!,"AAAAAHvvZqo=")</f>
        <v>#REF!</v>
      </c>
      <c r="FP56" t="str">
        <f>AND(#REF!,"AAAAAHvvZqs=")</f>
        <v>#REF!</v>
      </c>
      <c r="FQ56" t="str">
        <f>AND(#REF!,"AAAAAHvvZqw=")</f>
        <v>#REF!</v>
      </c>
      <c r="FR56" t="str">
        <f>AND(#REF!,"AAAAAHvvZq0=")</f>
        <v>#REF!</v>
      </c>
      <c r="FS56" t="str">
        <f>AND(#REF!,"AAAAAHvvZq4=")</f>
        <v>#REF!</v>
      </c>
      <c r="FT56" t="str">
        <f>AND(#REF!,"AAAAAHvvZq8=")</f>
        <v>#REF!</v>
      </c>
      <c r="FU56" t="str">
        <f>AND(#REF!,"AAAAAHvvZrA=")</f>
        <v>#REF!</v>
      </c>
      <c r="FV56" t="str">
        <f>AND(#REF!,"AAAAAHvvZrE=")</f>
        <v>#REF!</v>
      </c>
      <c r="FW56" t="str">
        <f>AND(#REF!,"AAAAAHvvZrI=")</f>
        <v>#REF!</v>
      </c>
      <c r="FX56" t="str">
        <f>IF(#REF!,"AAAAAHvvZrM=",0)</f>
        <v>#REF!</v>
      </c>
      <c r="FY56" t="str">
        <f>AND(#REF!,"AAAAAHvvZrQ=")</f>
        <v>#REF!</v>
      </c>
      <c r="FZ56" t="str">
        <f>AND(#REF!,"AAAAAHvvZrU=")</f>
        <v>#REF!</v>
      </c>
      <c r="GA56" t="str">
        <f>AND(#REF!,"AAAAAHvvZrY=")</f>
        <v>#REF!</v>
      </c>
      <c r="GB56" t="str">
        <f>AND(#REF!,"AAAAAHvvZrc=")</f>
        <v>#REF!</v>
      </c>
      <c r="GC56" t="str">
        <f>AND(#REF!,"AAAAAHvvZrg=")</f>
        <v>#REF!</v>
      </c>
      <c r="GD56" t="str">
        <f>AND(#REF!,"AAAAAHvvZrk=")</f>
        <v>#REF!</v>
      </c>
      <c r="GE56" t="str">
        <f>AND(#REF!,"AAAAAHvvZro=")</f>
        <v>#REF!</v>
      </c>
      <c r="GF56" t="str">
        <f>AND(#REF!,"AAAAAHvvZrs=")</f>
        <v>#REF!</v>
      </c>
      <c r="GG56" t="str">
        <f>AND(#REF!,"AAAAAHvvZrw=")</f>
        <v>#REF!</v>
      </c>
      <c r="GH56" t="str">
        <f>AND(#REF!,"AAAAAHvvZr0=")</f>
        <v>#REF!</v>
      </c>
      <c r="GI56" t="str">
        <f>AND(#REF!,"AAAAAHvvZr4=")</f>
        <v>#REF!</v>
      </c>
      <c r="GJ56" t="str">
        <f>AND(#REF!,"AAAAAHvvZr8=")</f>
        <v>#REF!</v>
      </c>
      <c r="GK56" t="str">
        <f>AND(#REF!,"AAAAAHvvZsA=")</f>
        <v>#REF!</v>
      </c>
      <c r="GL56" t="str">
        <f>AND(#REF!,"AAAAAHvvZsE=")</f>
        <v>#REF!</v>
      </c>
      <c r="GM56" t="str">
        <f>AND(#REF!,"AAAAAHvvZsI=")</f>
        <v>#REF!</v>
      </c>
      <c r="GN56" t="str">
        <f>AND(#REF!,"AAAAAHvvZsM=")</f>
        <v>#REF!</v>
      </c>
      <c r="GO56" t="str">
        <f>AND(#REF!,"AAAAAHvvZsQ=")</f>
        <v>#REF!</v>
      </c>
      <c r="GP56" t="str">
        <f>AND(#REF!,"AAAAAHvvZsU=")</f>
        <v>#REF!</v>
      </c>
      <c r="GQ56" t="str">
        <f>AND(#REF!,"AAAAAHvvZsY=")</f>
        <v>#REF!</v>
      </c>
      <c r="GR56" t="str">
        <f>AND(#REF!,"AAAAAHvvZsc=")</f>
        <v>#REF!</v>
      </c>
      <c r="GS56" t="str">
        <f>AND(#REF!,"AAAAAHvvZsg=")</f>
        <v>#REF!</v>
      </c>
      <c r="GT56" t="str">
        <f>AND(#REF!,"AAAAAHvvZsk=")</f>
        <v>#REF!</v>
      </c>
      <c r="GU56" t="str">
        <f>AND(#REF!,"AAAAAHvvZso=")</f>
        <v>#REF!</v>
      </c>
      <c r="GV56" t="str">
        <f>AND(#REF!,"AAAAAHvvZss=")</f>
        <v>#REF!</v>
      </c>
      <c r="GW56" t="str">
        <f>AND(#REF!,"AAAAAHvvZsw=")</f>
        <v>#REF!</v>
      </c>
      <c r="GX56" t="str">
        <f>AND(#REF!,"AAAAAHvvZs0=")</f>
        <v>#REF!</v>
      </c>
      <c r="GY56" t="str">
        <f>AND(#REF!,"AAAAAHvvZs4=")</f>
        <v>#REF!</v>
      </c>
      <c r="GZ56" t="str">
        <f>AND(#REF!,"AAAAAHvvZs8=")</f>
        <v>#REF!</v>
      </c>
      <c r="HA56" t="str">
        <f>AND(#REF!,"AAAAAHvvZtA=")</f>
        <v>#REF!</v>
      </c>
      <c r="HB56" t="str">
        <f>AND(#REF!,"AAAAAHvvZtE=")</f>
        <v>#REF!</v>
      </c>
      <c r="HC56" t="str">
        <f>AND(#REF!,"AAAAAHvvZtI=")</f>
        <v>#REF!</v>
      </c>
      <c r="HD56" t="str">
        <f>AND(#REF!,"AAAAAHvvZtM=")</f>
        <v>#REF!</v>
      </c>
      <c r="HE56" t="str">
        <f>AND(#REF!,"AAAAAHvvZtQ=")</f>
        <v>#REF!</v>
      </c>
      <c r="HF56" t="str">
        <f>AND(#REF!,"AAAAAHvvZtU=")</f>
        <v>#REF!</v>
      </c>
      <c r="HG56" t="str">
        <f>AND(#REF!,"AAAAAHvvZtY=")</f>
        <v>#REF!</v>
      </c>
      <c r="HH56" t="str">
        <f>AND(#REF!,"AAAAAHvvZtc=")</f>
        <v>#REF!</v>
      </c>
      <c r="HI56" t="str">
        <f>AND(#REF!,"AAAAAHvvZtg=")</f>
        <v>#REF!</v>
      </c>
      <c r="HJ56" t="str">
        <f>AND(#REF!,"AAAAAHvvZtk=")</f>
        <v>#REF!</v>
      </c>
      <c r="HK56" t="str">
        <f>AND(#REF!,"AAAAAHvvZto=")</f>
        <v>#REF!</v>
      </c>
      <c r="HL56" t="str">
        <f>AND(#REF!,"AAAAAHvvZts=")</f>
        <v>#REF!</v>
      </c>
      <c r="HM56" t="str">
        <f>AND(#REF!,"AAAAAHvvZtw=")</f>
        <v>#REF!</v>
      </c>
      <c r="HN56" t="str">
        <f>AND(#REF!,"AAAAAHvvZt0=")</f>
        <v>#REF!</v>
      </c>
      <c r="HO56" t="str">
        <f>AND(#REF!,"AAAAAHvvZt4=")</f>
        <v>#REF!</v>
      </c>
      <c r="HP56" t="str">
        <f>AND(#REF!,"AAAAAHvvZt8=")</f>
        <v>#REF!</v>
      </c>
      <c r="HQ56" t="str">
        <f>AND(#REF!,"AAAAAHvvZuA=")</f>
        <v>#REF!</v>
      </c>
      <c r="HR56" t="str">
        <f>AND(#REF!,"AAAAAHvvZuE=")</f>
        <v>#REF!</v>
      </c>
      <c r="HS56" t="str">
        <f>AND(#REF!,"AAAAAHvvZuI=")</f>
        <v>#REF!</v>
      </c>
      <c r="HT56" t="str">
        <f>AND(#REF!,"AAAAAHvvZuM=")</f>
        <v>#REF!</v>
      </c>
      <c r="HU56" t="str">
        <f>AND(#REF!,"AAAAAHvvZuQ=")</f>
        <v>#REF!</v>
      </c>
      <c r="HV56" t="str">
        <f>AND(#REF!,"AAAAAHvvZuU=")</f>
        <v>#REF!</v>
      </c>
      <c r="HW56" t="str">
        <f>AND(#REF!,"AAAAAHvvZuY=")</f>
        <v>#REF!</v>
      </c>
      <c r="HX56" t="str">
        <f>AND(#REF!,"AAAAAHvvZuc=")</f>
        <v>#REF!</v>
      </c>
      <c r="HY56" t="str">
        <f>AND(#REF!,"AAAAAHvvZug=")</f>
        <v>#REF!</v>
      </c>
      <c r="HZ56" t="str">
        <f>AND(#REF!,"AAAAAHvvZuk=")</f>
        <v>#REF!</v>
      </c>
      <c r="IA56" t="str">
        <f>AND(#REF!,"AAAAAHvvZuo=")</f>
        <v>#REF!</v>
      </c>
      <c r="IB56" t="str">
        <f>AND(#REF!,"AAAAAHvvZus=")</f>
        <v>#REF!</v>
      </c>
      <c r="IC56" t="str">
        <f>AND(#REF!,"AAAAAHvvZuw=")</f>
        <v>#REF!</v>
      </c>
      <c r="ID56" t="str">
        <f>AND(#REF!,"AAAAAHvvZu0=")</f>
        <v>#REF!</v>
      </c>
      <c r="IE56" t="str">
        <f>AND(#REF!,"AAAAAHvvZu4=")</f>
        <v>#REF!</v>
      </c>
      <c r="IF56" t="str">
        <f>AND(#REF!,"AAAAAHvvZu8=")</f>
        <v>#REF!</v>
      </c>
      <c r="IG56" t="str">
        <f>AND(#REF!,"AAAAAHvvZvA=")</f>
        <v>#REF!</v>
      </c>
      <c r="IH56" t="str">
        <f>AND(#REF!,"AAAAAHvvZvE=")</f>
        <v>#REF!</v>
      </c>
      <c r="II56" t="str">
        <f>AND(#REF!,"AAAAAHvvZvI=")</f>
        <v>#REF!</v>
      </c>
      <c r="IJ56" t="str">
        <f>AND(#REF!,"AAAAAHvvZvM=")</f>
        <v>#REF!</v>
      </c>
      <c r="IK56" t="str">
        <f>AND(#REF!,"AAAAAHvvZvQ=")</f>
        <v>#REF!</v>
      </c>
      <c r="IL56" t="str">
        <f>AND(#REF!,"AAAAAHvvZvU=")</f>
        <v>#REF!</v>
      </c>
      <c r="IM56" t="str">
        <f>AND(#REF!,"AAAAAHvvZvY=")</f>
        <v>#REF!</v>
      </c>
      <c r="IN56" t="str">
        <f>AND(#REF!,"AAAAAHvvZvc=")</f>
        <v>#REF!</v>
      </c>
      <c r="IO56" t="str">
        <f>AND(#REF!,"AAAAAHvvZvg=")</f>
        <v>#REF!</v>
      </c>
      <c r="IP56" t="str">
        <f>AND(#REF!,"AAAAAHvvZvk=")</f>
        <v>#REF!</v>
      </c>
      <c r="IQ56" t="str">
        <f>AND(#REF!,"AAAAAHvvZvo=")</f>
        <v>#REF!</v>
      </c>
      <c r="IR56" t="str">
        <f>AND(#REF!,"AAAAAHvvZvs=")</f>
        <v>#REF!</v>
      </c>
      <c r="IS56" t="str">
        <f>AND(#REF!,"AAAAAHvvZvw=")</f>
        <v>#REF!</v>
      </c>
      <c r="IT56" t="str">
        <f>AND(#REF!,"AAAAAHvvZv0=")</f>
        <v>#REF!</v>
      </c>
      <c r="IU56" t="str">
        <f>AND(#REF!,"AAAAAHvvZv4=")</f>
        <v>#REF!</v>
      </c>
      <c r="IV56" t="str">
        <f>IF(#REF!,"AAAAAHvvZv8=",0)</f>
        <v>#REF!</v>
      </c>
    </row>
    <row r="57" ht="15.75" customHeight="1">
      <c r="A57" t="str">
        <f>AND(#REF!,"AAAAABv/vwA=")</f>
        <v>#REF!</v>
      </c>
      <c r="B57" t="str">
        <f>AND(#REF!,"AAAAABv/vwE=")</f>
        <v>#REF!</v>
      </c>
      <c r="C57" t="str">
        <f>AND(#REF!,"AAAAABv/vwI=")</f>
        <v>#REF!</v>
      </c>
      <c r="D57" t="str">
        <f>AND(#REF!,"AAAAABv/vwM=")</f>
        <v>#REF!</v>
      </c>
      <c r="E57" t="str">
        <f>AND(#REF!,"AAAAABv/vwQ=")</f>
        <v>#REF!</v>
      </c>
      <c r="F57" t="str">
        <f>AND(#REF!,"AAAAABv/vwU=")</f>
        <v>#REF!</v>
      </c>
      <c r="G57" t="str">
        <f>AND(#REF!,"AAAAABv/vwY=")</f>
        <v>#REF!</v>
      </c>
      <c r="H57" t="str">
        <f>AND(#REF!,"AAAAABv/vwc=")</f>
        <v>#REF!</v>
      </c>
      <c r="I57" t="str">
        <f>AND(#REF!,"AAAAABv/vwg=")</f>
        <v>#REF!</v>
      </c>
      <c r="J57" t="str">
        <f>AND(#REF!,"AAAAABv/vwk=")</f>
        <v>#REF!</v>
      </c>
      <c r="K57" t="str">
        <f>AND(#REF!,"AAAAABv/vwo=")</f>
        <v>#REF!</v>
      </c>
      <c r="L57" t="str">
        <f>AND(#REF!,"AAAAABv/vws=")</f>
        <v>#REF!</v>
      </c>
      <c r="M57" t="str">
        <f>AND(#REF!,"AAAAABv/vww=")</f>
        <v>#REF!</v>
      </c>
      <c r="N57" t="str">
        <f>AND(#REF!,"AAAAABv/vw0=")</f>
        <v>#REF!</v>
      </c>
      <c r="O57" t="str">
        <f>AND(#REF!,"AAAAABv/vw4=")</f>
        <v>#REF!</v>
      </c>
      <c r="P57" t="str">
        <f>AND(#REF!,"AAAAABv/vw8=")</f>
        <v>#REF!</v>
      </c>
      <c r="Q57" t="str">
        <f>AND(#REF!,"AAAAABv/vxA=")</f>
        <v>#REF!</v>
      </c>
      <c r="R57" t="str">
        <f>AND(#REF!,"AAAAABv/vxE=")</f>
        <v>#REF!</v>
      </c>
      <c r="S57" t="str">
        <f>AND(#REF!,"AAAAABv/vxI=")</f>
        <v>#REF!</v>
      </c>
      <c r="T57" t="str">
        <f>AND(#REF!,"AAAAABv/vxM=")</f>
        <v>#REF!</v>
      </c>
      <c r="U57" t="str">
        <f>AND(#REF!,"AAAAABv/vxQ=")</f>
        <v>#REF!</v>
      </c>
      <c r="V57" t="str">
        <f>AND(#REF!,"AAAAABv/vxU=")</f>
        <v>#REF!</v>
      </c>
      <c r="W57" t="str">
        <f>AND(#REF!,"AAAAABv/vxY=")</f>
        <v>#REF!</v>
      </c>
      <c r="X57" t="str">
        <f>AND(#REF!,"AAAAABv/vxc=")</f>
        <v>#REF!</v>
      </c>
      <c r="Y57" t="str">
        <f>AND(#REF!,"AAAAABv/vxg=")</f>
        <v>#REF!</v>
      </c>
      <c r="Z57" t="str">
        <f>AND(#REF!,"AAAAABv/vxk=")</f>
        <v>#REF!</v>
      </c>
      <c r="AA57" t="str">
        <f>AND(#REF!,"AAAAABv/vxo=")</f>
        <v>#REF!</v>
      </c>
      <c r="AB57" t="str">
        <f>AND(#REF!,"AAAAABv/vxs=")</f>
        <v>#REF!</v>
      </c>
      <c r="AC57" t="str">
        <f>AND(#REF!,"AAAAABv/vxw=")</f>
        <v>#REF!</v>
      </c>
      <c r="AD57" t="str">
        <f>AND(#REF!,"AAAAABv/vx0=")</f>
        <v>#REF!</v>
      </c>
      <c r="AE57" t="str">
        <f>AND(#REF!,"AAAAABv/vx4=")</f>
        <v>#REF!</v>
      </c>
      <c r="AF57" t="str">
        <f>AND(#REF!,"AAAAABv/vx8=")</f>
        <v>#REF!</v>
      </c>
      <c r="AG57" t="str">
        <f>AND(#REF!,"AAAAABv/vyA=")</f>
        <v>#REF!</v>
      </c>
      <c r="AH57" t="str">
        <f>AND(#REF!,"AAAAABv/vyE=")</f>
        <v>#REF!</v>
      </c>
      <c r="AI57" t="str">
        <f>AND(#REF!,"AAAAABv/vyI=")</f>
        <v>#REF!</v>
      </c>
      <c r="AJ57" t="str">
        <f>AND(#REF!,"AAAAABv/vyM=")</f>
        <v>#REF!</v>
      </c>
      <c r="AK57" t="str">
        <f>AND(#REF!,"AAAAABv/vyQ=")</f>
        <v>#REF!</v>
      </c>
      <c r="AL57" t="str">
        <f>AND(#REF!,"AAAAABv/vyU=")</f>
        <v>#REF!</v>
      </c>
      <c r="AM57" t="str">
        <f>AND(#REF!,"AAAAABv/vyY=")</f>
        <v>#REF!</v>
      </c>
      <c r="AN57" t="str">
        <f>AND(#REF!,"AAAAABv/vyc=")</f>
        <v>#REF!</v>
      </c>
      <c r="AO57" t="str">
        <f>AND(#REF!,"AAAAABv/vyg=")</f>
        <v>#REF!</v>
      </c>
      <c r="AP57" t="str">
        <f>AND(#REF!,"AAAAABv/vyk=")</f>
        <v>#REF!</v>
      </c>
      <c r="AQ57" t="str">
        <f>AND(#REF!,"AAAAABv/vyo=")</f>
        <v>#REF!</v>
      </c>
      <c r="AR57" t="str">
        <f>AND(#REF!,"AAAAABv/vys=")</f>
        <v>#REF!</v>
      </c>
      <c r="AS57" t="str">
        <f>AND(#REF!,"AAAAABv/vyw=")</f>
        <v>#REF!</v>
      </c>
      <c r="AT57" t="str">
        <f>AND(#REF!,"AAAAABv/vy0=")</f>
        <v>#REF!</v>
      </c>
      <c r="AU57" t="str">
        <f>AND(#REF!,"AAAAABv/vy4=")</f>
        <v>#REF!</v>
      </c>
      <c r="AV57" t="str">
        <f>AND(#REF!,"AAAAABv/vy8=")</f>
        <v>#REF!</v>
      </c>
      <c r="AW57" t="str">
        <f>AND(#REF!,"AAAAABv/vzA=")</f>
        <v>#REF!</v>
      </c>
      <c r="AX57" t="str">
        <f>AND(#REF!,"AAAAABv/vzE=")</f>
        <v>#REF!</v>
      </c>
      <c r="AY57" t="str">
        <f>AND(#REF!,"AAAAABv/vzI=")</f>
        <v>#REF!</v>
      </c>
      <c r="AZ57" t="str">
        <f>AND(#REF!,"AAAAABv/vzM=")</f>
        <v>#REF!</v>
      </c>
      <c r="BA57" t="str">
        <f>AND(#REF!,"AAAAABv/vzQ=")</f>
        <v>#REF!</v>
      </c>
      <c r="BB57" t="str">
        <f>AND(#REF!,"AAAAABv/vzU=")</f>
        <v>#REF!</v>
      </c>
      <c r="BC57" t="str">
        <f>AND(#REF!,"AAAAABv/vzY=")</f>
        <v>#REF!</v>
      </c>
      <c r="BD57" t="str">
        <f>AND(#REF!,"AAAAABv/vzc=")</f>
        <v>#REF!</v>
      </c>
      <c r="BE57" t="str">
        <f>AND(#REF!,"AAAAABv/vzg=")</f>
        <v>#REF!</v>
      </c>
      <c r="BF57" t="str">
        <f>AND(#REF!,"AAAAABv/vzk=")</f>
        <v>#REF!</v>
      </c>
      <c r="BG57" t="str">
        <f>AND(#REF!,"AAAAABv/vzo=")</f>
        <v>#REF!</v>
      </c>
      <c r="BH57" t="str">
        <f>AND(#REF!,"AAAAABv/vzs=")</f>
        <v>#REF!</v>
      </c>
      <c r="BI57" t="str">
        <f>AND(#REF!,"AAAAABv/vzw=")</f>
        <v>#REF!</v>
      </c>
      <c r="BJ57" t="str">
        <f>AND(#REF!,"AAAAABv/vz0=")</f>
        <v>#REF!</v>
      </c>
      <c r="BK57" t="str">
        <f>AND(#REF!,"AAAAABv/vz4=")</f>
        <v>#REF!</v>
      </c>
      <c r="BL57" t="str">
        <f>AND(#REF!,"AAAAABv/vz8=")</f>
        <v>#REF!</v>
      </c>
      <c r="BM57" t="str">
        <f>AND(#REF!,"AAAAABv/v0A=")</f>
        <v>#REF!</v>
      </c>
      <c r="BN57" t="str">
        <f>AND(#REF!,"AAAAABv/v0E=")</f>
        <v>#REF!</v>
      </c>
      <c r="BO57" t="str">
        <f>AND(#REF!,"AAAAABv/v0I=")</f>
        <v>#REF!</v>
      </c>
      <c r="BP57" t="str">
        <f>AND(#REF!,"AAAAABv/v0M=")</f>
        <v>#REF!</v>
      </c>
      <c r="BQ57" t="str">
        <f>AND(#REF!,"AAAAABv/v0Q=")</f>
        <v>#REF!</v>
      </c>
      <c r="BR57" t="str">
        <f>AND(#REF!,"AAAAABv/v0U=")</f>
        <v>#REF!</v>
      </c>
      <c r="BS57" t="str">
        <f>AND(#REF!,"AAAAABv/v0Y=")</f>
        <v>#REF!</v>
      </c>
      <c r="BT57" t="str">
        <f>AND(#REF!,"AAAAABv/v0c=")</f>
        <v>#REF!</v>
      </c>
      <c r="BU57" t="str">
        <f>AND(#REF!,"AAAAABv/v0g=")</f>
        <v>#REF!</v>
      </c>
      <c r="BV57" t="str">
        <f>AND(#REF!,"AAAAABv/v0k=")</f>
        <v>#REF!</v>
      </c>
      <c r="BW57" t="str">
        <f>AND(#REF!,"AAAAABv/v0o=")</f>
        <v>#REF!</v>
      </c>
      <c r="BX57" t="str">
        <f>IF(#REF!,"AAAAABv/v0s=",0)</f>
        <v>#REF!</v>
      </c>
      <c r="BY57" t="str">
        <f>AND(#REF!,"AAAAABv/v0w=")</f>
        <v>#REF!</v>
      </c>
      <c r="BZ57" t="str">
        <f>AND(#REF!,"AAAAABv/v00=")</f>
        <v>#REF!</v>
      </c>
      <c r="CA57" t="str">
        <f>AND(#REF!,"AAAAABv/v04=")</f>
        <v>#REF!</v>
      </c>
      <c r="CB57" t="str">
        <f>AND(#REF!,"AAAAABv/v08=")</f>
        <v>#REF!</v>
      </c>
      <c r="CC57" t="str">
        <f>AND(#REF!,"AAAAABv/v1A=")</f>
        <v>#REF!</v>
      </c>
      <c r="CD57" t="str">
        <f>AND(#REF!,"AAAAABv/v1E=")</f>
        <v>#REF!</v>
      </c>
      <c r="CE57" t="str">
        <f>AND(#REF!,"AAAAABv/v1I=")</f>
        <v>#REF!</v>
      </c>
      <c r="CF57" t="str">
        <f>AND(#REF!,"AAAAABv/v1M=")</f>
        <v>#REF!</v>
      </c>
      <c r="CG57" t="str">
        <f>AND(#REF!,"AAAAABv/v1Q=")</f>
        <v>#REF!</v>
      </c>
      <c r="CH57" t="str">
        <f>AND(#REF!,"AAAAABv/v1U=")</f>
        <v>#REF!</v>
      </c>
      <c r="CI57" t="str">
        <f>AND(#REF!,"AAAAABv/v1Y=")</f>
        <v>#REF!</v>
      </c>
      <c r="CJ57" t="str">
        <f>AND(#REF!,"AAAAABv/v1c=")</f>
        <v>#REF!</v>
      </c>
      <c r="CK57" t="str">
        <f>AND(#REF!,"AAAAABv/v1g=")</f>
        <v>#REF!</v>
      </c>
      <c r="CL57" t="str">
        <f>AND(#REF!,"AAAAABv/v1k=")</f>
        <v>#REF!</v>
      </c>
      <c r="CM57" t="str">
        <f>AND(#REF!,"AAAAABv/v1o=")</f>
        <v>#REF!</v>
      </c>
      <c r="CN57" t="str">
        <f>AND(#REF!,"AAAAABv/v1s=")</f>
        <v>#REF!</v>
      </c>
      <c r="CO57" t="str">
        <f>AND(#REF!,"AAAAABv/v1w=")</f>
        <v>#REF!</v>
      </c>
      <c r="CP57" t="str">
        <f>AND(#REF!,"AAAAABv/v10=")</f>
        <v>#REF!</v>
      </c>
      <c r="CQ57" t="str">
        <f>AND(#REF!,"AAAAABv/v14=")</f>
        <v>#REF!</v>
      </c>
      <c r="CR57" t="str">
        <f>AND(#REF!,"AAAAABv/v18=")</f>
        <v>#REF!</v>
      </c>
      <c r="CS57" t="str">
        <f>AND(#REF!,"AAAAABv/v2A=")</f>
        <v>#REF!</v>
      </c>
      <c r="CT57" t="str">
        <f>AND(#REF!,"AAAAABv/v2E=")</f>
        <v>#REF!</v>
      </c>
      <c r="CU57" t="str">
        <f>AND(#REF!,"AAAAABv/v2I=")</f>
        <v>#REF!</v>
      </c>
      <c r="CV57" t="str">
        <f>AND(#REF!,"AAAAABv/v2M=")</f>
        <v>#REF!</v>
      </c>
      <c r="CW57" t="str">
        <f>AND(#REF!,"AAAAABv/v2Q=")</f>
        <v>#REF!</v>
      </c>
      <c r="CX57" t="str">
        <f>AND(#REF!,"AAAAABv/v2U=")</f>
        <v>#REF!</v>
      </c>
      <c r="CY57" t="str">
        <f>AND(#REF!,"AAAAABv/v2Y=")</f>
        <v>#REF!</v>
      </c>
      <c r="CZ57" t="str">
        <f>AND(#REF!,"AAAAABv/v2c=")</f>
        <v>#REF!</v>
      </c>
      <c r="DA57" t="str">
        <f>AND(#REF!,"AAAAABv/v2g=")</f>
        <v>#REF!</v>
      </c>
      <c r="DB57" t="str">
        <f>AND(#REF!,"AAAAABv/v2k=")</f>
        <v>#REF!</v>
      </c>
      <c r="DC57" t="str">
        <f>AND(#REF!,"AAAAABv/v2o=")</f>
        <v>#REF!</v>
      </c>
      <c r="DD57" t="str">
        <f>AND(#REF!,"AAAAABv/v2s=")</f>
        <v>#REF!</v>
      </c>
      <c r="DE57" t="str">
        <f>AND(#REF!,"AAAAABv/v2w=")</f>
        <v>#REF!</v>
      </c>
      <c r="DF57" t="str">
        <f>AND(#REF!,"AAAAABv/v20=")</f>
        <v>#REF!</v>
      </c>
      <c r="DG57" t="str">
        <f>AND(#REF!,"AAAAABv/v24=")</f>
        <v>#REF!</v>
      </c>
      <c r="DH57" t="str">
        <f>AND(#REF!,"AAAAABv/v28=")</f>
        <v>#REF!</v>
      </c>
      <c r="DI57" t="str">
        <f>AND(#REF!,"AAAAABv/v3A=")</f>
        <v>#REF!</v>
      </c>
      <c r="DJ57" t="str">
        <f>AND(#REF!,"AAAAABv/v3E=")</f>
        <v>#REF!</v>
      </c>
      <c r="DK57" t="str">
        <f>AND(#REF!,"AAAAABv/v3I=")</f>
        <v>#REF!</v>
      </c>
      <c r="DL57" t="str">
        <f>AND(#REF!,"AAAAABv/v3M=")</f>
        <v>#REF!</v>
      </c>
      <c r="DM57" t="str">
        <f>AND(#REF!,"AAAAABv/v3Q=")</f>
        <v>#REF!</v>
      </c>
      <c r="DN57" t="str">
        <f>AND(#REF!,"AAAAABv/v3U=")</f>
        <v>#REF!</v>
      </c>
      <c r="DO57" t="str">
        <f>AND(#REF!,"AAAAABv/v3Y=")</f>
        <v>#REF!</v>
      </c>
      <c r="DP57" t="str">
        <f>AND(#REF!,"AAAAABv/v3c=")</f>
        <v>#REF!</v>
      </c>
      <c r="DQ57" t="str">
        <f>AND(#REF!,"AAAAABv/v3g=")</f>
        <v>#REF!</v>
      </c>
      <c r="DR57" t="str">
        <f>AND(#REF!,"AAAAABv/v3k=")</f>
        <v>#REF!</v>
      </c>
      <c r="DS57" t="str">
        <f>AND(#REF!,"AAAAABv/v3o=")</f>
        <v>#REF!</v>
      </c>
      <c r="DT57" t="str">
        <f>AND(#REF!,"AAAAABv/v3s=")</f>
        <v>#REF!</v>
      </c>
      <c r="DU57" t="str">
        <f>AND(#REF!,"AAAAABv/v3w=")</f>
        <v>#REF!</v>
      </c>
      <c r="DV57" t="str">
        <f>AND(#REF!,"AAAAABv/v30=")</f>
        <v>#REF!</v>
      </c>
      <c r="DW57" t="str">
        <f>AND(#REF!,"AAAAABv/v34=")</f>
        <v>#REF!</v>
      </c>
      <c r="DX57" t="str">
        <f>AND(#REF!,"AAAAABv/v38=")</f>
        <v>#REF!</v>
      </c>
      <c r="DY57" t="str">
        <f>AND(#REF!,"AAAAABv/v4A=")</f>
        <v>#REF!</v>
      </c>
      <c r="DZ57" t="str">
        <f>AND(#REF!,"AAAAABv/v4E=")</f>
        <v>#REF!</v>
      </c>
      <c r="EA57" t="str">
        <f>AND(#REF!,"AAAAABv/v4I=")</f>
        <v>#REF!</v>
      </c>
      <c r="EB57" t="str">
        <f>AND(#REF!,"AAAAABv/v4M=")</f>
        <v>#REF!</v>
      </c>
      <c r="EC57" t="str">
        <f>AND(#REF!,"AAAAABv/v4Q=")</f>
        <v>#REF!</v>
      </c>
      <c r="ED57" t="str">
        <f>AND(#REF!,"AAAAABv/v4U=")</f>
        <v>#REF!</v>
      </c>
      <c r="EE57" t="str">
        <f>AND(#REF!,"AAAAABv/v4Y=")</f>
        <v>#REF!</v>
      </c>
      <c r="EF57" t="str">
        <f>AND(#REF!,"AAAAABv/v4c=")</f>
        <v>#REF!</v>
      </c>
      <c r="EG57" t="str">
        <f>AND(#REF!,"AAAAABv/v4g=")</f>
        <v>#REF!</v>
      </c>
      <c r="EH57" t="str">
        <f>AND(#REF!,"AAAAABv/v4k=")</f>
        <v>#REF!</v>
      </c>
      <c r="EI57" t="str">
        <f>AND(#REF!,"AAAAABv/v4o=")</f>
        <v>#REF!</v>
      </c>
      <c r="EJ57" t="str">
        <f>AND(#REF!,"AAAAABv/v4s=")</f>
        <v>#REF!</v>
      </c>
      <c r="EK57" t="str">
        <f>AND(#REF!,"AAAAABv/v4w=")</f>
        <v>#REF!</v>
      </c>
      <c r="EL57" t="str">
        <f>AND(#REF!,"AAAAABv/v40=")</f>
        <v>#REF!</v>
      </c>
      <c r="EM57" t="str">
        <f>AND(#REF!,"AAAAABv/v44=")</f>
        <v>#REF!</v>
      </c>
      <c r="EN57" t="str">
        <f>AND(#REF!,"AAAAABv/v48=")</f>
        <v>#REF!</v>
      </c>
      <c r="EO57" t="str">
        <f>AND(#REF!,"AAAAABv/v5A=")</f>
        <v>#REF!</v>
      </c>
      <c r="EP57" t="str">
        <f>AND(#REF!,"AAAAABv/v5E=")</f>
        <v>#REF!</v>
      </c>
      <c r="EQ57" t="str">
        <f>AND(#REF!,"AAAAABv/v5I=")</f>
        <v>#REF!</v>
      </c>
      <c r="ER57" t="str">
        <f>AND(#REF!,"AAAAABv/v5M=")</f>
        <v>#REF!</v>
      </c>
      <c r="ES57" t="str">
        <f>AND(#REF!,"AAAAABv/v5Q=")</f>
        <v>#REF!</v>
      </c>
      <c r="ET57" t="str">
        <f>AND(#REF!,"AAAAABv/v5U=")</f>
        <v>#REF!</v>
      </c>
      <c r="EU57" t="str">
        <f>AND(#REF!,"AAAAABv/v5Y=")</f>
        <v>#REF!</v>
      </c>
      <c r="EV57" t="str">
        <f>IF(#REF!,"AAAAABv/v5c=",0)</f>
        <v>#REF!</v>
      </c>
      <c r="EW57" t="str">
        <f>AND(#REF!,"AAAAABv/v5g=")</f>
        <v>#REF!</v>
      </c>
      <c r="EX57" t="str">
        <f>AND(#REF!,"AAAAABv/v5k=")</f>
        <v>#REF!</v>
      </c>
      <c r="EY57" t="str">
        <f>AND(#REF!,"AAAAABv/v5o=")</f>
        <v>#REF!</v>
      </c>
      <c r="EZ57" t="str">
        <f>AND(#REF!,"AAAAABv/v5s=")</f>
        <v>#REF!</v>
      </c>
      <c r="FA57" t="str">
        <f>AND(#REF!,"AAAAABv/v5w=")</f>
        <v>#REF!</v>
      </c>
      <c r="FB57" t="str">
        <f>AND(#REF!,"AAAAABv/v50=")</f>
        <v>#REF!</v>
      </c>
      <c r="FC57" t="str">
        <f>AND(#REF!,"AAAAABv/v54=")</f>
        <v>#REF!</v>
      </c>
      <c r="FD57" t="str">
        <f>AND(#REF!,"AAAAABv/v58=")</f>
        <v>#REF!</v>
      </c>
      <c r="FE57" t="str">
        <f>AND(#REF!,"AAAAABv/v6A=")</f>
        <v>#REF!</v>
      </c>
      <c r="FF57" t="str">
        <f>AND(#REF!,"AAAAABv/v6E=")</f>
        <v>#REF!</v>
      </c>
      <c r="FG57" t="str">
        <f>AND(#REF!,"AAAAABv/v6I=")</f>
        <v>#REF!</v>
      </c>
      <c r="FH57" t="str">
        <f>AND(#REF!,"AAAAABv/v6M=")</f>
        <v>#REF!</v>
      </c>
      <c r="FI57" t="str">
        <f>AND(#REF!,"AAAAABv/v6Q=")</f>
        <v>#REF!</v>
      </c>
      <c r="FJ57" t="str">
        <f>AND(#REF!,"AAAAABv/v6U=")</f>
        <v>#REF!</v>
      </c>
      <c r="FK57" t="str">
        <f>AND(#REF!,"AAAAABv/v6Y=")</f>
        <v>#REF!</v>
      </c>
      <c r="FL57" t="str">
        <f>AND(#REF!,"AAAAABv/v6c=")</f>
        <v>#REF!</v>
      </c>
      <c r="FM57" t="str">
        <f>AND(#REF!,"AAAAABv/v6g=")</f>
        <v>#REF!</v>
      </c>
      <c r="FN57" t="str">
        <f>AND(#REF!,"AAAAABv/v6k=")</f>
        <v>#REF!</v>
      </c>
      <c r="FO57" t="str">
        <f>AND(#REF!,"AAAAABv/v6o=")</f>
        <v>#REF!</v>
      </c>
      <c r="FP57" t="str">
        <f>AND(#REF!,"AAAAABv/v6s=")</f>
        <v>#REF!</v>
      </c>
      <c r="FQ57" t="str">
        <f>AND(#REF!,"AAAAABv/v6w=")</f>
        <v>#REF!</v>
      </c>
      <c r="FR57" t="str">
        <f>AND(#REF!,"AAAAABv/v60=")</f>
        <v>#REF!</v>
      </c>
      <c r="FS57" t="str">
        <f>AND(#REF!,"AAAAABv/v64=")</f>
        <v>#REF!</v>
      </c>
      <c r="FT57" t="str">
        <f>AND(#REF!,"AAAAABv/v68=")</f>
        <v>#REF!</v>
      </c>
      <c r="FU57" t="str">
        <f>AND(#REF!,"AAAAABv/v7A=")</f>
        <v>#REF!</v>
      </c>
      <c r="FV57" t="str">
        <f>AND(#REF!,"AAAAABv/v7E=")</f>
        <v>#REF!</v>
      </c>
      <c r="FW57" t="str">
        <f>AND(#REF!,"AAAAABv/v7I=")</f>
        <v>#REF!</v>
      </c>
      <c r="FX57" t="str">
        <f>AND(#REF!,"AAAAABv/v7M=")</f>
        <v>#REF!</v>
      </c>
      <c r="FY57" t="str">
        <f>AND(#REF!,"AAAAABv/v7Q=")</f>
        <v>#REF!</v>
      </c>
      <c r="FZ57" t="str">
        <f>AND(#REF!,"AAAAABv/v7U=")</f>
        <v>#REF!</v>
      </c>
      <c r="GA57" t="str">
        <f>AND(#REF!,"AAAAABv/v7Y=")</f>
        <v>#REF!</v>
      </c>
      <c r="GB57" t="str">
        <f>AND(#REF!,"AAAAABv/v7c=")</f>
        <v>#REF!</v>
      </c>
      <c r="GC57" t="str">
        <f>AND(#REF!,"AAAAABv/v7g=")</f>
        <v>#REF!</v>
      </c>
      <c r="GD57" t="str">
        <f>AND(#REF!,"AAAAABv/v7k=")</f>
        <v>#REF!</v>
      </c>
      <c r="GE57" t="str">
        <f>AND(#REF!,"AAAAABv/v7o=")</f>
        <v>#REF!</v>
      </c>
      <c r="GF57" t="str">
        <f>AND(#REF!,"AAAAABv/v7s=")</f>
        <v>#REF!</v>
      </c>
      <c r="GG57" t="str">
        <f>AND(#REF!,"AAAAABv/v7w=")</f>
        <v>#REF!</v>
      </c>
      <c r="GH57" t="str">
        <f>AND(#REF!,"AAAAABv/v70=")</f>
        <v>#REF!</v>
      </c>
      <c r="GI57" t="str">
        <f>AND(#REF!,"AAAAABv/v74=")</f>
        <v>#REF!</v>
      </c>
      <c r="GJ57" t="str">
        <f>AND(#REF!,"AAAAABv/v78=")</f>
        <v>#REF!</v>
      </c>
      <c r="GK57" t="str">
        <f>AND(#REF!,"AAAAABv/v8A=")</f>
        <v>#REF!</v>
      </c>
      <c r="GL57" t="str">
        <f>AND(#REF!,"AAAAABv/v8E=")</f>
        <v>#REF!</v>
      </c>
      <c r="GM57" t="str">
        <f>AND(#REF!,"AAAAABv/v8I=")</f>
        <v>#REF!</v>
      </c>
      <c r="GN57" t="str">
        <f>AND(#REF!,"AAAAABv/v8M=")</f>
        <v>#REF!</v>
      </c>
      <c r="GO57" t="str">
        <f>AND(#REF!,"AAAAABv/v8Q=")</f>
        <v>#REF!</v>
      </c>
      <c r="GP57" t="str">
        <f>AND(#REF!,"AAAAABv/v8U=")</f>
        <v>#REF!</v>
      </c>
      <c r="GQ57" t="str">
        <f>AND(#REF!,"AAAAABv/v8Y=")</f>
        <v>#REF!</v>
      </c>
      <c r="GR57" t="str">
        <f>AND(#REF!,"AAAAABv/v8c=")</f>
        <v>#REF!</v>
      </c>
      <c r="GS57" t="str">
        <f>AND(#REF!,"AAAAABv/v8g=")</f>
        <v>#REF!</v>
      </c>
      <c r="GT57" t="str">
        <f>AND(#REF!,"AAAAABv/v8k=")</f>
        <v>#REF!</v>
      </c>
      <c r="GU57" t="str">
        <f>AND(#REF!,"AAAAABv/v8o=")</f>
        <v>#REF!</v>
      </c>
      <c r="GV57" t="str">
        <f>AND(#REF!,"AAAAABv/v8s=")</f>
        <v>#REF!</v>
      </c>
      <c r="GW57" t="str">
        <f>AND(#REF!,"AAAAABv/v8w=")</f>
        <v>#REF!</v>
      </c>
      <c r="GX57" t="str">
        <f>AND(#REF!,"AAAAABv/v80=")</f>
        <v>#REF!</v>
      </c>
      <c r="GY57" t="str">
        <f>AND(#REF!,"AAAAABv/v84=")</f>
        <v>#REF!</v>
      </c>
      <c r="GZ57" t="str">
        <f>AND(#REF!,"AAAAABv/v88=")</f>
        <v>#REF!</v>
      </c>
      <c r="HA57" t="str">
        <f>AND(#REF!,"AAAAABv/v9A=")</f>
        <v>#REF!</v>
      </c>
      <c r="HB57" t="str">
        <f>AND(#REF!,"AAAAABv/v9E=")</f>
        <v>#REF!</v>
      </c>
      <c r="HC57" t="str">
        <f>AND(#REF!,"AAAAABv/v9I=")</f>
        <v>#REF!</v>
      </c>
      <c r="HD57" t="str">
        <f>AND(#REF!,"AAAAABv/v9M=")</f>
        <v>#REF!</v>
      </c>
      <c r="HE57" t="str">
        <f>AND(#REF!,"AAAAABv/v9Q=")</f>
        <v>#REF!</v>
      </c>
      <c r="HF57" t="str">
        <f>AND(#REF!,"AAAAABv/v9U=")</f>
        <v>#REF!</v>
      </c>
      <c r="HG57" t="str">
        <f>AND(#REF!,"AAAAABv/v9Y=")</f>
        <v>#REF!</v>
      </c>
      <c r="HH57" t="str">
        <f>AND(#REF!,"AAAAABv/v9c=")</f>
        <v>#REF!</v>
      </c>
      <c r="HI57" t="str">
        <f>AND(#REF!,"AAAAABv/v9g=")</f>
        <v>#REF!</v>
      </c>
      <c r="HJ57" t="str">
        <f>AND(#REF!,"AAAAABv/v9k=")</f>
        <v>#REF!</v>
      </c>
      <c r="HK57" t="str">
        <f>AND(#REF!,"AAAAABv/v9o=")</f>
        <v>#REF!</v>
      </c>
      <c r="HL57" t="str">
        <f>AND(#REF!,"AAAAABv/v9s=")</f>
        <v>#REF!</v>
      </c>
      <c r="HM57" t="str">
        <f>AND(#REF!,"AAAAABv/v9w=")</f>
        <v>#REF!</v>
      </c>
      <c r="HN57" t="str">
        <f>AND(#REF!,"AAAAABv/v90=")</f>
        <v>#REF!</v>
      </c>
      <c r="HO57" t="str">
        <f>AND(#REF!,"AAAAABv/v94=")</f>
        <v>#REF!</v>
      </c>
      <c r="HP57" t="str">
        <f>AND(#REF!,"AAAAABv/v98=")</f>
        <v>#REF!</v>
      </c>
      <c r="HQ57" t="str">
        <f>AND(#REF!,"AAAAABv/v+A=")</f>
        <v>#REF!</v>
      </c>
      <c r="HR57" t="str">
        <f>AND(#REF!,"AAAAABv/v+E=")</f>
        <v>#REF!</v>
      </c>
      <c r="HS57" t="str">
        <f>AND(#REF!,"AAAAABv/v+I=")</f>
        <v>#REF!</v>
      </c>
      <c r="HT57" t="str">
        <f>IF(#REF!,"AAAAABv/v+M=",0)</f>
        <v>#REF!</v>
      </c>
      <c r="HU57" t="str">
        <f>AND(#REF!,"AAAAABv/v+Q=")</f>
        <v>#REF!</v>
      </c>
      <c r="HV57" t="str">
        <f>AND(#REF!,"AAAAABv/v+U=")</f>
        <v>#REF!</v>
      </c>
      <c r="HW57" t="str">
        <f>AND(#REF!,"AAAAABv/v+Y=")</f>
        <v>#REF!</v>
      </c>
      <c r="HX57" t="str">
        <f>AND(#REF!,"AAAAABv/v+c=")</f>
        <v>#REF!</v>
      </c>
      <c r="HY57" t="str">
        <f>AND(#REF!,"AAAAABv/v+g=")</f>
        <v>#REF!</v>
      </c>
      <c r="HZ57" t="str">
        <f>AND(#REF!,"AAAAABv/v+k=")</f>
        <v>#REF!</v>
      </c>
      <c r="IA57" t="str">
        <f>AND(#REF!,"AAAAABv/v+o=")</f>
        <v>#REF!</v>
      </c>
      <c r="IB57" t="str">
        <f>AND(#REF!,"AAAAABv/v+s=")</f>
        <v>#REF!</v>
      </c>
      <c r="IC57" t="str">
        <f>AND(#REF!,"AAAAABv/v+w=")</f>
        <v>#REF!</v>
      </c>
      <c r="ID57" t="str">
        <f>AND(#REF!,"AAAAABv/v+0=")</f>
        <v>#REF!</v>
      </c>
      <c r="IE57" t="str">
        <f>AND(#REF!,"AAAAABv/v+4=")</f>
        <v>#REF!</v>
      </c>
      <c r="IF57" t="str">
        <f>AND(#REF!,"AAAAABv/v+8=")</f>
        <v>#REF!</v>
      </c>
      <c r="IG57" t="str">
        <f>AND(#REF!,"AAAAABv/v/A=")</f>
        <v>#REF!</v>
      </c>
      <c r="IH57" t="str">
        <f>AND(#REF!,"AAAAABv/v/E=")</f>
        <v>#REF!</v>
      </c>
      <c r="II57" t="str">
        <f>AND(#REF!,"AAAAABv/v/I=")</f>
        <v>#REF!</v>
      </c>
      <c r="IJ57" t="str">
        <f>AND(#REF!,"AAAAABv/v/M=")</f>
        <v>#REF!</v>
      </c>
      <c r="IK57" t="str">
        <f>AND(#REF!,"AAAAABv/v/Q=")</f>
        <v>#REF!</v>
      </c>
      <c r="IL57" t="str">
        <f>AND(#REF!,"AAAAABv/v/U=")</f>
        <v>#REF!</v>
      </c>
      <c r="IM57" t="str">
        <f>AND(#REF!,"AAAAABv/v/Y=")</f>
        <v>#REF!</v>
      </c>
      <c r="IN57" t="str">
        <f>AND(#REF!,"AAAAABv/v/c=")</f>
        <v>#REF!</v>
      </c>
      <c r="IO57" t="str">
        <f>AND(#REF!,"AAAAABv/v/g=")</f>
        <v>#REF!</v>
      </c>
      <c r="IP57" t="str">
        <f>AND(#REF!,"AAAAABv/v/k=")</f>
        <v>#REF!</v>
      </c>
      <c r="IQ57" t="str">
        <f>AND(#REF!,"AAAAABv/v/o=")</f>
        <v>#REF!</v>
      </c>
      <c r="IR57" t="str">
        <f>AND(#REF!,"AAAAABv/v/s=")</f>
        <v>#REF!</v>
      </c>
      <c r="IS57" t="str">
        <f>AND(#REF!,"AAAAABv/v/w=")</f>
        <v>#REF!</v>
      </c>
      <c r="IT57" t="str">
        <f>AND(#REF!,"AAAAABv/v/0=")</f>
        <v>#REF!</v>
      </c>
      <c r="IU57" t="str">
        <f>AND(#REF!,"AAAAABv/v/4=")</f>
        <v>#REF!</v>
      </c>
      <c r="IV57" t="str">
        <f>AND(#REF!,"AAAAABv/v/8=")</f>
        <v>#REF!</v>
      </c>
    </row>
    <row r="58" ht="15.75" customHeight="1">
      <c r="A58" t="str">
        <f>AND(#REF!,"AAAAAGnP/wA=")</f>
        <v>#REF!</v>
      </c>
      <c r="B58" t="str">
        <f>AND(#REF!,"AAAAAGnP/wE=")</f>
        <v>#REF!</v>
      </c>
      <c r="C58" t="str">
        <f>AND(#REF!,"AAAAAGnP/wI=")</f>
        <v>#REF!</v>
      </c>
      <c r="D58" t="str">
        <f>AND(#REF!,"AAAAAGnP/wM=")</f>
        <v>#REF!</v>
      </c>
      <c r="E58" t="str">
        <f>AND(#REF!,"AAAAAGnP/wQ=")</f>
        <v>#REF!</v>
      </c>
      <c r="F58" t="str">
        <f>AND(#REF!,"AAAAAGnP/wU=")</f>
        <v>#REF!</v>
      </c>
      <c r="G58" t="str">
        <f>AND(#REF!,"AAAAAGnP/wY=")</f>
        <v>#REF!</v>
      </c>
      <c r="H58" t="str">
        <f>AND(#REF!,"AAAAAGnP/wc=")</f>
        <v>#REF!</v>
      </c>
      <c r="I58" t="str">
        <f>AND(#REF!,"AAAAAGnP/wg=")</f>
        <v>#REF!</v>
      </c>
      <c r="J58" t="str">
        <f>AND(#REF!,"AAAAAGnP/wk=")</f>
        <v>#REF!</v>
      </c>
      <c r="K58" t="str">
        <f>AND(#REF!,"AAAAAGnP/wo=")</f>
        <v>#REF!</v>
      </c>
      <c r="L58" t="str">
        <f>AND(#REF!,"AAAAAGnP/ws=")</f>
        <v>#REF!</v>
      </c>
      <c r="M58" t="str">
        <f>AND(#REF!,"AAAAAGnP/ww=")</f>
        <v>#REF!</v>
      </c>
      <c r="N58" t="str">
        <f>AND(#REF!,"AAAAAGnP/w0=")</f>
        <v>#REF!</v>
      </c>
      <c r="O58" t="str">
        <f>AND(#REF!,"AAAAAGnP/w4=")</f>
        <v>#REF!</v>
      </c>
      <c r="P58" t="str">
        <f>AND(#REF!,"AAAAAGnP/w8=")</f>
        <v>#REF!</v>
      </c>
      <c r="Q58" t="str">
        <f>AND(#REF!,"AAAAAGnP/xA=")</f>
        <v>#REF!</v>
      </c>
      <c r="R58" t="str">
        <f>AND(#REF!,"AAAAAGnP/xE=")</f>
        <v>#REF!</v>
      </c>
      <c r="S58" t="str">
        <f>AND(#REF!,"AAAAAGnP/xI=")</f>
        <v>#REF!</v>
      </c>
      <c r="T58" t="str">
        <f>AND(#REF!,"AAAAAGnP/xM=")</f>
        <v>#REF!</v>
      </c>
      <c r="U58" t="str">
        <f>AND(#REF!,"AAAAAGnP/xQ=")</f>
        <v>#REF!</v>
      </c>
      <c r="V58" t="str">
        <f>AND(#REF!,"AAAAAGnP/xU=")</f>
        <v>#REF!</v>
      </c>
      <c r="W58" t="str">
        <f>AND(#REF!,"AAAAAGnP/xY=")</f>
        <v>#REF!</v>
      </c>
      <c r="X58" t="str">
        <f>AND(#REF!,"AAAAAGnP/xc=")</f>
        <v>#REF!</v>
      </c>
      <c r="Y58" t="str">
        <f>AND(#REF!,"AAAAAGnP/xg=")</f>
        <v>#REF!</v>
      </c>
      <c r="Z58" t="str">
        <f>AND(#REF!,"AAAAAGnP/xk=")</f>
        <v>#REF!</v>
      </c>
      <c r="AA58" t="str">
        <f>AND(#REF!,"AAAAAGnP/xo=")</f>
        <v>#REF!</v>
      </c>
      <c r="AB58" t="str">
        <f>AND(#REF!,"AAAAAGnP/xs=")</f>
        <v>#REF!</v>
      </c>
      <c r="AC58" t="str">
        <f>AND(#REF!,"AAAAAGnP/xw=")</f>
        <v>#REF!</v>
      </c>
      <c r="AD58" t="str">
        <f>AND(#REF!,"AAAAAGnP/x0=")</f>
        <v>#REF!</v>
      </c>
      <c r="AE58" t="str">
        <f>AND(#REF!,"AAAAAGnP/x4=")</f>
        <v>#REF!</v>
      </c>
      <c r="AF58" t="str">
        <f>AND(#REF!,"AAAAAGnP/x8=")</f>
        <v>#REF!</v>
      </c>
      <c r="AG58" t="str">
        <f>AND(#REF!,"AAAAAGnP/yA=")</f>
        <v>#REF!</v>
      </c>
      <c r="AH58" t="str">
        <f>AND(#REF!,"AAAAAGnP/yE=")</f>
        <v>#REF!</v>
      </c>
      <c r="AI58" t="str">
        <f>AND(#REF!,"AAAAAGnP/yI=")</f>
        <v>#REF!</v>
      </c>
      <c r="AJ58" t="str">
        <f>AND(#REF!,"AAAAAGnP/yM=")</f>
        <v>#REF!</v>
      </c>
      <c r="AK58" t="str">
        <f>AND(#REF!,"AAAAAGnP/yQ=")</f>
        <v>#REF!</v>
      </c>
      <c r="AL58" t="str">
        <f>AND(#REF!,"AAAAAGnP/yU=")</f>
        <v>#REF!</v>
      </c>
      <c r="AM58" t="str">
        <f>AND(#REF!,"AAAAAGnP/yY=")</f>
        <v>#REF!</v>
      </c>
      <c r="AN58" t="str">
        <f>AND(#REF!,"AAAAAGnP/yc=")</f>
        <v>#REF!</v>
      </c>
      <c r="AO58" t="str">
        <f>AND(#REF!,"AAAAAGnP/yg=")</f>
        <v>#REF!</v>
      </c>
      <c r="AP58" t="str">
        <f>AND(#REF!,"AAAAAGnP/yk=")</f>
        <v>#REF!</v>
      </c>
      <c r="AQ58" t="str">
        <f>AND(#REF!,"AAAAAGnP/yo=")</f>
        <v>#REF!</v>
      </c>
      <c r="AR58" t="str">
        <f>AND(#REF!,"AAAAAGnP/ys=")</f>
        <v>#REF!</v>
      </c>
      <c r="AS58" t="str">
        <f>AND(#REF!,"AAAAAGnP/yw=")</f>
        <v>#REF!</v>
      </c>
      <c r="AT58" t="str">
        <f>AND(#REF!,"AAAAAGnP/y0=")</f>
        <v>#REF!</v>
      </c>
      <c r="AU58" t="str">
        <f>AND(#REF!,"AAAAAGnP/y4=")</f>
        <v>#REF!</v>
      </c>
      <c r="AV58" t="str">
        <f>IF(#REF!,"AAAAAGnP/y8=",0)</f>
        <v>#REF!</v>
      </c>
      <c r="AW58" t="str">
        <f>AND(#REF!,"AAAAAGnP/zA=")</f>
        <v>#REF!</v>
      </c>
      <c r="AX58" t="str">
        <f>AND(#REF!,"AAAAAGnP/zE=")</f>
        <v>#REF!</v>
      </c>
      <c r="AY58" t="str">
        <f>AND(#REF!,"AAAAAGnP/zI=")</f>
        <v>#REF!</v>
      </c>
      <c r="AZ58" t="str">
        <f>AND(#REF!,"AAAAAGnP/zM=")</f>
        <v>#REF!</v>
      </c>
      <c r="BA58" t="str">
        <f>AND(#REF!,"AAAAAGnP/zQ=")</f>
        <v>#REF!</v>
      </c>
      <c r="BB58" t="str">
        <f>AND(#REF!,"AAAAAGnP/zU=")</f>
        <v>#REF!</v>
      </c>
      <c r="BC58" t="str">
        <f>AND(#REF!,"AAAAAGnP/zY=")</f>
        <v>#REF!</v>
      </c>
      <c r="BD58" t="str">
        <f>AND(#REF!,"AAAAAGnP/zc=")</f>
        <v>#REF!</v>
      </c>
      <c r="BE58" t="str">
        <f>AND(#REF!,"AAAAAGnP/zg=")</f>
        <v>#REF!</v>
      </c>
      <c r="BF58" t="str">
        <f>AND(#REF!,"AAAAAGnP/zk=")</f>
        <v>#REF!</v>
      </c>
      <c r="BG58" t="str">
        <f>AND(#REF!,"AAAAAGnP/zo=")</f>
        <v>#REF!</v>
      </c>
      <c r="BH58" t="str">
        <f>AND(#REF!,"AAAAAGnP/zs=")</f>
        <v>#REF!</v>
      </c>
      <c r="BI58" t="str">
        <f>AND(#REF!,"AAAAAGnP/zw=")</f>
        <v>#REF!</v>
      </c>
      <c r="BJ58" t="str">
        <f>AND(#REF!,"AAAAAGnP/z0=")</f>
        <v>#REF!</v>
      </c>
      <c r="BK58" t="str">
        <f>AND(#REF!,"AAAAAGnP/z4=")</f>
        <v>#REF!</v>
      </c>
      <c r="BL58" t="str">
        <f>AND(#REF!,"AAAAAGnP/z8=")</f>
        <v>#REF!</v>
      </c>
      <c r="BM58" t="str">
        <f>AND(#REF!,"AAAAAGnP/0A=")</f>
        <v>#REF!</v>
      </c>
      <c r="BN58" t="str">
        <f>AND(#REF!,"AAAAAGnP/0E=")</f>
        <v>#REF!</v>
      </c>
      <c r="BO58" t="str">
        <f>AND(#REF!,"AAAAAGnP/0I=")</f>
        <v>#REF!</v>
      </c>
      <c r="BP58" t="str">
        <f>AND(#REF!,"AAAAAGnP/0M=")</f>
        <v>#REF!</v>
      </c>
      <c r="BQ58" t="str">
        <f>AND(#REF!,"AAAAAGnP/0Q=")</f>
        <v>#REF!</v>
      </c>
      <c r="BR58" t="str">
        <f>AND(#REF!,"AAAAAGnP/0U=")</f>
        <v>#REF!</v>
      </c>
      <c r="BS58" t="str">
        <f>AND(#REF!,"AAAAAGnP/0Y=")</f>
        <v>#REF!</v>
      </c>
      <c r="BT58" t="str">
        <f>AND(#REF!,"AAAAAGnP/0c=")</f>
        <v>#REF!</v>
      </c>
      <c r="BU58" t="str">
        <f>AND(#REF!,"AAAAAGnP/0g=")</f>
        <v>#REF!</v>
      </c>
      <c r="BV58" t="str">
        <f>AND(#REF!,"AAAAAGnP/0k=")</f>
        <v>#REF!</v>
      </c>
      <c r="BW58" t="str">
        <f>AND(#REF!,"AAAAAGnP/0o=")</f>
        <v>#REF!</v>
      </c>
      <c r="BX58" t="str">
        <f>AND(#REF!,"AAAAAGnP/0s=")</f>
        <v>#REF!</v>
      </c>
      <c r="BY58" t="str">
        <f>AND(#REF!,"AAAAAGnP/0w=")</f>
        <v>#REF!</v>
      </c>
      <c r="BZ58" t="str">
        <f>AND(#REF!,"AAAAAGnP/00=")</f>
        <v>#REF!</v>
      </c>
      <c r="CA58" t="str">
        <f>AND(#REF!,"AAAAAGnP/04=")</f>
        <v>#REF!</v>
      </c>
      <c r="CB58" t="str">
        <f>AND(#REF!,"AAAAAGnP/08=")</f>
        <v>#REF!</v>
      </c>
      <c r="CC58" t="str">
        <f>AND(#REF!,"AAAAAGnP/1A=")</f>
        <v>#REF!</v>
      </c>
      <c r="CD58" t="str">
        <f>AND(#REF!,"AAAAAGnP/1E=")</f>
        <v>#REF!</v>
      </c>
      <c r="CE58" t="str">
        <f>AND(#REF!,"AAAAAGnP/1I=")</f>
        <v>#REF!</v>
      </c>
      <c r="CF58" t="str">
        <f>AND(#REF!,"AAAAAGnP/1M=")</f>
        <v>#REF!</v>
      </c>
      <c r="CG58" t="str">
        <f>AND(#REF!,"AAAAAGnP/1Q=")</f>
        <v>#REF!</v>
      </c>
      <c r="CH58" t="str">
        <f>AND(#REF!,"AAAAAGnP/1U=")</f>
        <v>#REF!</v>
      </c>
      <c r="CI58" t="str">
        <f>AND(#REF!,"AAAAAGnP/1Y=")</f>
        <v>#REF!</v>
      </c>
      <c r="CJ58" t="str">
        <f>AND(#REF!,"AAAAAGnP/1c=")</f>
        <v>#REF!</v>
      </c>
      <c r="CK58" t="str">
        <f>AND(#REF!,"AAAAAGnP/1g=")</f>
        <v>#REF!</v>
      </c>
      <c r="CL58" t="str">
        <f>AND(#REF!,"AAAAAGnP/1k=")</f>
        <v>#REF!</v>
      </c>
      <c r="CM58" t="str">
        <f>AND(#REF!,"AAAAAGnP/1o=")</f>
        <v>#REF!</v>
      </c>
      <c r="CN58" t="str">
        <f>AND(#REF!,"AAAAAGnP/1s=")</f>
        <v>#REF!</v>
      </c>
      <c r="CO58" t="str">
        <f>AND(#REF!,"AAAAAGnP/1w=")</f>
        <v>#REF!</v>
      </c>
      <c r="CP58" t="str">
        <f>AND(#REF!,"AAAAAGnP/10=")</f>
        <v>#REF!</v>
      </c>
      <c r="CQ58" t="str">
        <f>AND(#REF!,"AAAAAGnP/14=")</f>
        <v>#REF!</v>
      </c>
      <c r="CR58" t="str">
        <f>AND(#REF!,"AAAAAGnP/18=")</f>
        <v>#REF!</v>
      </c>
      <c r="CS58" t="str">
        <f>AND(#REF!,"AAAAAGnP/2A=")</f>
        <v>#REF!</v>
      </c>
      <c r="CT58" t="str">
        <f>AND(#REF!,"AAAAAGnP/2E=")</f>
        <v>#REF!</v>
      </c>
      <c r="CU58" t="str">
        <f>AND(#REF!,"AAAAAGnP/2I=")</f>
        <v>#REF!</v>
      </c>
      <c r="CV58" t="str">
        <f>AND(#REF!,"AAAAAGnP/2M=")</f>
        <v>#REF!</v>
      </c>
      <c r="CW58" t="str">
        <f>AND(#REF!,"AAAAAGnP/2Q=")</f>
        <v>#REF!</v>
      </c>
      <c r="CX58" t="str">
        <f>AND(#REF!,"AAAAAGnP/2U=")</f>
        <v>#REF!</v>
      </c>
      <c r="CY58" t="str">
        <f>AND(#REF!,"AAAAAGnP/2Y=")</f>
        <v>#REF!</v>
      </c>
      <c r="CZ58" t="str">
        <f>AND(#REF!,"AAAAAGnP/2c=")</f>
        <v>#REF!</v>
      </c>
      <c r="DA58" t="str">
        <f>AND(#REF!,"AAAAAGnP/2g=")</f>
        <v>#REF!</v>
      </c>
      <c r="DB58" t="str">
        <f>AND(#REF!,"AAAAAGnP/2k=")</f>
        <v>#REF!</v>
      </c>
      <c r="DC58" t="str">
        <f>AND(#REF!,"AAAAAGnP/2o=")</f>
        <v>#REF!</v>
      </c>
      <c r="DD58" t="str">
        <f>AND(#REF!,"AAAAAGnP/2s=")</f>
        <v>#REF!</v>
      </c>
      <c r="DE58" t="str">
        <f>AND(#REF!,"AAAAAGnP/2w=")</f>
        <v>#REF!</v>
      </c>
      <c r="DF58" t="str">
        <f>AND(#REF!,"AAAAAGnP/20=")</f>
        <v>#REF!</v>
      </c>
      <c r="DG58" t="str">
        <f>AND(#REF!,"AAAAAGnP/24=")</f>
        <v>#REF!</v>
      </c>
      <c r="DH58" t="str">
        <f>AND(#REF!,"AAAAAGnP/28=")</f>
        <v>#REF!</v>
      </c>
      <c r="DI58" t="str">
        <f>AND(#REF!,"AAAAAGnP/3A=")</f>
        <v>#REF!</v>
      </c>
      <c r="DJ58" t="str">
        <f>AND(#REF!,"AAAAAGnP/3E=")</f>
        <v>#REF!</v>
      </c>
      <c r="DK58" t="str">
        <f>AND(#REF!,"AAAAAGnP/3I=")</f>
        <v>#REF!</v>
      </c>
      <c r="DL58" t="str">
        <f>AND(#REF!,"AAAAAGnP/3M=")</f>
        <v>#REF!</v>
      </c>
      <c r="DM58" t="str">
        <f>AND(#REF!,"AAAAAGnP/3Q=")</f>
        <v>#REF!</v>
      </c>
      <c r="DN58" t="str">
        <f>AND(#REF!,"AAAAAGnP/3U=")</f>
        <v>#REF!</v>
      </c>
      <c r="DO58" t="str">
        <f>AND(#REF!,"AAAAAGnP/3Y=")</f>
        <v>#REF!</v>
      </c>
      <c r="DP58" t="str">
        <f>AND(#REF!,"AAAAAGnP/3c=")</f>
        <v>#REF!</v>
      </c>
      <c r="DQ58" t="str">
        <f>AND(#REF!,"AAAAAGnP/3g=")</f>
        <v>#REF!</v>
      </c>
      <c r="DR58" t="str">
        <f>AND(#REF!,"AAAAAGnP/3k=")</f>
        <v>#REF!</v>
      </c>
      <c r="DS58" t="str">
        <f>AND(#REF!,"AAAAAGnP/3o=")</f>
        <v>#REF!</v>
      </c>
      <c r="DT58" t="str">
        <f>IF(#REF!,"AAAAAGnP/3s=",0)</f>
        <v>#REF!</v>
      </c>
      <c r="DU58" t="str">
        <f>AND(#REF!,"AAAAAGnP/3w=")</f>
        <v>#REF!</v>
      </c>
      <c r="DV58" t="str">
        <f>AND(#REF!,"AAAAAGnP/30=")</f>
        <v>#REF!</v>
      </c>
      <c r="DW58" t="str">
        <f>AND(#REF!,"AAAAAGnP/34=")</f>
        <v>#REF!</v>
      </c>
      <c r="DX58" t="str">
        <f>AND(#REF!,"AAAAAGnP/38=")</f>
        <v>#REF!</v>
      </c>
      <c r="DY58" t="str">
        <f>AND(#REF!,"AAAAAGnP/4A=")</f>
        <v>#REF!</v>
      </c>
      <c r="DZ58" t="str">
        <f>AND(#REF!,"AAAAAGnP/4E=")</f>
        <v>#REF!</v>
      </c>
      <c r="EA58" t="str">
        <f>AND(#REF!,"AAAAAGnP/4I=")</f>
        <v>#REF!</v>
      </c>
      <c r="EB58" t="str">
        <f>AND(#REF!,"AAAAAGnP/4M=")</f>
        <v>#REF!</v>
      </c>
      <c r="EC58" t="str">
        <f>AND(#REF!,"AAAAAGnP/4Q=")</f>
        <v>#REF!</v>
      </c>
      <c r="ED58" t="str">
        <f>AND(#REF!,"AAAAAGnP/4U=")</f>
        <v>#REF!</v>
      </c>
      <c r="EE58" t="str">
        <f>AND(#REF!,"AAAAAGnP/4Y=")</f>
        <v>#REF!</v>
      </c>
      <c r="EF58" t="str">
        <f>AND(#REF!,"AAAAAGnP/4c=")</f>
        <v>#REF!</v>
      </c>
      <c r="EG58" t="str">
        <f>AND(#REF!,"AAAAAGnP/4g=")</f>
        <v>#REF!</v>
      </c>
      <c r="EH58" t="str">
        <f>AND(#REF!,"AAAAAGnP/4k=")</f>
        <v>#REF!</v>
      </c>
      <c r="EI58" t="str">
        <f>AND(#REF!,"AAAAAGnP/4o=")</f>
        <v>#REF!</v>
      </c>
      <c r="EJ58" t="str">
        <f>AND(#REF!,"AAAAAGnP/4s=")</f>
        <v>#REF!</v>
      </c>
      <c r="EK58" t="str">
        <f>AND(#REF!,"AAAAAGnP/4w=")</f>
        <v>#REF!</v>
      </c>
      <c r="EL58" t="str">
        <f>AND(#REF!,"AAAAAGnP/40=")</f>
        <v>#REF!</v>
      </c>
      <c r="EM58" t="str">
        <f>AND(#REF!,"AAAAAGnP/44=")</f>
        <v>#REF!</v>
      </c>
      <c r="EN58" t="str">
        <f>AND(#REF!,"AAAAAGnP/48=")</f>
        <v>#REF!</v>
      </c>
      <c r="EO58" t="str">
        <f>AND(#REF!,"AAAAAGnP/5A=")</f>
        <v>#REF!</v>
      </c>
      <c r="EP58" t="str">
        <f>AND(#REF!,"AAAAAGnP/5E=")</f>
        <v>#REF!</v>
      </c>
      <c r="EQ58" t="str">
        <f>AND(#REF!,"AAAAAGnP/5I=")</f>
        <v>#REF!</v>
      </c>
      <c r="ER58" t="str">
        <f>AND(#REF!,"AAAAAGnP/5M=")</f>
        <v>#REF!</v>
      </c>
      <c r="ES58" t="str">
        <f>AND(#REF!,"AAAAAGnP/5Q=")</f>
        <v>#REF!</v>
      </c>
      <c r="ET58" t="str">
        <f>AND(#REF!,"AAAAAGnP/5U=")</f>
        <v>#REF!</v>
      </c>
      <c r="EU58" t="str">
        <f>AND(#REF!,"AAAAAGnP/5Y=")</f>
        <v>#REF!</v>
      </c>
      <c r="EV58" t="str">
        <f>AND(#REF!,"AAAAAGnP/5c=")</f>
        <v>#REF!</v>
      </c>
      <c r="EW58" t="str">
        <f>AND(#REF!,"AAAAAGnP/5g=")</f>
        <v>#REF!</v>
      </c>
      <c r="EX58" t="str">
        <f>AND(#REF!,"AAAAAGnP/5k=")</f>
        <v>#REF!</v>
      </c>
      <c r="EY58" t="str">
        <f>AND(#REF!,"AAAAAGnP/5o=")</f>
        <v>#REF!</v>
      </c>
      <c r="EZ58" t="str">
        <f>AND(#REF!,"AAAAAGnP/5s=")</f>
        <v>#REF!</v>
      </c>
      <c r="FA58" t="str">
        <f>AND(#REF!,"AAAAAGnP/5w=")</f>
        <v>#REF!</v>
      </c>
      <c r="FB58" t="str">
        <f>AND(#REF!,"AAAAAGnP/50=")</f>
        <v>#REF!</v>
      </c>
      <c r="FC58" t="str">
        <f>AND(#REF!,"AAAAAGnP/54=")</f>
        <v>#REF!</v>
      </c>
      <c r="FD58" t="str">
        <f>AND(#REF!,"AAAAAGnP/58=")</f>
        <v>#REF!</v>
      </c>
      <c r="FE58" t="str">
        <f>AND(#REF!,"AAAAAGnP/6A=")</f>
        <v>#REF!</v>
      </c>
      <c r="FF58" t="str">
        <f>AND(#REF!,"AAAAAGnP/6E=")</f>
        <v>#REF!</v>
      </c>
      <c r="FG58" t="str">
        <f>AND(#REF!,"AAAAAGnP/6I=")</f>
        <v>#REF!</v>
      </c>
      <c r="FH58" t="str">
        <f>AND(#REF!,"AAAAAGnP/6M=")</f>
        <v>#REF!</v>
      </c>
      <c r="FI58" t="str">
        <f>AND(#REF!,"AAAAAGnP/6Q=")</f>
        <v>#REF!</v>
      </c>
      <c r="FJ58" t="str">
        <f>AND(#REF!,"AAAAAGnP/6U=")</f>
        <v>#REF!</v>
      </c>
      <c r="FK58" t="str">
        <f>AND(#REF!,"AAAAAGnP/6Y=")</f>
        <v>#REF!</v>
      </c>
      <c r="FL58" t="str">
        <f>AND(#REF!,"AAAAAGnP/6c=")</f>
        <v>#REF!</v>
      </c>
      <c r="FM58" t="str">
        <f>AND(#REF!,"AAAAAGnP/6g=")</f>
        <v>#REF!</v>
      </c>
      <c r="FN58" t="str">
        <f>AND(#REF!,"AAAAAGnP/6k=")</f>
        <v>#REF!</v>
      </c>
      <c r="FO58" t="str">
        <f>AND(#REF!,"AAAAAGnP/6o=")</f>
        <v>#REF!</v>
      </c>
      <c r="FP58" t="str">
        <f>AND(#REF!,"AAAAAGnP/6s=")</f>
        <v>#REF!</v>
      </c>
      <c r="FQ58" t="str">
        <f>AND(#REF!,"AAAAAGnP/6w=")</f>
        <v>#REF!</v>
      </c>
      <c r="FR58" t="str">
        <f>AND(#REF!,"AAAAAGnP/60=")</f>
        <v>#REF!</v>
      </c>
      <c r="FS58" t="str">
        <f>AND(#REF!,"AAAAAGnP/64=")</f>
        <v>#REF!</v>
      </c>
      <c r="FT58" t="str">
        <f>AND(#REF!,"AAAAAGnP/68=")</f>
        <v>#REF!</v>
      </c>
      <c r="FU58" t="str">
        <f>AND(#REF!,"AAAAAGnP/7A=")</f>
        <v>#REF!</v>
      </c>
      <c r="FV58" t="str">
        <f>AND(#REF!,"AAAAAGnP/7E=")</f>
        <v>#REF!</v>
      </c>
      <c r="FW58" t="str">
        <f>AND(#REF!,"AAAAAGnP/7I=")</f>
        <v>#REF!</v>
      </c>
      <c r="FX58" t="str">
        <f>AND(#REF!,"AAAAAGnP/7M=")</f>
        <v>#REF!</v>
      </c>
      <c r="FY58" t="str">
        <f>AND(#REF!,"AAAAAGnP/7Q=")</f>
        <v>#REF!</v>
      </c>
      <c r="FZ58" t="str">
        <f>AND(#REF!,"AAAAAGnP/7U=")</f>
        <v>#REF!</v>
      </c>
      <c r="GA58" t="str">
        <f>AND(#REF!,"AAAAAGnP/7Y=")</f>
        <v>#REF!</v>
      </c>
      <c r="GB58" t="str">
        <f>AND(#REF!,"AAAAAGnP/7c=")</f>
        <v>#REF!</v>
      </c>
      <c r="GC58" t="str">
        <f>AND(#REF!,"AAAAAGnP/7g=")</f>
        <v>#REF!</v>
      </c>
      <c r="GD58" t="str">
        <f>AND(#REF!,"AAAAAGnP/7k=")</f>
        <v>#REF!</v>
      </c>
      <c r="GE58" t="str">
        <f>AND(#REF!,"AAAAAGnP/7o=")</f>
        <v>#REF!</v>
      </c>
      <c r="GF58" t="str">
        <f>AND(#REF!,"AAAAAGnP/7s=")</f>
        <v>#REF!</v>
      </c>
      <c r="GG58" t="str">
        <f>AND(#REF!,"AAAAAGnP/7w=")</f>
        <v>#REF!</v>
      </c>
      <c r="GH58" t="str">
        <f>AND(#REF!,"AAAAAGnP/70=")</f>
        <v>#REF!</v>
      </c>
      <c r="GI58" t="str">
        <f>AND(#REF!,"AAAAAGnP/74=")</f>
        <v>#REF!</v>
      </c>
      <c r="GJ58" t="str">
        <f>AND(#REF!,"AAAAAGnP/78=")</f>
        <v>#REF!</v>
      </c>
      <c r="GK58" t="str">
        <f>AND(#REF!,"AAAAAGnP/8A=")</f>
        <v>#REF!</v>
      </c>
      <c r="GL58" t="str">
        <f>AND(#REF!,"AAAAAGnP/8E=")</f>
        <v>#REF!</v>
      </c>
      <c r="GM58" t="str">
        <f>AND(#REF!,"AAAAAGnP/8I=")</f>
        <v>#REF!</v>
      </c>
      <c r="GN58" t="str">
        <f>AND(#REF!,"AAAAAGnP/8M=")</f>
        <v>#REF!</v>
      </c>
      <c r="GO58" t="str">
        <f>AND(#REF!,"AAAAAGnP/8Q=")</f>
        <v>#REF!</v>
      </c>
      <c r="GP58" t="str">
        <f>AND(#REF!,"AAAAAGnP/8U=")</f>
        <v>#REF!</v>
      </c>
      <c r="GQ58" t="str">
        <f>AND(#REF!,"AAAAAGnP/8Y=")</f>
        <v>#REF!</v>
      </c>
      <c r="GR58" t="str">
        <f>IF(#REF!,"AAAAAGnP/8c=",0)</f>
        <v>#REF!</v>
      </c>
      <c r="GS58" t="str">
        <f>AND(#REF!,"AAAAAGnP/8g=")</f>
        <v>#REF!</v>
      </c>
      <c r="GT58" t="str">
        <f>AND(#REF!,"AAAAAGnP/8k=")</f>
        <v>#REF!</v>
      </c>
      <c r="GU58" t="str">
        <f>AND(#REF!,"AAAAAGnP/8o=")</f>
        <v>#REF!</v>
      </c>
      <c r="GV58" t="str">
        <f>AND(#REF!,"AAAAAGnP/8s=")</f>
        <v>#REF!</v>
      </c>
      <c r="GW58" t="str">
        <f>AND(#REF!,"AAAAAGnP/8w=")</f>
        <v>#REF!</v>
      </c>
      <c r="GX58" t="str">
        <f>AND(#REF!,"AAAAAGnP/80=")</f>
        <v>#REF!</v>
      </c>
      <c r="GY58" t="str">
        <f>AND(#REF!,"AAAAAGnP/84=")</f>
        <v>#REF!</v>
      </c>
      <c r="GZ58" t="str">
        <f>AND(#REF!,"AAAAAGnP/88=")</f>
        <v>#REF!</v>
      </c>
      <c r="HA58" t="str">
        <f>AND(#REF!,"AAAAAGnP/9A=")</f>
        <v>#REF!</v>
      </c>
      <c r="HB58" t="str">
        <f>AND(#REF!,"AAAAAGnP/9E=")</f>
        <v>#REF!</v>
      </c>
      <c r="HC58" t="str">
        <f>AND(#REF!,"AAAAAGnP/9I=")</f>
        <v>#REF!</v>
      </c>
      <c r="HD58" t="str">
        <f>AND(#REF!,"AAAAAGnP/9M=")</f>
        <v>#REF!</v>
      </c>
      <c r="HE58" t="str">
        <f>AND(#REF!,"AAAAAGnP/9Q=")</f>
        <v>#REF!</v>
      </c>
      <c r="HF58" t="str">
        <f>AND(#REF!,"AAAAAGnP/9U=")</f>
        <v>#REF!</v>
      </c>
      <c r="HG58" t="str">
        <f>AND(#REF!,"AAAAAGnP/9Y=")</f>
        <v>#REF!</v>
      </c>
      <c r="HH58" t="str">
        <f>AND(#REF!,"AAAAAGnP/9c=")</f>
        <v>#REF!</v>
      </c>
      <c r="HI58" t="str">
        <f>AND(#REF!,"AAAAAGnP/9g=")</f>
        <v>#REF!</v>
      </c>
      <c r="HJ58" t="str">
        <f>AND(#REF!,"AAAAAGnP/9k=")</f>
        <v>#REF!</v>
      </c>
      <c r="HK58" t="str">
        <f>AND(#REF!,"AAAAAGnP/9o=")</f>
        <v>#REF!</v>
      </c>
      <c r="HL58" t="str">
        <f>AND(#REF!,"AAAAAGnP/9s=")</f>
        <v>#REF!</v>
      </c>
      <c r="HM58" t="str">
        <f>AND(#REF!,"AAAAAGnP/9w=")</f>
        <v>#REF!</v>
      </c>
      <c r="HN58" t="str">
        <f>AND(#REF!,"AAAAAGnP/90=")</f>
        <v>#REF!</v>
      </c>
      <c r="HO58" t="str">
        <f>AND(#REF!,"AAAAAGnP/94=")</f>
        <v>#REF!</v>
      </c>
      <c r="HP58" t="str">
        <f>AND(#REF!,"AAAAAGnP/98=")</f>
        <v>#REF!</v>
      </c>
      <c r="HQ58" t="str">
        <f>AND(#REF!,"AAAAAGnP/+A=")</f>
        <v>#REF!</v>
      </c>
      <c r="HR58" t="str">
        <f>AND(#REF!,"AAAAAGnP/+E=")</f>
        <v>#REF!</v>
      </c>
      <c r="HS58" t="str">
        <f>AND(#REF!,"AAAAAGnP/+I=")</f>
        <v>#REF!</v>
      </c>
      <c r="HT58" t="str">
        <f>AND(#REF!,"AAAAAGnP/+M=")</f>
        <v>#REF!</v>
      </c>
      <c r="HU58" t="str">
        <f>AND(#REF!,"AAAAAGnP/+Q=")</f>
        <v>#REF!</v>
      </c>
      <c r="HV58" t="str">
        <f>AND(#REF!,"AAAAAGnP/+U=")</f>
        <v>#REF!</v>
      </c>
      <c r="HW58" t="str">
        <f>AND(#REF!,"AAAAAGnP/+Y=")</f>
        <v>#REF!</v>
      </c>
      <c r="HX58" t="str">
        <f>AND(#REF!,"AAAAAGnP/+c=")</f>
        <v>#REF!</v>
      </c>
      <c r="HY58" t="str">
        <f>AND(#REF!,"AAAAAGnP/+g=")</f>
        <v>#REF!</v>
      </c>
      <c r="HZ58" t="str">
        <f>AND(#REF!,"AAAAAGnP/+k=")</f>
        <v>#REF!</v>
      </c>
      <c r="IA58" t="str">
        <f>AND(#REF!,"AAAAAGnP/+o=")</f>
        <v>#REF!</v>
      </c>
      <c r="IB58" t="str">
        <f>AND(#REF!,"AAAAAGnP/+s=")</f>
        <v>#REF!</v>
      </c>
      <c r="IC58" t="str">
        <f>AND(#REF!,"AAAAAGnP/+w=")</f>
        <v>#REF!</v>
      </c>
      <c r="ID58" t="str">
        <f>AND(#REF!,"AAAAAGnP/+0=")</f>
        <v>#REF!</v>
      </c>
      <c r="IE58" t="str">
        <f>AND(#REF!,"AAAAAGnP/+4=")</f>
        <v>#REF!</v>
      </c>
      <c r="IF58" t="str">
        <f>AND(#REF!,"AAAAAGnP/+8=")</f>
        <v>#REF!</v>
      </c>
      <c r="IG58" t="str">
        <f>AND(#REF!,"AAAAAGnP//A=")</f>
        <v>#REF!</v>
      </c>
      <c r="IH58" t="str">
        <f>AND(#REF!,"AAAAAGnP//E=")</f>
        <v>#REF!</v>
      </c>
      <c r="II58" t="str">
        <f>AND(#REF!,"AAAAAGnP//I=")</f>
        <v>#REF!</v>
      </c>
      <c r="IJ58" t="str">
        <f>AND(#REF!,"AAAAAGnP//M=")</f>
        <v>#REF!</v>
      </c>
      <c r="IK58" t="str">
        <f>AND(#REF!,"AAAAAGnP//Q=")</f>
        <v>#REF!</v>
      </c>
      <c r="IL58" t="str">
        <f>AND(#REF!,"AAAAAGnP//U=")</f>
        <v>#REF!</v>
      </c>
      <c r="IM58" t="str">
        <f>AND(#REF!,"AAAAAGnP//Y=")</f>
        <v>#REF!</v>
      </c>
      <c r="IN58" t="str">
        <f>AND(#REF!,"AAAAAGnP//c=")</f>
        <v>#REF!</v>
      </c>
      <c r="IO58" t="str">
        <f>AND(#REF!,"AAAAAGnP//g=")</f>
        <v>#REF!</v>
      </c>
      <c r="IP58" t="str">
        <f>AND(#REF!,"AAAAAGnP//k=")</f>
        <v>#REF!</v>
      </c>
      <c r="IQ58" t="str">
        <f>AND(#REF!,"AAAAAGnP//o=")</f>
        <v>#REF!</v>
      </c>
      <c r="IR58" t="str">
        <f>AND(#REF!,"AAAAAGnP//s=")</f>
        <v>#REF!</v>
      </c>
      <c r="IS58" t="str">
        <f>AND(#REF!,"AAAAAGnP//w=")</f>
        <v>#REF!</v>
      </c>
      <c r="IT58" t="str">
        <f>AND(#REF!,"AAAAAGnP//0=")</f>
        <v>#REF!</v>
      </c>
      <c r="IU58" t="str">
        <f>AND(#REF!,"AAAAAGnP//4=")</f>
        <v>#REF!</v>
      </c>
      <c r="IV58" t="str">
        <f>AND(#REF!,"AAAAAGnP//8=")</f>
        <v>#REF!</v>
      </c>
    </row>
    <row r="59" ht="15.75" customHeight="1">
      <c r="A59" t="str">
        <f>AND(#REF!,"AAAAAD/9fQA=")</f>
        <v>#REF!</v>
      </c>
      <c r="B59" t="str">
        <f>AND(#REF!,"AAAAAD/9fQE=")</f>
        <v>#REF!</v>
      </c>
      <c r="C59" t="str">
        <f>AND(#REF!,"AAAAAD/9fQI=")</f>
        <v>#REF!</v>
      </c>
      <c r="D59" t="str">
        <f>AND(#REF!,"AAAAAD/9fQM=")</f>
        <v>#REF!</v>
      </c>
      <c r="E59" t="str">
        <f>AND(#REF!,"AAAAAD/9fQQ=")</f>
        <v>#REF!</v>
      </c>
      <c r="F59" t="str">
        <f>AND(#REF!,"AAAAAD/9fQU=")</f>
        <v>#REF!</v>
      </c>
      <c r="G59" t="str">
        <f>AND(#REF!,"AAAAAD/9fQY=")</f>
        <v>#REF!</v>
      </c>
      <c r="H59" t="str">
        <f>AND(#REF!,"AAAAAD/9fQc=")</f>
        <v>#REF!</v>
      </c>
      <c r="I59" t="str">
        <f>AND(#REF!,"AAAAAD/9fQg=")</f>
        <v>#REF!</v>
      </c>
      <c r="J59" t="str">
        <f>AND(#REF!,"AAAAAD/9fQk=")</f>
        <v>#REF!</v>
      </c>
      <c r="K59" t="str">
        <f>AND(#REF!,"AAAAAD/9fQo=")</f>
        <v>#REF!</v>
      </c>
      <c r="L59" t="str">
        <f>AND(#REF!,"AAAAAD/9fQs=")</f>
        <v>#REF!</v>
      </c>
      <c r="M59" t="str">
        <f>AND(#REF!,"AAAAAD/9fQw=")</f>
        <v>#REF!</v>
      </c>
      <c r="N59" t="str">
        <f>AND(#REF!,"AAAAAD/9fQ0=")</f>
        <v>#REF!</v>
      </c>
      <c r="O59" t="str">
        <f>AND(#REF!,"AAAAAD/9fQ4=")</f>
        <v>#REF!</v>
      </c>
      <c r="P59" t="str">
        <f>AND(#REF!,"AAAAAD/9fQ8=")</f>
        <v>#REF!</v>
      </c>
      <c r="Q59" t="str">
        <f>AND(#REF!,"AAAAAD/9fRA=")</f>
        <v>#REF!</v>
      </c>
      <c r="R59" t="str">
        <f>AND(#REF!,"AAAAAD/9fRE=")</f>
        <v>#REF!</v>
      </c>
      <c r="S59" t="str">
        <f>AND(#REF!,"AAAAAD/9fRI=")</f>
        <v>#REF!</v>
      </c>
      <c r="T59" t="str">
        <f>IF(#REF!,"AAAAAD/9fRM=",0)</f>
        <v>#REF!</v>
      </c>
      <c r="U59" t="str">
        <f>AND(#REF!,"AAAAAD/9fRQ=")</f>
        <v>#REF!</v>
      </c>
      <c r="V59" t="str">
        <f>AND(#REF!,"AAAAAD/9fRU=")</f>
        <v>#REF!</v>
      </c>
      <c r="W59" t="str">
        <f>AND(#REF!,"AAAAAD/9fRY=")</f>
        <v>#REF!</v>
      </c>
      <c r="X59" t="str">
        <f>AND(#REF!,"AAAAAD/9fRc=")</f>
        <v>#REF!</v>
      </c>
      <c r="Y59" t="str">
        <f>AND(#REF!,"AAAAAD/9fRg=")</f>
        <v>#REF!</v>
      </c>
      <c r="Z59" t="str">
        <f>AND(#REF!,"AAAAAD/9fRk=")</f>
        <v>#REF!</v>
      </c>
      <c r="AA59" t="str">
        <f>AND(#REF!,"AAAAAD/9fRo=")</f>
        <v>#REF!</v>
      </c>
      <c r="AB59" t="str">
        <f>AND(#REF!,"AAAAAD/9fRs=")</f>
        <v>#REF!</v>
      </c>
      <c r="AC59" t="str">
        <f>AND(#REF!,"AAAAAD/9fRw=")</f>
        <v>#REF!</v>
      </c>
      <c r="AD59" t="str">
        <f>AND(#REF!,"AAAAAD/9fR0=")</f>
        <v>#REF!</v>
      </c>
      <c r="AE59" t="str">
        <f>AND(#REF!,"AAAAAD/9fR4=")</f>
        <v>#REF!</v>
      </c>
      <c r="AF59" t="str">
        <f>AND(#REF!,"AAAAAD/9fR8=")</f>
        <v>#REF!</v>
      </c>
      <c r="AG59" t="str">
        <f>AND(#REF!,"AAAAAD/9fSA=")</f>
        <v>#REF!</v>
      </c>
      <c r="AH59" t="str">
        <f>AND(#REF!,"AAAAAD/9fSE=")</f>
        <v>#REF!</v>
      </c>
      <c r="AI59" t="str">
        <f>AND(#REF!,"AAAAAD/9fSI=")</f>
        <v>#REF!</v>
      </c>
      <c r="AJ59" t="str">
        <f>AND(#REF!,"AAAAAD/9fSM=")</f>
        <v>#REF!</v>
      </c>
      <c r="AK59" t="str">
        <f>AND(#REF!,"AAAAAD/9fSQ=")</f>
        <v>#REF!</v>
      </c>
      <c r="AL59" t="str">
        <f>AND(#REF!,"AAAAAD/9fSU=")</f>
        <v>#REF!</v>
      </c>
      <c r="AM59" t="str">
        <f>AND(#REF!,"AAAAAD/9fSY=")</f>
        <v>#REF!</v>
      </c>
      <c r="AN59" t="str">
        <f>AND(#REF!,"AAAAAD/9fSc=")</f>
        <v>#REF!</v>
      </c>
      <c r="AO59" t="str">
        <f>AND(#REF!,"AAAAAD/9fSg=")</f>
        <v>#REF!</v>
      </c>
      <c r="AP59" t="str">
        <f>AND(#REF!,"AAAAAD/9fSk=")</f>
        <v>#REF!</v>
      </c>
      <c r="AQ59" t="str">
        <f>AND(#REF!,"AAAAAD/9fSo=")</f>
        <v>#REF!</v>
      </c>
      <c r="AR59" t="str">
        <f>AND(#REF!,"AAAAAD/9fSs=")</f>
        <v>#REF!</v>
      </c>
      <c r="AS59" t="str">
        <f>AND(#REF!,"AAAAAD/9fSw=")</f>
        <v>#REF!</v>
      </c>
      <c r="AT59" t="str">
        <f>AND(#REF!,"AAAAAD/9fS0=")</f>
        <v>#REF!</v>
      </c>
      <c r="AU59" t="str">
        <f>AND(#REF!,"AAAAAD/9fS4=")</f>
        <v>#REF!</v>
      </c>
      <c r="AV59" t="str">
        <f>AND(#REF!,"AAAAAD/9fS8=")</f>
        <v>#REF!</v>
      </c>
      <c r="AW59" t="str">
        <f>AND(#REF!,"AAAAAD/9fTA=")</f>
        <v>#REF!</v>
      </c>
      <c r="AX59" t="str">
        <f>AND(#REF!,"AAAAAD/9fTE=")</f>
        <v>#REF!</v>
      </c>
      <c r="AY59" t="str">
        <f>AND(#REF!,"AAAAAD/9fTI=")</f>
        <v>#REF!</v>
      </c>
      <c r="AZ59" t="str">
        <f>AND(#REF!,"AAAAAD/9fTM=")</f>
        <v>#REF!</v>
      </c>
      <c r="BA59" t="str">
        <f>AND(#REF!,"AAAAAD/9fTQ=")</f>
        <v>#REF!</v>
      </c>
      <c r="BB59" t="str">
        <f>AND(#REF!,"AAAAAD/9fTU=")</f>
        <v>#REF!</v>
      </c>
      <c r="BC59" t="str">
        <f>AND(#REF!,"AAAAAD/9fTY=")</f>
        <v>#REF!</v>
      </c>
      <c r="BD59" t="str">
        <f>AND(#REF!,"AAAAAD/9fTc=")</f>
        <v>#REF!</v>
      </c>
      <c r="BE59" t="str">
        <f>AND(#REF!,"AAAAAD/9fTg=")</f>
        <v>#REF!</v>
      </c>
      <c r="BF59" t="str">
        <f>AND(#REF!,"AAAAAD/9fTk=")</f>
        <v>#REF!</v>
      </c>
      <c r="BG59" t="str">
        <f>AND(#REF!,"AAAAAD/9fTo=")</f>
        <v>#REF!</v>
      </c>
      <c r="BH59" t="str">
        <f>AND(#REF!,"AAAAAD/9fTs=")</f>
        <v>#REF!</v>
      </c>
      <c r="BI59" t="str">
        <f>AND(#REF!,"AAAAAD/9fTw=")</f>
        <v>#REF!</v>
      </c>
      <c r="BJ59" t="str">
        <f>AND(#REF!,"AAAAAD/9fT0=")</f>
        <v>#REF!</v>
      </c>
      <c r="BK59" t="str">
        <f>AND(#REF!,"AAAAAD/9fT4=")</f>
        <v>#REF!</v>
      </c>
      <c r="BL59" t="str">
        <f>AND(#REF!,"AAAAAD/9fT8=")</f>
        <v>#REF!</v>
      </c>
      <c r="BM59" t="str">
        <f>AND(#REF!,"AAAAAD/9fUA=")</f>
        <v>#REF!</v>
      </c>
      <c r="BN59" t="str">
        <f>AND(#REF!,"AAAAAD/9fUE=")</f>
        <v>#REF!</v>
      </c>
      <c r="BO59" t="str">
        <f>AND(#REF!,"AAAAAD/9fUI=")</f>
        <v>#REF!</v>
      </c>
      <c r="BP59" t="str">
        <f>AND(#REF!,"AAAAAD/9fUM=")</f>
        <v>#REF!</v>
      </c>
      <c r="BQ59" t="str">
        <f>AND(#REF!,"AAAAAD/9fUQ=")</f>
        <v>#REF!</v>
      </c>
      <c r="BR59" t="str">
        <f>AND(#REF!,"AAAAAD/9fUU=")</f>
        <v>#REF!</v>
      </c>
      <c r="BS59" t="str">
        <f>AND(#REF!,"AAAAAD/9fUY=")</f>
        <v>#REF!</v>
      </c>
      <c r="BT59" t="str">
        <f>AND(#REF!,"AAAAAD/9fUc=")</f>
        <v>#REF!</v>
      </c>
      <c r="BU59" t="str">
        <f>AND(#REF!,"AAAAAD/9fUg=")</f>
        <v>#REF!</v>
      </c>
      <c r="BV59" t="str">
        <f>AND(#REF!,"AAAAAD/9fUk=")</f>
        <v>#REF!</v>
      </c>
      <c r="BW59" t="str">
        <f>AND(#REF!,"AAAAAD/9fUo=")</f>
        <v>#REF!</v>
      </c>
      <c r="BX59" t="str">
        <f>AND(#REF!,"AAAAAD/9fUs=")</f>
        <v>#REF!</v>
      </c>
      <c r="BY59" t="str">
        <f>AND(#REF!,"AAAAAD/9fUw=")</f>
        <v>#REF!</v>
      </c>
      <c r="BZ59" t="str">
        <f>AND(#REF!,"AAAAAD/9fU0=")</f>
        <v>#REF!</v>
      </c>
      <c r="CA59" t="str">
        <f>AND(#REF!,"AAAAAD/9fU4=")</f>
        <v>#REF!</v>
      </c>
      <c r="CB59" t="str">
        <f>AND(#REF!,"AAAAAD/9fU8=")</f>
        <v>#REF!</v>
      </c>
      <c r="CC59" t="str">
        <f>AND(#REF!,"AAAAAD/9fVA=")</f>
        <v>#REF!</v>
      </c>
      <c r="CD59" t="str">
        <f>AND(#REF!,"AAAAAD/9fVE=")</f>
        <v>#REF!</v>
      </c>
      <c r="CE59" t="str">
        <f>AND(#REF!,"AAAAAD/9fVI=")</f>
        <v>#REF!</v>
      </c>
      <c r="CF59" t="str">
        <f>AND(#REF!,"AAAAAD/9fVM=")</f>
        <v>#REF!</v>
      </c>
      <c r="CG59" t="str">
        <f>AND(#REF!,"AAAAAD/9fVQ=")</f>
        <v>#REF!</v>
      </c>
      <c r="CH59" t="str">
        <f>AND(#REF!,"AAAAAD/9fVU=")</f>
        <v>#REF!</v>
      </c>
      <c r="CI59" t="str">
        <f>AND(#REF!,"AAAAAD/9fVY=")</f>
        <v>#REF!</v>
      </c>
      <c r="CJ59" t="str">
        <f>AND(#REF!,"AAAAAD/9fVc=")</f>
        <v>#REF!</v>
      </c>
      <c r="CK59" t="str">
        <f>AND(#REF!,"AAAAAD/9fVg=")</f>
        <v>#REF!</v>
      </c>
      <c r="CL59" t="str">
        <f>AND(#REF!,"AAAAAD/9fVk=")</f>
        <v>#REF!</v>
      </c>
      <c r="CM59" t="str">
        <f>AND(#REF!,"AAAAAD/9fVo=")</f>
        <v>#REF!</v>
      </c>
      <c r="CN59" t="str">
        <f>AND(#REF!,"AAAAAD/9fVs=")</f>
        <v>#REF!</v>
      </c>
      <c r="CO59" t="str">
        <f>AND(#REF!,"AAAAAD/9fVw=")</f>
        <v>#REF!</v>
      </c>
      <c r="CP59" t="str">
        <f>AND(#REF!,"AAAAAD/9fV0=")</f>
        <v>#REF!</v>
      </c>
      <c r="CQ59" t="str">
        <f>AND(#REF!,"AAAAAD/9fV4=")</f>
        <v>#REF!</v>
      </c>
      <c r="CR59" t="str">
        <f>IF(#REF!,"AAAAAD/9fV8=",0)</f>
        <v>#REF!</v>
      </c>
      <c r="CS59" t="str">
        <f>AND(#REF!,"AAAAAD/9fWA=")</f>
        <v>#REF!</v>
      </c>
      <c r="CT59" t="str">
        <f>AND(#REF!,"AAAAAD/9fWE=")</f>
        <v>#REF!</v>
      </c>
      <c r="CU59" t="str">
        <f>AND(#REF!,"AAAAAD/9fWI=")</f>
        <v>#REF!</v>
      </c>
      <c r="CV59" t="str">
        <f>AND(#REF!,"AAAAAD/9fWM=")</f>
        <v>#REF!</v>
      </c>
      <c r="CW59" t="str">
        <f>AND(#REF!,"AAAAAD/9fWQ=")</f>
        <v>#REF!</v>
      </c>
      <c r="CX59" t="str">
        <f>AND(#REF!,"AAAAAD/9fWU=")</f>
        <v>#REF!</v>
      </c>
      <c r="CY59" t="str">
        <f>AND(#REF!,"AAAAAD/9fWY=")</f>
        <v>#REF!</v>
      </c>
      <c r="CZ59" t="str">
        <f>AND(#REF!,"AAAAAD/9fWc=")</f>
        <v>#REF!</v>
      </c>
      <c r="DA59" t="str">
        <f>AND(#REF!,"AAAAAD/9fWg=")</f>
        <v>#REF!</v>
      </c>
      <c r="DB59" t="str">
        <f>AND(#REF!,"AAAAAD/9fWk=")</f>
        <v>#REF!</v>
      </c>
      <c r="DC59" t="str">
        <f>AND(#REF!,"AAAAAD/9fWo=")</f>
        <v>#REF!</v>
      </c>
      <c r="DD59" t="str">
        <f>AND(#REF!,"AAAAAD/9fWs=")</f>
        <v>#REF!</v>
      </c>
      <c r="DE59" t="str">
        <f>AND(#REF!,"AAAAAD/9fWw=")</f>
        <v>#REF!</v>
      </c>
      <c r="DF59" t="str">
        <f>AND(#REF!,"AAAAAD/9fW0=")</f>
        <v>#REF!</v>
      </c>
      <c r="DG59" t="str">
        <f>AND(#REF!,"AAAAAD/9fW4=")</f>
        <v>#REF!</v>
      </c>
      <c r="DH59" t="str">
        <f>AND(#REF!,"AAAAAD/9fW8=")</f>
        <v>#REF!</v>
      </c>
      <c r="DI59" t="str">
        <f>AND(#REF!,"AAAAAD/9fXA=")</f>
        <v>#REF!</v>
      </c>
      <c r="DJ59" t="str">
        <f>AND(#REF!,"AAAAAD/9fXE=")</f>
        <v>#REF!</v>
      </c>
      <c r="DK59" t="str">
        <f>AND(#REF!,"AAAAAD/9fXI=")</f>
        <v>#REF!</v>
      </c>
      <c r="DL59" t="str">
        <f>AND(#REF!,"AAAAAD/9fXM=")</f>
        <v>#REF!</v>
      </c>
      <c r="DM59" t="str">
        <f>AND(#REF!,"AAAAAD/9fXQ=")</f>
        <v>#REF!</v>
      </c>
      <c r="DN59" t="str">
        <f>AND(#REF!,"AAAAAD/9fXU=")</f>
        <v>#REF!</v>
      </c>
      <c r="DO59" t="str">
        <f>AND(#REF!,"AAAAAD/9fXY=")</f>
        <v>#REF!</v>
      </c>
      <c r="DP59" t="str">
        <f>AND(#REF!,"AAAAAD/9fXc=")</f>
        <v>#REF!</v>
      </c>
      <c r="DQ59" t="str">
        <f>AND(#REF!,"AAAAAD/9fXg=")</f>
        <v>#REF!</v>
      </c>
      <c r="DR59" t="str">
        <f>AND(#REF!,"AAAAAD/9fXk=")</f>
        <v>#REF!</v>
      </c>
      <c r="DS59" t="str">
        <f>AND(#REF!,"AAAAAD/9fXo=")</f>
        <v>#REF!</v>
      </c>
      <c r="DT59" t="str">
        <f>AND(#REF!,"AAAAAD/9fXs=")</f>
        <v>#REF!</v>
      </c>
      <c r="DU59" t="str">
        <f>AND(#REF!,"AAAAAD/9fXw=")</f>
        <v>#REF!</v>
      </c>
      <c r="DV59" t="str">
        <f>AND(#REF!,"AAAAAD/9fX0=")</f>
        <v>#REF!</v>
      </c>
      <c r="DW59" t="str">
        <f>AND(#REF!,"AAAAAD/9fX4=")</f>
        <v>#REF!</v>
      </c>
      <c r="DX59" t="str">
        <f>AND(#REF!,"AAAAAD/9fX8=")</f>
        <v>#REF!</v>
      </c>
      <c r="DY59" t="str">
        <f>AND(#REF!,"AAAAAD/9fYA=")</f>
        <v>#REF!</v>
      </c>
      <c r="DZ59" t="str">
        <f>AND(#REF!,"AAAAAD/9fYE=")</f>
        <v>#REF!</v>
      </c>
      <c r="EA59" t="str">
        <f>AND(#REF!,"AAAAAD/9fYI=")</f>
        <v>#REF!</v>
      </c>
      <c r="EB59" t="str">
        <f>AND(#REF!,"AAAAAD/9fYM=")</f>
        <v>#REF!</v>
      </c>
      <c r="EC59" t="str">
        <f>AND(#REF!,"AAAAAD/9fYQ=")</f>
        <v>#REF!</v>
      </c>
      <c r="ED59" t="str">
        <f>AND(#REF!,"AAAAAD/9fYU=")</f>
        <v>#REF!</v>
      </c>
      <c r="EE59" t="str">
        <f>AND(#REF!,"AAAAAD/9fYY=")</f>
        <v>#REF!</v>
      </c>
      <c r="EF59" t="str">
        <f>AND(#REF!,"AAAAAD/9fYc=")</f>
        <v>#REF!</v>
      </c>
      <c r="EG59" t="str">
        <f>AND(#REF!,"AAAAAD/9fYg=")</f>
        <v>#REF!</v>
      </c>
      <c r="EH59" t="str">
        <f>AND(#REF!,"AAAAAD/9fYk=")</f>
        <v>#REF!</v>
      </c>
      <c r="EI59" t="str">
        <f>AND(#REF!,"AAAAAD/9fYo=")</f>
        <v>#REF!</v>
      </c>
      <c r="EJ59" t="str">
        <f>AND(#REF!,"AAAAAD/9fYs=")</f>
        <v>#REF!</v>
      </c>
      <c r="EK59" t="str">
        <f>AND(#REF!,"AAAAAD/9fYw=")</f>
        <v>#REF!</v>
      </c>
      <c r="EL59" t="str">
        <f>AND(#REF!,"AAAAAD/9fY0=")</f>
        <v>#REF!</v>
      </c>
      <c r="EM59" t="str">
        <f>AND(#REF!,"AAAAAD/9fY4=")</f>
        <v>#REF!</v>
      </c>
      <c r="EN59" t="str">
        <f>AND(#REF!,"AAAAAD/9fY8=")</f>
        <v>#REF!</v>
      </c>
      <c r="EO59" t="str">
        <f>AND(#REF!,"AAAAAD/9fZA=")</f>
        <v>#REF!</v>
      </c>
      <c r="EP59" t="str">
        <f>AND(#REF!,"AAAAAD/9fZE=")</f>
        <v>#REF!</v>
      </c>
      <c r="EQ59" t="str">
        <f>AND(#REF!,"AAAAAD/9fZI=")</f>
        <v>#REF!</v>
      </c>
      <c r="ER59" t="str">
        <f>AND(#REF!,"AAAAAD/9fZM=")</f>
        <v>#REF!</v>
      </c>
      <c r="ES59" t="str">
        <f>AND(#REF!,"AAAAAD/9fZQ=")</f>
        <v>#REF!</v>
      </c>
      <c r="ET59" t="str">
        <f>AND(#REF!,"AAAAAD/9fZU=")</f>
        <v>#REF!</v>
      </c>
      <c r="EU59" t="str">
        <f>AND(#REF!,"AAAAAD/9fZY=")</f>
        <v>#REF!</v>
      </c>
      <c r="EV59" t="str">
        <f>AND(#REF!,"AAAAAD/9fZc=")</f>
        <v>#REF!</v>
      </c>
      <c r="EW59" t="str">
        <f>AND(#REF!,"AAAAAD/9fZg=")</f>
        <v>#REF!</v>
      </c>
      <c r="EX59" t="str">
        <f>AND(#REF!,"AAAAAD/9fZk=")</f>
        <v>#REF!</v>
      </c>
      <c r="EY59" t="str">
        <f>AND(#REF!,"AAAAAD/9fZo=")</f>
        <v>#REF!</v>
      </c>
      <c r="EZ59" t="str">
        <f>AND(#REF!,"AAAAAD/9fZs=")</f>
        <v>#REF!</v>
      </c>
      <c r="FA59" t="str">
        <f>AND(#REF!,"AAAAAD/9fZw=")</f>
        <v>#REF!</v>
      </c>
      <c r="FB59" t="str">
        <f>AND(#REF!,"AAAAAD/9fZ0=")</f>
        <v>#REF!</v>
      </c>
      <c r="FC59" t="str">
        <f>AND(#REF!,"AAAAAD/9fZ4=")</f>
        <v>#REF!</v>
      </c>
      <c r="FD59" t="str">
        <f>AND(#REF!,"AAAAAD/9fZ8=")</f>
        <v>#REF!</v>
      </c>
      <c r="FE59" t="str">
        <f>AND(#REF!,"AAAAAD/9faA=")</f>
        <v>#REF!</v>
      </c>
      <c r="FF59" t="str">
        <f>AND(#REF!,"AAAAAD/9faE=")</f>
        <v>#REF!</v>
      </c>
      <c r="FG59" t="str">
        <f>AND(#REF!,"AAAAAD/9faI=")</f>
        <v>#REF!</v>
      </c>
      <c r="FH59" t="str">
        <f>AND(#REF!,"AAAAAD/9faM=")</f>
        <v>#REF!</v>
      </c>
      <c r="FI59" t="str">
        <f>AND(#REF!,"AAAAAD/9faQ=")</f>
        <v>#REF!</v>
      </c>
      <c r="FJ59" t="str">
        <f>AND(#REF!,"AAAAAD/9faU=")</f>
        <v>#REF!</v>
      </c>
      <c r="FK59" t="str">
        <f>AND(#REF!,"AAAAAD/9faY=")</f>
        <v>#REF!</v>
      </c>
      <c r="FL59" t="str">
        <f>AND(#REF!,"AAAAAD/9fac=")</f>
        <v>#REF!</v>
      </c>
      <c r="FM59" t="str">
        <f>AND(#REF!,"AAAAAD/9fag=")</f>
        <v>#REF!</v>
      </c>
      <c r="FN59" t="str">
        <f>AND(#REF!,"AAAAAD/9fak=")</f>
        <v>#REF!</v>
      </c>
      <c r="FO59" t="str">
        <f>AND(#REF!,"AAAAAD/9fao=")</f>
        <v>#REF!</v>
      </c>
      <c r="FP59" t="str">
        <f>IF(#REF!,"AAAAAD/9fas=",0)</f>
        <v>#REF!</v>
      </c>
      <c r="FQ59" t="str">
        <f>AND(#REF!,"AAAAAD/9faw=")</f>
        <v>#REF!</v>
      </c>
      <c r="FR59" t="str">
        <f>AND(#REF!,"AAAAAD/9fa0=")</f>
        <v>#REF!</v>
      </c>
      <c r="FS59" t="str">
        <f>AND(#REF!,"AAAAAD/9fa4=")</f>
        <v>#REF!</v>
      </c>
      <c r="FT59" t="str">
        <f>AND(#REF!,"AAAAAD/9fa8=")</f>
        <v>#REF!</v>
      </c>
      <c r="FU59" t="str">
        <f>AND(#REF!,"AAAAAD/9fbA=")</f>
        <v>#REF!</v>
      </c>
      <c r="FV59" t="str">
        <f>AND(#REF!,"AAAAAD/9fbE=")</f>
        <v>#REF!</v>
      </c>
      <c r="FW59" t="str">
        <f>AND(#REF!,"AAAAAD/9fbI=")</f>
        <v>#REF!</v>
      </c>
      <c r="FX59" t="str">
        <f>AND(#REF!,"AAAAAD/9fbM=")</f>
        <v>#REF!</v>
      </c>
      <c r="FY59" t="str">
        <f>AND(#REF!,"AAAAAD/9fbQ=")</f>
        <v>#REF!</v>
      </c>
      <c r="FZ59" t="str">
        <f>AND(#REF!,"AAAAAD/9fbU=")</f>
        <v>#REF!</v>
      </c>
      <c r="GA59" t="str">
        <f>AND(#REF!,"AAAAAD/9fbY=")</f>
        <v>#REF!</v>
      </c>
      <c r="GB59" t="str">
        <f>AND(#REF!,"AAAAAD/9fbc=")</f>
        <v>#REF!</v>
      </c>
      <c r="GC59" t="str">
        <f>AND(#REF!,"AAAAAD/9fbg=")</f>
        <v>#REF!</v>
      </c>
      <c r="GD59" t="str">
        <f>AND(#REF!,"AAAAAD/9fbk=")</f>
        <v>#REF!</v>
      </c>
      <c r="GE59" t="str">
        <f>AND(#REF!,"AAAAAD/9fbo=")</f>
        <v>#REF!</v>
      </c>
      <c r="GF59" t="str">
        <f>AND(#REF!,"AAAAAD/9fbs=")</f>
        <v>#REF!</v>
      </c>
      <c r="GG59" t="str">
        <f>AND(#REF!,"AAAAAD/9fbw=")</f>
        <v>#REF!</v>
      </c>
      <c r="GH59" t="str">
        <f>AND(#REF!,"AAAAAD/9fb0=")</f>
        <v>#REF!</v>
      </c>
      <c r="GI59" t="str">
        <f>AND(#REF!,"AAAAAD/9fb4=")</f>
        <v>#REF!</v>
      </c>
      <c r="GJ59" t="str">
        <f>AND(#REF!,"AAAAAD/9fb8=")</f>
        <v>#REF!</v>
      </c>
      <c r="GK59" t="str">
        <f>AND(#REF!,"AAAAAD/9fcA=")</f>
        <v>#REF!</v>
      </c>
      <c r="GL59" t="str">
        <f>AND(#REF!,"AAAAAD/9fcE=")</f>
        <v>#REF!</v>
      </c>
      <c r="GM59" t="str">
        <f>AND(#REF!,"AAAAAD/9fcI=")</f>
        <v>#REF!</v>
      </c>
      <c r="GN59" t="str">
        <f>AND(#REF!,"AAAAAD/9fcM=")</f>
        <v>#REF!</v>
      </c>
      <c r="GO59" t="str">
        <f>AND(#REF!,"AAAAAD/9fcQ=")</f>
        <v>#REF!</v>
      </c>
      <c r="GP59" t="str">
        <f>AND(#REF!,"AAAAAD/9fcU=")</f>
        <v>#REF!</v>
      </c>
      <c r="GQ59" t="str">
        <f>AND(#REF!,"AAAAAD/9fcY=")</f>
        <v>#REF!</v>
      </c>
      <c r="GR59" t="str">
        <f>AND(#REF!,"AAAAAD/9fcc=")</f>
        <v>#REF!</v>
      </c>
      <c r="GS59" t="str">
        <f>AND(#REF!,"AAAAAD/9fcg=")</f>
        <v>#REF!</v>
      </c>
      <c r="GT59" t="str">
        <f>AND(#REF!,"AAAAAD/9fck=")</f>
        <v>#REF!</v>
      </c>
      <c r="GU59" t="str">
        <f>AND(#REF!,"AAAAAD/9fco=")</f>
        <v>#REF!</v>
      </c>
      <c r="GV59" t="str">
        <f>AND(#REF!,"AAAAAD/9fcs=")</f>
        <v>#REF!</v>
      </c>
      <c r="GW59" t="str">
        <f>AND(#REF!,"AAAAAD/9fcw=")</f>
        <v>#REF!</v>
      </c>
      <c r="GX59" t="str">
        <f>AND(#REF!,"AAAAAD/9fc0=")</f>
        <v>#REF!</v>
      </c>
      <c r="GY59" t="str">
        <f>AND(#REF!,"AAAAAD/9fc4=")</f>
        <v>#REF!</v>
      </c>
      <c r="GZ59" t="str">
        <f>AND(#REF!,"AAAAAD/9fc8=")</f>
        <v>#REF!</v>
      </c>
      <c r="HA59" t="str">
        <f>AND(#REF!,"AAAAAD/9fdA=")</f>
        <v>#REF!</v>
      </c>
      <c r="HB59" t="str">
        <f>AND(#REF!,"AAAAAD/9fdE=")</f>
        <v>#REF!</v>
      </c>
      <c r="HC59" t="str">
        <f>AND(#REF!,"AAAAAD/9fdI=")</f>
        <v>#REF!</v>
      </c>
      <c r="HD59" t="str">
        <f>AND(#REF!,"AAAAAD/9fdM=")</f>
        <v>#REF!</v>
      </c>
      <c r="HE59" t="str">
        <f>AND(#REF!,"AAAAAD/9fdQ=")</f>
        <v>#REF!</v>
      </c>
      <c r="HF59" t="str">
        <f>AND(#REF!,"AAAAAD/9fdU=")</f>
        <v>#REF!</v>
      </c>
      <c r="HG59" t="str">
        <f>AND(#REF!,"AAAAAD/9fdY=")</f>
        <v>#REF!</v>
      </c>
      <c r="HH59" t="str">
        <f>AND(#REF!,"AAAAAD/9fdc=")</f>
        <v>#REF!</v>
      </c>
      <c r="HI59" t="str">
        <f>AND(#REF!,"AAAAAD/9fdg=")</f>
        <v>#REF!</v>
      </c>
      <c r="HJ59" t="str">
        <f>AND(#REF!,"AAAAAD/9fdk=")</f>
        <v>#REF!</v>
      </c>
      <c r="HK59" t="str">
        <f>AND(#REF!,"AAAAAD/9fdo=")</f>
        <v>#REF!</v>
      </c>
      <c r="HL59" t="str">
        <f>AND(#REF!,"AAAAAD/9fds=")</f>
        <v>#REF!</v>
      </c>
      <c r="HM59" t="str">
        <f>AND(#REF!,"AAAAAD/9fdw=")</f>
        <v>#REF!</v>
      </c>
      <c r="HN59" t="str">
        <f>AND(#REF!,"AAAAAD/9fd0=")</f>
        <v>#REF!</v>
      </c>
      <c r="HO59" t="str">
        <f>AND(#REF!,"AAAAAD/9fd4=")</f>
        <v>#REF!</v>
      </c>
      <c r="HP59" t="str">
        <f>AND(#REF!,"AAAAAD/9fd8=")</f>
        <v>#REF!</v>
      </c>
      <c r="HQ59" t="str">
        <f>AND(#REF!,"AAAAAD/9feA=")</f>
        <v>#REF!</v>
      </c>
      <c r="HR59" t="str">
        <f>AND(#REF!,"AAAAAD/9feE=")</f>
        <v>#REF!</v>
      </c>
      <c r="HS59" t="str">
        <f>AND(#REF!,"AAAAAD/9feI=")</f>
        <v>#REF!</v>
      </c>
      <c r="HT59" t="str">
        <f>AND(#REF!,"AAAAAD/9feM=")</f>
        <v>#REF!</v>
      </c>
      <c r="HU59" t="str">
        <f>AND(#REF!,"AAAAAD/9feQ=")</f>
        <v>#REF!</v>
      </c>
      <c r="HV59" t="str">
        <f>AND(#REF!,"AAAAAD/9feU=")</f>
        <v>#REF!</v>
      </c>
      <c r="HW59" t="str">
        <f>AND(#REF!,"AAAAAD/9feY=")</f>
        <v>#REF!</v>
      </c>
      <c r="HX59" t="str">
        <f>AND(#REF!,"AAAAAD/9fec=")</f>
        <v>#REF!</v>
      </c>
      <c r="HY59" t="str">
        <f>AND(#REF!,"AAAAAD/9feg=")</f>
        <v>#REF!</v>
      </c>
      <c r="HZ59" t="str">
        <f>AND(#REF!,"AAAAAD/9fek=")</f>
        <v>#REF!</v>
      </c>
      <c r="IA59" t="str">
        <f>AND(#REF!,"AAAAAD/9feo=")</f>
        <v>#REF!</v>
      </c>
      <c r="IB59" t="str">
        <f>AND(#REF!,"AAAAAD/9fes=")</f>
        <v>#REF!</v>
      </c>
      <c r="IC59" t="str">
        <f>AND(#REF!,"AAAAAD/9few=")</f>
        <v>#REF!</v>
      </c>
      <c r="ID59" t="str">
        <f>AND(#REF!,"AAAAAD/9fe0=")</f>
        <v>#REF!</v>
      </c>
      <c r="IE59" t="str">
        <f>AND(#REF!,"AAAAAD/9fe4=")</f>
        <v>#REF!</v>
      </c>
      <c r="IF59" t="str">
        <f>AND(#REF!,"AAAAAD/9fe8=")</f>
        <v>#REF!</v>
      </c>
      <c r="IG59" t="str">
        <f>AND(#REF!,"AAAAAD/9ffA=")</f>
        <v>#REF!</v>
      </c>
      <c r="IH59" t="str">
        <f>AND(#REF!,"AAAAAD/9ffE=")</f>
        <v>#REF!</v>
      </c>
      <c r="II59" t="str">
        <f>AND(#REF!,"AAAAAD/9ffI=")</f>
        <v>#REF!</v>
      </c>
      <c r="IJ59" t="str">
        <f>AND(#REF!,"AAAAAD/9ffM=")</f>
        <v>#REF!</v>
      </c>
      <c r="IK59" t="str">
        <f>AND(#REF!,"AAAAAD/9ffQ=")</f>
        <v>#REF!</v>
      </c>
      <c r="IL59" t="str">
        <f>AND(#REF!,"AAAAAD/9ffU=")</f>
        <v>#REF!</v>
      </c>
      <c r="IM59" t="str">
        <f>AND(#REF!,"AAAAAD/9ffY=")</f>
        <v>#REF!</v>
      </c>
      <c r="IN59" t="str">
        <f>IF(#REF!,"AAAAAD/9ffc=",0)</f>
        <v>#REF!</v>
      </c>
      <c r="IO59" t="str">
        <f>AND(#REF!,"AAAAAD/9ffg=")</f>
        <v>#REF!</v>
      </c>
      <c r="IP59" t="str">
        <f>AND(#REF!,"AAAAAD/9ffk=")</f>
        <v>#REF!</v>
      </c>
      <c r="IQ59" t="str">
        <f>AND(#REF!,"AAAAAD/9ffo=")</f>
        <v>#REF!</v>
      </c>
      <c r="IR59" t="str">
        <f>AND(#REF!,"AAAAAD/9ffs=")</f>
        <v>#REF!</v>
      </c>
      <c r="IS59" t="str">
        <f>AND(#REF!,"AAAAAD/9ffw=")</f>
        <v>#REF!</v>
      </c>
      <c r="IT59" t="str">
        <f>AND(#REF!,"AAAAAD/9ff0=")</f>
        <v>#REF!</v>
      </c>
      <c r="IU59" t="str">
        <f>AND(#REF!,"AAAAAD/9ff4=")</f>
        <v>#REF!</v>
      </c>
      <c r="IV59" t="str">
        <f>AND(#REF!,"AAAAAD/9ff8=")</f>
        <v>#REF!</v>
      </c>
    </row>
    <row r="60" ht="15.75" customHeight="1">
      <c r="A60" t="str">
        <f>AND(#REF!,"AAAAAF/+/wA=")</f>
        <v>#REF!</v>
      </c>
      <c r="B60" t="str">
        <f>AND(#REF!,"AAAAAF/+/wE=")</f>
        <v>#REF!</v>
      </c>
      <c r="C60" t="str">
        <f>AND(#REF!,"AAAAAF/+/wI=")</f>
        <v>#REF!</v>
      </c>
      <c r="D60" t="str">
        <f>AND(#REF!,"AAAAAF/+/wM=")</f>
        <v>#REF!</v>
      </c>
      <c r="E60" t="str">
        <f>AND(#REF!,"AAAAAF/+/wQ=")</f>
        <v>#REF!</v>
      </c>
      <c r="F60" t="str">
        <f>AND(#REF!,"AAAAAF/+/wU=")</f>
        <v>#REF!</v>
      </c>
      <c r="G60" t="str">
        <f>AND(#REF!,"AAAAAF/+/wY=")</f>
        <v>#REF!</v>
      </c>
      <c r="H60" t="str">
        <f>AND(#REF!,"AAAAAF/+/wc=")</f>
        <v>#REF!</v>
      </c>
      <c r="I60" t="str">
        <f>AND(#REF!,"AAAAAF/+/wg=")</f>
        <v>#REF!</v>
      </c>
      <c r="J60" t="str">
        <f>AND(#REF!,"AAAAAF/+/wk=")</f>
        <v>#REF!</v>
      </c>
      <c r="K60" t="str">
        <f>AND(#REF!,"AAAAAF/+/wo=")</f>
        <v>#REF!</v>
      </c>
      <c r="L60" t="str">
        <f>AND(#REF!,"AAAAAF/+/ws=")</f>
        <v>#REF!</v>
      </c>
      <c r="M60" t="str">
        <f>AND(#REF!,"AAAAAF/+/ww=")</f>
        <v>#REF!</v>
      </c>
      <c r="N60" t="str">
        <f>AND(#REF!,"AAAAAF/+/w0=")</f>
        <v>#REF!</v>
      </c>
      <c r="O60" t="str">
        <f>AND(#REF!,"AAAAAF/+/w4=")</f>
        <v>#REF!</v>
      </c>
      <c r="P60" t="str">
        <f>AND(#REF!,"AAAAAF/+/w8=")</f>
        <v>#REF!</v>
      </c>
      <c r="Q60" t="str">
        <f>AND(#REF!,"AAAAAF/+/xA=")</f>
        <v>#REF!</v>
      </c>
      <c r="R60" t="str">
        <f>AND(#REF!,"AAAAAF/+/xE=")</f>
        <v>#REF!</v>
      </c>
      <c r="S60" t="str">
        <f>AND(#REF!,"AAAAAF/+/xI=")</f>
        <v>#REF!</v>
      </c>
      <c r="T60" t="str">
        <f>AND(#REF!,"AAAAAF/+/xM=")</f>
        <v>#REF!</v>
      </c>
      <c r="U60" t="str">
        <f>AND(#REF!,"AAAAAF/+/xQ=")</f>
        <v>#REF!</v>
      </c>
      <c r="V60" t="str">
        <f>AND(#REF!,"AAAAAF/+/xU=")</f>
        <v>#REF!</v>
      </c>
      <c r="W60" t="str">
        <f>AND(#REF!,"AAAAAF/+/xY=")</f>
        <v>#REF!</v>
      </c>
      <c r="X60" t="str">
        <f>AND(#REF!,"AAAAAF/+/xc=")</f>
        <v>#REF!</v>
      </c>
      <c r="Y60" t="str">
        <f>AND(#REF!,"AAAAAF/+/xg=")</f>
        <v>#REF!</v>
      </c>
      <c r="Z60" t="str">
        <f>AND(#REF!,"AAAAAF/+/xk=")</f>
        <v>#REF!</v>
      </c>
      <c r="AA60" t="str">
        <f>AND(#REF!,"AAAAAF/+/xo=")</f>
        <v>#REF!</v>
      </c>
      <c r="AB60" t="str">
        <f>AND(#REF!,"AAAAAF/+/xs=")</f>
        <v>#REF!</v>
      </c>
      <c r="AC60" t="str">
        <f>AND(#REF!,"AAAAAF/+/xw=")</f>
        <v>#REF!</v>
      </c>
      <c r="AD60" t="str">
        <f>AND(#REF!,"AAAAAF/+/x0=")</f>
        <v>#REF!</v>
      </c>
      <c r="AE60" t="str">
        <f>AND(#REF!,"AAAAAF/+/x4=")</f>
        <v>#REF!</v>
      </c>
      <c r="AF60" t="str">
        <f>AND(#REF!,"AAAAAF/+/x8=")</f>
        <v>#REF!</v>
      </c>
      <c r="AG60" t="str">
        <f>AND(#REF!,"AAAAAF/+/yA=")</f>
        <v>#REF!</v>
      </c>
      <c r="AH60" t="str">
        <f>AND(#REF!,"AAAAAF/+/yE=")</f>
        <v>#REF!</v>
      </c>
      <c r="AI60" t="str">
        <f>AND(#REF!,"AAAAAF/+/yI=")</f>
        <v>#REF!</v>
      </c>
      <c r="AJ60" t="str">
        <f>AND(#REF!,"AAAAAF/+/yM=")</f>
        <v>#REF!</v>
      </c>
      <c r="AK60" t="str">
        <f>AND(#REF!,"AAAAAF/+/yQ=")</f>
        <v>#REF!</v>
      </c>
      <c r="AL60" t="str">
        <f>AND(#REF!,"AAAAAF/+/yU=")</f>
        <v>#REF!</v>
      </c>
      <c r="AM60" t="str">
        <f>AND(#REF!,"AAAAAF/+/yY=")</f>
        <v>#REF!</v>
      </c>
      <c r="AN60" t="str">
        <f>AND(#REF!,"AAAAAF/+/yc=")</f>
        <v>#REF!</v>
      </c>
      <c r="AO60" t="str">
        <f>AND(#REF!,"AAAAAF/+/yg=")</f>
        <v>#REF!</v>
      </c>
      <c r="AP60" t="str">
        <f>AND(#REF!,"AAAAAF/+/yk=")</f>
        <v>#REF!</v>
      </c>
      <c r="AQ60" t="str">
        <f>AND(#REF!,"AAAAAF/+/yo=")</f>
        <v>#REF!</v>
      </c>
      <c r="AR60" t="str">
        <f>AND(#REF!,"AAAAAF/+/ys=")</f>
        <v>#REF!</v>
      </c>
      <c r="AS60" t="str">
        <f>AND(#REF!,"AAAAAF/+/yw=")</f>
        <v>#REF!</v>
      </c>
      <c r="AT60" t="str">
        <f>AND(#REF!,"AAAAAF/+/y0=")</f>
        <v>#REF!</v>
      </c>
      <c r="AU60" t="str">
        <f>AND(#REF!,"AAAAAF/+/y4=")</f>
        <v>#REF!</v>
      </c>
      <c r="AV60" t="str">
        <f>AND(#REF!,"AAAAAF/+/y8=")</f>
        <v>#REF!</v>
      </c>
      <c r="AW60" t="str">
        <f>AND(#REF!,"AAAAAF/+/zA=")</f>
        <v>#REF!</v>
      </c>
      <c r="AX60" t="str">
        <f>AND(#REF!,"AAAAAF/+/zE=")</f>
        <v>#REF!</v>
      </c>
      <c r="AY60" t="str">
        <f>AND(#REF!,"AAAAAF/+/zI=")</f>
        <v>#REF!</v>
      </c>
      <c r="AZ60" t="str">
        <f>AND(#REF!,"AAAAAF/+/zM=")</f>
        <v>#REF!</v>
      </c>
      <c r="BA60" t="str">
        <f>AND(#REF!,"AAAAAF/+/zQ=")</f>
        <v>#REF!</v>
      </c>
      <c r="BB60" t="str">
        <f>AND(#REF!,"AAAAAF/+/zU=")</f>
        <v>#REF!</v>
      </c>
      <c r="BC60" t="str">
        <f>AND(#REF!,"AAAAAF/+/zY=")</f>
        <v>#REF!</v>
      </c>
      <c r="BD60" t="str">
        <f>AND(#REF!,"AAAAAF/+/zc=")</f>
        <v>#REF!</v>
      </c>
      <c r="BE60" t="str">
        <f>AND(#REF!,"AAAAAF/+/zg=")</f>
        <v>#REF!</v>
      </c>
      <c r="BF60" t="str">
        <f>AND(#REF!,"AAAAAF/+/zk=")</f>
        <v>#REF!</v>
      </c>
      <c r="BG60" t="str">
        <f>AND(#REF!,"AAAAAF/+/zo=")</f>
        <v>#REF!</v>
      </c>
      <c r="BH60" t="str">
        <f>AND(#REF!,"AAAAAF/+/zs=")</f>
        <v>#REF!</v>
      </c>
      <c r="BI60" t="str">
        <f>AND(#REF!,"AAAAAF/+/zw=")</f>
        <v>#REF!</v>
      </c>
      <c r="BJ60" t="str">
        <f>AND(#REF!,"AAAAAF/+/z0=")</f>
        <v>#REF!</v>
      </c>
      <c r="BK60" t="str">
        <f>AND(#REF!,"AAAAAF/+/z4=")</f>
        <v>#REF!</v>
      </c>
      <c r="BL60" t="str">
        <f>AND(#REF!,"AAAAAF/+/z8=")</f>
        <v>#REF!</v>
      </c>
      <c r="BM60" t="str">
        <f>AND(#REF!,"AAAAAF/+/0A=")</f>
        <v>#REF!</v>
      </c>
      <c r="BN60" t="str">
        <f>AND(#REF!,"AAAAAF/+/0E=")</f>
        <v>#REF!</v>
      </c>
      <c r="BO60" t="str">
        <f>AND(#REF!,"AAAAAF/+/0I=")</f>
        <v>#REF!</v>
      </c>
      <c r="BP60" t="str">
        <f>IF(#REF!,"AAAAAF/+/0M=",0)</f>
        <v>#REF!</v>
      </c>
      <c r="BQ60" t="str">
        <f>AND(#REF!,"AAAAAF/+/0Q=")</f>
        <v>#REF!</v>
      </c>
      <c r="BR60" t="str">
        <f>AND(#REF!,"AAAAAF/+/0U=")</f>
        <v>#REF!</v>
      </c>
      <c r="BS60" t="str">
        <f>AND(#REF!,"AAAAAF/+/0Y=")</f>
        <v>#REF!</v>
      </c>
      <c r="BT60" t="str">
        <f>AND(#REF!,"AAAAAF/+/0c=")</f>
        <v>#REF!</v>
      </c>
      <c r="BU60" t="str">
        <f>AND(#REF!,"AAAAAF/+/0g=")</f>
        <v>#REF!</v>
      </c>
      <c r="BV60" t="str">
        <f>AND(#REF!,"AAAAAF/+/0k=")</f>
        <v>#REF!</v>
      </c>
      <c r="BW60" t="str">
        <f>AND(#REF!,"AAAAAF/+/0o=")</f>
        <v>#REF!</v>
      </c>
      <c r="BX60" t="str">
        <f>AND(#REF!,"AAAAAF/+/0s=")</f>
        <v>#REF!</v>
      </c>
      <c r="BY60" t="str">
        <f>AND(#REF!,"AAAAAF/+/0w=")</f>
        <v>#REF!</v>
      </c>
      <c r="BZ60" t="str">
        <f>AND(#REF!,"AAAAAF/+/00=")</f>
        <v>#REF!</v>
      </c>
      <c r="CA60" t="str">
        <f>AND(#REF!,"AAAAAF/+/04=")</f>
        <v>#REF!</v>
      </c>
      <c r="CB60" t="str">
        <f>AND(#REF!,"AAAAAF/+/08=")</f>
        <v>#REF!</v>
      </c>
      <c r="CC60" t="str">
        <f>AND(#REF!,"AAAAAF/+/1A=")</f>
        <v>#REF!</v>
      </c>
      <c r="CD60" t="str">
        <f>AND(#REF!,"AAAAAF/+/1E=")</f>
        <v>#REF!</v>
      </c>
      <c r="CE60" t="str">
        <f>AND(#REF!,"AAAAAF/+/1I=")</f>
        <v>#REF!</v>
      </c>
      <c r="CF60" t="str">
        <f>AND(#REF!,"AAAAAF/+/1M=")</f>
        <v>#REF!</v>
      </c>
      <c r="CG60" t="str">
        <f>AND(#REF!,"AAAAAF/+/1Q=")</f>
        <v>#REF!</v>
      </c>
      <c r="CH60" t="str">
        <f>AND(#REF!,"AAAAAF/+/1U=")</f>
        <v>#REF!</v>
      </c>
      <c r="CI60" t="str">
        <f>AND(#REF!,"AAAAAF/+/1Y=")</f>
        <v>#REF!</v>
      </c>
      <c r="CJ60" t="str">
        <f>AND(#REF!,"AAAAAF/+/1c=")</f>
        <v>#REF!</v>
      </c>
      <c r="CK60" t="str">
        <f>AND(#REF!,"AAAAAF/+/1g=")</f>
        <v>#REF!</v>
      </c>
      <c r="CL60" t="str">
        <f>AND(#REF!,"AAAAAF/+/1k=")</f>
        <v>#REF!</v>
      </c>
      <c r="CM60" t="str">
        <f>AND(#REF!,"AAAAAF/+/1o=")</f>
        <v>#REF!</v>
      </c>
      <c r="CN60" t="str">
        <f>AND(#REF!,"AAAAAF/+/1s=")</f>
        <v>#REF!</v>
      </c>
      <c r="CO60" t="str">
        <f>AND(#REF!,"AAAAAF/+/1w=")</f>
        <v>#REF!</v>
      </c>
      <c r="CP60" t="str">
        <f>AND(#REF!,"AAAAAF/+/10=")</f>
        <v>#REF!</v>
      </c>
      <c r="CQ60" t="str">
        <f>AND(#REF!,"AAAAAF/+/14=")</f>
        <v>#REF!</v>
      </c>
      <c r="CR60" t="str">
        <f>AND(#REF!,"AAAAAF/+/18=")</f>
        <v>#REF!</v>
      </c>
      <c r="CS60" t="str">
        <f>AND(#REF!,"AAAAAF/+/2A=")</f>
        <v>#REF!</v>
      </c>
      <c r="CT60" t="str">
        <f>AND(#REF!,"AAAAAF/+/2E=")</f>
        <v>#REF!</v>
      </c>
      <c r="CU60" t="str">
        <f>AND(#REF!,"AAAAAF/+/2I=")</f>
        <v>#REF!</v>
      </c>
      <c r="CV60" t="str">
        <f>AND(#REF!,"AAAAAF/+/2M=")</f>
        <v>#REF!</v>
      </c>
      <c r="CW60" t="str">
        <f>AND(#REF!,"AAAAAF/+/2Q=")</f>
        <v>#REF!</v>
      </c>
      <c r="CX60" t="str">
        <f>AND(#REF!,"AAAAAF/+/2U=")</f>
        <v>#REF!</v>
      </c>
      <c r="CY60" t="str">
        <f>AND(#REF!,"AAAAAF/+/2Y=")</f>
        <v>#REF!</v>
      </c>
      <c r="CZ60" t="str">
        <f>AND(#REF!,"AAAAAF/+/2c=")</f>
        <v>#REF!</v>
      </c>
      <c r="DA60" t="str">
        <f>AND(#REF!,"AAAAAF/+/2g=")</f>
        <v>#REF!</v>
      </c>
      <c r="DB60" t="str">
        <f>AND(#REF!,"AAAAAF/+/2k=")</f>
        <v>#REF!</v>
      </c>
      <c r="DC60" t="str">
        <f>AND(#REF!,"AAAAAF/+/2o=")</f>
        <v>#REF!</v>
      </c>
      <c r="DD60" t="str">
        <f>AND(#REF!,"AAAAAF/+/2s=")</f>
        <v>#REF!</v>
      </c>
      <c r="DE60" t="str">
        <f>AND(#REF!,"AAAAAF/+/2w=")</f>
        <v>#REF!</v>
      </c>
      <c r="DF60" t="str">
        <f>AND(#REF!,"AAAAAF/+/20=")</f>
        <v>#REF!</v>
      </c>
      <c r="DG60" t="str">
        <f>AND(#REF!,"AAAAAF/+/24=")</f>
        <v>#REF!</v>
      </c>
      <c r="DH60" t="str">
        <f>AND(#REF!,"AAAAAF/+/28=")</f>
        <v>#REF!</v>
      </c>
      <c r="DI60" t="str">
        <f>AND(#REF!,"AAAAAF/+/3A=")</f>
        <v>#REF!</v>
      </c>
      <c r="DJ60" t="str">
        <f>AND(#REF!,"AAAAAF/+/3E=")</f>
        <v>#REF!</v>
      </c>
      <c r="DK60" t="str">
        <f>AND(#REF!,"AAAAAF/+/3I=")</f>
        <v>#REF!</v>
      </c>
      <c r="DL60" t="str">
        <f>AND(#REF!,"AAAAAF/+/3M=")</f>
        <v>#REF!</v>
      </c>
      <c r="DM60" t="str">
        <f>AND(#REF!,"AAAAAF/+/3Q=")</f>
        <v>#REF!</v>
      </c>
      <c r="DN60" t="str">
        <f>AND(#REF!,"AAAAAF/+/3U=")</f>
        <v>#REF!</v>
      </c>
      <c r="DO60" t="str">
        <f>AND(#REF!,"AAAAAF/+/3Y=")</f>
        <v>#REF!</v>
      </c>
      <c r="DP60" t="str">
        <f>AND(#REF!,"AAAAAF/+/3c=")</f>
        <v>#REF!</v>
      </c>
      <c r="DQ60" t="str">
        <f>AND(#REF!,"AAAAAF/+/3g=")</f>
        <v>#REF!</v>
      </c>
      <c r="DR60" t="str">
        <f>AND(#REF!,"AAAAAF/+/3k=")</f>
        <v>#REF!</v>
      </c>
      <c r="DS60" t="str">
        <f>AND(#REF!,"AAAAAF/+/3o=")</f>
        <v>#REF!</v>
      </c>
      <c r="DT60" t="str">
        <f>AND(#REF!,"AAAAAF/+/3s=")</f>
        <v>#REF!</v>
      </c>
      <c r="DU60" t="str">
        <f>AND(#REF!,"AAAAAF/+/3w=")</f>
        <v>#REF!</v>
      </c>
      <c r="DV60" t="str">
        <f>AND(#REF!,"AAAAAF/+/30=")</f>
        <v>#REF!</v>
      </c>
      <c r="DW60" t="str">
        <f>AND(#REF!,"AAAAAF/+/34=")</f>
        <v>#REF!</v>
      </c>
      <c r="DX60" t="str">
        <f>AND(#REF!,"AAAAAF/+/38=")</f>
        <v>#REF!</v>
      </c>
      <c r="DY60" t="str">
        <f>AND(#REF!,"AAAAAF/+/4A=")</f>
        <v>#REF!</v>
      </c>
      <c r="DZ60" t="str">
        <f>AND(#REF!,"AAAAAF/+/4E=")</f>
        <v>#REF!</v>
      </c>
      <c r="EA60" t="str">
        <f>AND(#REF!,"AAAAAF/+/4I=")</f>
        <v>#REF!</v>
      </c>
      <c r="EB60" t="str">
        <f>AND(#REF!,"AAAAAF/+/4M=")</f>
        <v>#REF!</v>
      </c>
      <c r="EC60" t="str">
        <f>AND(#REF!,"AAAAAF/+/4Q=")</f>
        <v>#REF!</v>
      </c>
      <c r="ED60" t="str">
        <f>AND(#REF!,"AAAAAF/+/4U=")</f>
        <v>#REF!</v>
      </c>
      <c r="EE60" t="str">
        <f>AND(#REF!,"AAAAAF/+/4Y=")</f>
        <v>#REF!</v>
      </c>
      <c r="EF60" t="str">
        <f>AND(#REF!,"AAAAAF/+/4c=")</f>
        <v>#REF!</v>
      </c>
      <c r="EG60" t="str">
        <f>AND(#REF!,"AAAAAF/+/4g=")</f>
        <v>#REF!</v>
      </c>
      <c r="EH60" t="str">
        <f>AND(#REF!,"AAAAAF/+/4k=")</f>
        <v>#REF!</v>
      </c>
      <c r="EI60" t="str">
        <f>AND(#REF!,"AAAAAF/+/4o=")</f>
        <v>#REF!</v>
      </c>
      <c r="EJ60" t="str">
        <f>AND(#REF!,"AAAAAF/+/4s=")</f>
        <v>#REF!</v>
      </c>
      <c r="EK60" t="str">
        <f>AND(#REF!,"AAAAAF/+/4w=")</f>
        <v>#REF!</v>
      </c>
      <c r="EL60" t="str">
        <f>AND(#REF!,"AAAAAF/+/40=")</f>
        <v>#REF!</v>
      </c>
      <c r="EM60" t="str">
        <f>AND(#REF!,"AAAAAF/+/44=")</f>
        <v>#REF!</v>
      </c>
      <c r="EN60" t="str">
        <f>IF(#REF!,"AAAAAF/+/48=",0)</f>
        <v>#REF!</v>
      </c>
      <c r="EO60" t="str">
        <f>AND(#REF!,"AAAAAF/+/5A=")</f>
        <v>#REF!</v>
      </c>
      <c r="EP60" t="str">
        <f>AND(#REF!,"AAAAAF/+/5E=")</f>
        <v>#REF!</v>
      </c>
      <c r="EQ60" t="str">
        <f>AND(#REF!,"AAAAAF/+/5I=")</f>
        <v>#REF!</v>
      </c>
      <c r="ER60" t="str">
        <f>AND(#REF!,"AAAAAF/+/5M=")</f>
        <v>#REF!</v>
      </c>
      <c r="ES60" t="str">
        <f>AND(#REF!,"AAAAAF/+/5Q=")</f>
        <v>#REF!</v>
      </c>
      <c r="ET60" t="str">
        <f>AND(#REF!,"AAAAAF/+/5U=")</f>
        <v>#REF!</v>
      </c>
      <c r="EU60" t="str">
        <f>AND(#REF!,"AAAAAF/+/5Y=")</f>
        <v>#REF!</v>
      </c>
      <c r="EV60" t="str">
        <f>AND(#REF!,"AAAAAF/+/5c=")</f>
        <v>#REF!</v>
      </c>
      <c r="EW60" t="str">
        <f>AND(#REF!,"AAAAAF/+/5g=")</f>
        <v>#REF!</v>
      </c>
      <c r="EX60" t="str">
        <f>AND(#REF!,"AAAAAF/+/5k=")</f>
        <v>#REF!</v>
      </c>
      <c r="EY60" t="str">
        <f>AND(#REF!,"AAAAAF/+/5o=")</f>
        <v>#REF!</v>
      </c>
      <c r="EZ60" t="str">
        <f>AND(#REF!,"AAAAAF/+/5s=")</f>
        <v>#REF!</v>
      </c>
      <c r="FA60" t="str">
        <f>AND(#REF!,"AAAAAF/+/5w=")</f>
        <v>#REF!</v>
      </c>
      <c r="FB60" t="str">
        <f>AND(#REF!,"AAAAAF/+/50=")</f>
        <v>#REF!</v>
      </c>
      <c r="FC60" t="str">
        <f>AND(#REF!,"AAAAAF/+/54=")</f>
        <v>#REF!</v>
      </c>
      <c r="FD60" t="str">
        <f>AND(#REF!,"AAAAAF/+/58=")</f>
        <v>#REF!</v>
      </c>
      <c r="FE60" t="str">
        <f>AND(#REF!,"AAAAAF/+/6A=")</f>
        <v>#REF!</v>
      </c>
      <c r="FF60" t="str">
        <f>AND(#REF!,"AAAAAF/+/6E=")</f>
        <v>#REF!</v>
      </c>
      <c r="FG60" t="str">
        <f>AND(#REF!,"AAAAAF/+/6I=")</f>
        <v>#REF!</v>
      </c>
      <c r="FH60" t="str">
        <f>AND(#REF!,"AAAAAF/+/6M=")</f>
        <v>#REF!</v>
      </c>
      <c r="FI60" t="str">
        <f>AND(#REF!,"AAAAAF/+/6Q=")</f>
        <v>#REF!</v>
      </c>
      <c r="FJ60" t="str">
        <f>AND(#REF!,"AAAAAF/+/6U=")</f>
        <v>#REF!</v>
      </c>
      <c r="FK60" t="str">
        <f>AND(#REF!,"AAAAAF/+/6Y=")</f>
        <v>#REF!</v>
      </c>
      <c r="FL60" t="str">
        <f>AND(#REF!,"AAAAAF/+/6c=")</f>
        <v>#REF!</v>
      </c>
      <c r="FM60" t="str">
        <f>AND(#REF!,"AAAAAF/+/6g=")</f>
        <v>#REF!</v>
      </c>
      <c r="FN60" t="str">
        <f>AND(#REF!,"AAAAAF/+/6k=")</f>
        <v>#REF!</v>
      </c>
      <c r="FO60" t="str">
        <f>AND(#REF!,"AAAAAF/+/6o=")</f>
        <v>#REF!</v>
      </c>
      <c r="FP60" t="str">
        <f>AND(#REF!,"AAAAAF/+/6s=")</f>
        <v>#REF!</v>
      </c>
      <c r="FQ60" t="str">
        <f>AND(#REF!,"AAAAAF/+/6w=")</f>
        <v>#REF!</v>
      </c>
      <c r="FR60" t="str">
        <f>AND(#REF!,"AAAAAF/+/60=")</f>
        <v>#REF!</v>
      </c>
      <c r="FS60" t="str">
        <f>AND(#REF!,"AAAAAF/+/64=")</f>
        <v>#REF!</v>
      </c>
      <c r="FT60" t="str">
        <f>AND(#REF!,"AAAAAF/+/68=")</f>
        <v>#REF!</v>
      </c>
      <c r="FU60" t="str">
        <f>AND(#REF!,"AAAAAF/+/7A=")</f>
        <v>#REF!</v>
      </c>
      <c r="FV60" t="str">
        <f>AND(#REF!,"AAAAAF/+/7E=")</f>
        <v>#REF!</v>
      </c>
      <c r="FW60" t="str">
        <f>AND(#REF!,"AAAAAF/+/7I=")</f>
        <v>#REF!</v>
      </c>
      <c r="FX60" t="str">
        <f>AND(#REF!,"AAAAAF/+/7M=")</f>
        <v>#REF!</v>
      </c>
      <c r="FY60" t="str">
        <f>AND(#REF!,"AAAAAF/+/7Q=")</f>
        <v>#REF!</v>
      </c>
      <c r="FZ60" t="str">
        <f>AND(#REF!,"AAAAAF/+/7U=")</f>
        <v>#REF!</v>
      </c>
      <c r="GA60" t="str">
        <f>AND(#REF!,"AAAAAF/+/7Y=")</f>
        <v>#REF!</v>
      </c>
      <c r="GB60" t="str">
        <f>AND(#REF!,"AAAAAF/+/7c=")</f>
        <v>#REF!</v>
      </c>
      <c r="GC60" t="str">
        <f>AND(#REF!,"AAAAAF/+/7g=")</f>
        <v>#REF!</v>
      </c>
      <c r="GD60" t="str">
        <f>AND(#REF!,"AAAAAF/+/7k=")</f>
        <v>#REF!</v>
      </c>
      <c r="GE60" t="str">
        <f>AND(#REF!,"AAAAAF/+/7o=")</f>
        <v>#REF!</v>
      </c>
      <c r="GF60" t="str">
        <f>AND(#REF!,"AAAAAF/+/7s=")</f>
        <v>#REF!</v>
      </c>
      <c r="GG60" t="str">
        <f>AND(#REF!,"AAAAAF/+/7w=")</f>
        <v>#REF!</v>
      </c>
      <c r="GH60" t="str">
        <f>AND(#REF!,"AAAAAF/+/70=")</f>
        <v>#REF!</v>
      </c>
      <c r="GI60" t="str">
        <f>AND(#REF!,"AAAAAF/+/74=")</f>
        <v>#REF!</v>
      </c>
      <c r="GJ60" t="str">
        <f>AND(#REF!,"AAAAAF/+/78=")</f>
        <v>#REF!</v>
      </c>
      <c r="GK60" t="str">
        <f>AND(#REF!,"AAAAAF/+/8A=")</f>
        <v>#REF!</v>
      </c>
      <c r="GL60" t="str">
        <f>AND(#REF!,"AAAAAF/+/8E=")</f>
        <v>#REF!</v>
      </c>
      <c r="GM60" t="str">
        <f>AND(#REF!,"AAAAAF/+/8I=")</f>
        <v>#REF!</v>
      </c>
      <c r="GN60" t="str">
        <f>AND(#REF!,"AAAAAF/+/8M=")</f>
        <v>#REF!</v>
      </c>
      <c r="GO60" t="str">
        <f>AND(#REF!,"AAAAAF/+/8Q=")</f>
        <v>#REF!</v>
      </c>
      <c r="GP60" t="str">
        <f>AND(#REF!,"AAAAAF/+/8U=")</f>
        <v>#REF!</v>
      </c>
      <c r="GQ60" t="str">
        <f>AND(#REF!,"AAAAAF/+/8Y=")</f>
        <v>#REF!</v>
      </c>
      <c r="GR60" t="str">
        <f>AND(#REF!,"AAAAAF/+/8c=")</f>
        <v>#REF!</v>
      </c>
      <c r="GS60" t="str">
        <f>AND(#REF!,"AAAAAF/+/8g=")</f>
        <v>#REF!</v>
      </c>
      <c r="GT60" t="str">
        <f>AND(#REF!,"AAAAAF/+/8k=")</f>
        <v>#REF!</v>
      </c>
      <c r="GU60" t="str">
        <f>AND(#REF!,"AAAAAF/+/8o=")</f>
        <v>#REF!</v>
      </c>
      <c r="GV60" t="str">
        <f>AND(#REF!,"AAAAAF/+/8s=")</f>
        <v>#REF!</v>
      </c>
      <c r="GW60" t="str">
        <f>AND(#REF!,"AAAAAF/+/8w=")</f>
        <v>#REF!</v>
      </c>
      <c r="GX60" t="str">
        <f>AND(#REF!,"AAAAAF/+/80=")</f>
        <v>#REF!</v>
      </c>
      <c r="GY60" t="str">
        <f>AND(#REF!,"AAAAAF/+/84=")</f>
        <v>#REF!</v>
      </c>
      <c r="GZ60" t="str">
        <f>AND(#REF!,"AAAAAF/+/88=")</f>
        <v>#REF!</v>
      </c>
      <c r="HA60" t="str">
        <f>AND(#REF!,"AAAAAF/+/9A=")</f>
        <v>#REF!</v>
      </c>
      <c r="HB60" t="str">
        <f>AND(#REF!,"AAAAAF/+/9E=")</f>
        <v>#REF!</v>
      </c>
      <c r="HC60" t="str">
        <f>AND(#REF!,"AAAAAF/+/9I=")</f>
        <v>#REF!</v>
      </c>
      <c r="HD60" t="str">
        <f>AND(#REF!,"AAAAAF/+/9M=")</f>
        <v>#REF!</v>
      </c>
      <c r="HE60" t="str">
        <f>AND(#REF!,"AAAAAF/+/9Q=")</f>
        <v>#REF!</v>
      </c>
      <c r="HF60" t="str">
        <f>AND(#REF!,"AAAAAF/+/9U=")</f>
        <v>#REF!</v>
      </c>
      <c r="HG60" t="str">
        <f>AND(#REF!,"AAAAAF/+/9Y=")</f>
        <v>#REF!</v>
      </c>
      <c r="HH60" t="str">
        <f>AND(#REF!,"AAAAAF/+/9c=")</f>
        <v>#REF!</v>
      </c>
      <c r="HI60" t="str">
        <f>AND(#REF!,"AAAAAF/+/9g=")</f>
        <v>#REF!</v>
      </c>
      <c r="HJ60" t="str">
        <f>AND(#REF!,"AAAAAF/+/9k=")</f>
        <v>#REF!</v>
      </c>
      <c r="HK60" t="str">
        <f>AND(#REF!,"AAAAAF/+/9o=")</f>
        <v>#REF!</v>
      </c>
      <c r="HL60" t="str">
        <f>IF(#REF!,"AAAAAF/+/9s=",0)</f>
        <v>#REF!</v>
      </c>
      <c r="HM60" t="str">
        <f>AND(#REF!,"AAAAAF/+/9w=")</f>
        <v>#REF!</v>
      </c>
      <c r="HN60" t="str">
        <f>AND(#REF!,"AAAAAF/+/90=")</f>
        <v>#REF!</v>
      </c>
      <c r="HO60" t="str">
        <f>AND(#REF!,"AAAAAF/+/94=")</f>
        <v>#REF!</v>
      </c>
      <c r="HP60" t="str">
        <f>AND(#REF!,"AAAAAF/+/98=")</f>
        <v>#REF!</v>
      </c>
      <c r="HQ60" t="str">
        <f>AND(#REF!,"AAAAAF/+/+A=")</f>
        <v>#REF!</v>
      </c>
      <c r="HR60" t="str">
        <f>AND(#REF!,"AAAAAF/+/+E=")</f>
        <v>#REF!</v>
      </c>
      <c r="HS60" t="str">
        <f>AND(#REF!,"AAAAAF/+/+I=")</f>
        <v>#REF!</v>
      </c>
      <c r="HT60" t="str">
        <f>AND(#REF!,"AAAAAF/+/+M=")</f>
        <v>#REF!</v>
      </c>
      <c r="HU60" t="str">
        <f>AND(#REF!,"AAAAAF/+/+Q=")</f>
        <v>#REF!</v>
      </c>
      <c r="HV60" t="str">
        <f>AND(#REF!,"AAAAAF/+/+U=")</f>
        <v>#REF!</v>
      </c>
      <c r="HW60" t="str">
        <f>AND(#REF!,"AAAAAF/+/+Y=")</f>
        <v>#REF!</v>
      </c>
      <c r="HX60" t="str">
        <f>AND(#REF!,"AAAAAF/+/+c=")</f>
        <v>#REF!</v>
      </c>
      <c r="HY60" t="str">
        <f>AND(#REF!,"AAAAAF/+/+g=")</f>
        <v>#REF!</v>
      </c>
      <c r="HZ60" t="str">
        <f>AND(#REF!,"AAAAAF/+/+k=")</f>
        <v>#REF!</v>
      </c>
      <c r="IA60" t="str">
        <f>AND(#REF!,"AAAAAF/+/+o=")</f>
        <v>#REF!</v>
      </c>
      <c r="IB60" t="str">
        <f>AND(#REF!,"AAAAAF/+/+s=")</f>
        <v>#REF!</v>
      </c>
      <c r="IC60" t="str">
        <f>AND(#REF!,"AAAAAF/+/+w=")</f>
        <v>#REF!</v>
      </c>
      <c r="ID60" t="str">
        <f>AND(#REF!,"AAAAAF/+/+0=")</f>
        <v>#REF!</v>
      </c>
      <c r="IE60" t="str">
        <f>AND(#REF!,"AAAAAF/+/+4=")</f>
        <v>#REF!</v>
      </c>
      <c r="IF60" t="str">
        <f>AND(#REF!,"AAAAAF/+/+8=")</f>
        <v>#REF!</v>
      </c>
      <c r="IG60" t="str">
        <f>AND(#REF!,"AAAAAF/+//A=")</f>
        <v>#REF!</v>
      </c>
      <c r="IH60" t="str">
        <f>AND(#REF!,"AAAAAF/+//E=")</f>
        <v>#REF!</v>
      </c>
      <c r="II60" t="str">
        <f>AND(#REF!,"AAAAAF/+//I=")</f>
        <v>#REF!</v>
      </c>
      <c r="IJ60" t="str">
        <f>AND(#REF!,"AAAAAF/+//M=")</f>
        <v>#REF!</v>
      </c>
      <c r="IK60" t="str">
        <f>AND(#REF!,"AAAAAF/+//Q=")</f>
        <v>#REF!</v>
      </c>
      <c r="IL60" t="str">
        <f>AND(#REF!,"AAAAAF/+//U=")</f>
        <v>#REF!</v>
      </c>
      <c r="IM60" t="str">
        <f>AND(#REF!,"AAAAAF/+//Y=")</f>
        <v>#REF!</v>
      </c>
      <c r="IN60" t="str">
        <f>AND(#REF!,"AAAAAF/+//c=")</f>
        <v>#REF!</v>
      </c>
      <c r="IO60" t="str">
        <f>AND(#REF!,"AAAAAF/+//g=")</f>
        <v>#REF!</v>
      </c>
      <c r="IP60" t="str">
        <f>AND(#REF!,"AAAAAF/+//k=")</f>
        <v>#REF!</v>
      </c>
      <c r="IQ60" t="str">
        <f>AND(#REF!,"AAAAAF/+//o=")</f>
        <v>#REF!</v>
      </c>
      <c r="IR60" t="str">
        <f>AND(#REF!,"AAAAAF/+//s=")</f>
        <v>#REF!</v>
      </c>
      <c r="IS60" t="str">
        <f>AND(#REF!,"AAAAAF/+//w=")</f>
        <v>#REF!</v>
      </c>
      <c r="IT60" t="str">
        <f>AND(#REF!,"AAAAAF/+//0=")</f>
        <v>#REF!</v>
      </c>
      <c r="IU60" t="str">
        <f>AND(#REF!,"AAAAAF/+//4=")</f>
        <v>#REF!</v>
      </c>
      <c r="IV60" t="str">
        <f>AND(#REF!,"AAAAAF/+//8=")</f>
        <v>#REF!</v>
      </c>
    </row>
    <row r="61" ht="15.75" customHeight="1">
      <c r="A61" t="str">
        <f>AND(#REF!,"AAAAAG3/+wA=")</f>
        <v>#REF!</v>
      </c>
      <c r="B61" t="str">
        <f>AND(#REF!,"AAAAAG3/+wE=")</f>
        <v>#REF!</v>
      </c>
      <c r="C61" t="str">
        <f>AND(#REF!,"AAAAAG3/+wI=")</f>
        <v>#REF!</v>
      </c>
      <c r="D61" t="str">
        <f>AND(#REF!,"AAAAAG3/+wM=")</f>
        <v>#REF!</v>
      </c>
      <c r="E61" t="str">
        <f>AND(#REF!,"AAAAAG3/+wQ=")</f>
        <v>#REF!</v>
      </c>
      <c r="F61" t="str">
        <f>AND(#REF!,"AAAAAG3/+wU=")</f>
        <v>#REF!</v>
      </c>
      <c r="G61" t="str">
        <f>AND(#REF!,"AAAAAG3/+wY=")</f>
        <v>#REF!</v>
      </c>
      <c r="H61" t="str">
        <f>AND(#REF!,"AAAAAG3/+wc=")</f>
        <v>#REF!</v>
      </c>
      <c r="I61" t="str">
        <f>AND(#REF!,"AAAAAG3/+wg=")</f>
        <v>#REF!</v>
      </c>
      <c r="J61" t="str">
        <f>AND(#REF!,"AAAAAG3/+wk=")</f>
        <v>#REF!</v>
      </c>
      <c r="K61" t="str">
        <f>AND(#REF!,"AAAAAG3/+wo=")</f>
        <v>#REF!</v>
      </c>
      <c r="L61" t="str">
        <f>AND(#REF!,"AAAAAG3/+ws=")</f>
        <v>#REF!</v>
      </c>
      <c r="M61" t="str">
        <f>AND(#REF!,"AAAAAG3/+ww=")</f>
        <v>#REF!</v>
      </c>
      <c r="N61" t="str">
        <f>AND(#REF!,"AAAAAG3/+w0=")</f>
        <v>#REF!</v>
      </c>
      <c r="O61" t="str">
        <f>AND(#REF!,"AAAAAG3/+w4=")</f>
        <v>#REF!</v>
      </c>
      <c r="P61" t="str">
        <f>AND(#REF!,"AAAAAG3/+w8=")</f>
        <v>#REF!</v>
      </c>
      <c r="Q61" t="str">
        <f>AND(#REF!,"AAAAAG3/+xA=")</f>
        <v>#REF!</v>
      </c>
      <c r="R61" t="str">
        <f>AND(#REF!,"AAAAAG3/+xE=")</f>
        <v>#REF!</v>
      </c>
      <c r="S61" t="str">
        <f>AND(#REF!,"AAAAAG3/+xI=")</f>
        <v>#REF!</v>
      </c>
      <c r="T61" t="str">
        <f>AND(#REF!,"AAAAAG3/+xM=")</f>
        <v>#REF!</v>
      </c>
      <c r="U61" t="str">
        <f>AND(#REF!,"AAAAAG3/+xQ=")</f>
        <v>#REF!</v>
      </c>
      <c r="V61" t="str">
        <f>AND(#REF!,"AAAAAG3/+xU=")</f>
        <v>#REF!</v>
      </c>
      <c r="W61" t="str">
        <f>AND(#REF!,"AAAAAG3/+xY=")</f>
        <v>#REF!</v>
      </c>
      <c r="X61" t="str">
        <f>AND(#REF!,"AAAAAG3/+xc=")</f>
        <v>#REF!</v>
      </c>
      <c r="Y61" t="str">
        <f>AND(#REF!,"AAAAAG3/+xg=")</f>
        <v>#REF!</v>
      </c>
      <c r="Z61" t="str">
        <f>AND(#REF!,"AAAAAG3/+xk=")</f>
        <v>#REF!</v>
      </c>
      <c r="AA61" t="str">
        <f>AND(#REF!,"AAAAAG3/+xo=")</f>
        <v>#REF!</v>
      </c>
      <c r="AB61" t="str">
        <f>AND(#REF!,"AAAAAG3/+xs=")</f>
        <v>#REF!</v>
      </c>
      <c r="AC61" t="str">
        <f>AND(#REF!,"AAAAAG3/+xw=")</f>
        <v>#REF!</v>
      </c>
      <c r="AD61" t="str">
        <f>AND(#REF!,"AAAAAG3/+x0=")</f>
        <v>#REF!</v>
      </c>
      <c r="AE61" t="str">
        <f>AND(#REF!,"AAAAAG3/+x4=")</f>
        <v>#REF!</v>
      </c>
      <c r="AF61" t="str">
        <f>AND(#REF!,"AAAAAG3/+x8=")</f>
        <v>#REF!</v>
      </c>
      <c r="AG61" t="str">
        <f>AND(#REF!,"AAAAAG3/+yA=")</f>
        <v>#REF!</v>
      </c>
      <c r="AH61" t="str">
        <f>AND(#REF!,"AAAAAG3/+yE=")</f>
        <v>#REF!</v>
      </c>
      <c r="AI61" t="str">
        <f>AND(#REF!,"AAAAAG3/+yI=")</f>
        <v>#REF!</v>
      </c>
      <c r="AJ61" t="str">
        <f>AND(#REF!,"AAAAAG3/+yM=")</f>
        <v>#REF!</v>
      </c>
      <c r="AK61" t="str">
        <f>AND(#REF!,"AAAAAG3/+yQ=")</f>
        <v>#REF!</v>
      </c>
      <c r="AL61" t="str">
        <f>AND(#REF!,"AAAAAG3/+yU=")</f>
        <v>#REF!</v>
      </c>
      <c r="AM61" t="str">
        <f>AND(#REF!,"AAAAAG3/+yY=")</f>
        <v>#REF!</v>
      </c>
      <c r="AN61" t="str">
        <f>IF(#REF!,"AAAAAG3/+yc=",0)</f>
        <v>#REF!</v>
      </c>
      <c r="AO61" t="str">
        <f>AND(#REF!,"AAAAAG3/+yg=")</f>
        <v>#REF!</v>
      </c>
      <c r="AP61" t="str">
        <f>AND(#REF!,"AAAAAG3/+yk=")</f>
        <v>#REF!</v>
      </c>
      <c r="AQ61" t="str">
        <f>AND(#REF!,"AAAAAG3/+yo=")</f>
        <v>#REF!</v>
      </c>
      <c r="AR61" t="str">
        <f>AND(#REF!,"AAAAAG3/+ys=")</f>
        <v>#REF!</v>
      </c>
      <c r="AS61" t="str">
        <f>AND(#REF!,"AAAAAG3/+yw=")</f>
        <v>#REF!</v>
      </c>
      <c r="AT61" t="str">
        <f>AND(#REF!,"AAAAAG3/+y0=")</f>
        <v>#REF!</v>
      </c>
      <c r="AU61" t="str">
        <f>AND(#REF!,"AAAAAG3/+y4=")</f>
        <v>#REF!</v>
      </c>
      <c r="AV61" t="str">
        <f>AND(#REF!,"AAAAAG3/+y8=")</f>
        <v>#REF!</v>
      </c>
      <c r="AW61" t="str">
        <f>AND(#REF!,"AAAAAG3/+zA=")</f>
        <v>#REF!</v>
      </c>
      <c r="AX61" t="str">
        <f>AND(#REF!,"AAAAAG3/+zE=")</f>
        <v>#REF!</v>
      </c>
      <c r="AY61" t="str">
        <f>AND(#REF!,"AAAAAG3/+zI=")</f>
        <v>#REF!</v>
      </c>
      <c r="AZ61" t="str">
        <f>AND(#REF!,"AAAAAG3/+zM=")</f>
        <v>#REF!</v>
      </c>
      <c r="BA61" t="str">
        <f>AND(#REF!,"AAAAAG3/+zQ=")</f>
        <v>#REF!</v>
      </c>
      <c r="BB61" t="str">
        <f>AND(#REF!,"AAAAAG3/+zU=")</f>
        <v>#REF!</v>
      </c>
      <c r="BC61" t="str">
        <f>AND(#REF!,"AAAAAG3/+zY=")</f>
        <v>#REF!</v>
      </c>
      <c r="BD61" t="str">
        <f>AND(#REF!,"AAAAAG3/+zc=")</f>
        <v>#REF!</v>
      </c>
      <c r="BE61" t="str">
        <f>AND(#REF!,"AAAAAG3/+zg=")</f>
        <v>#REF!</v>
      </c>
      <c r="BF61" t="str">
        <f>AND(#REF!,"AAAAAG3/+zk=")</f>
        <v>#REF!</v>
      </c>
      <c r="BG61" t="str">
        <f>AND(#REF!,"AAAAAG3/+zo=")</f>
        <v>#REF!</v>
      </c>
      <c r="BH61" t="str">
        <f>AND(#REF!,"AAAAAG3/+zs=")</f>
        <v>#REF!</v>
      </c>
      <c r="BI61" t="str">
        <f>AND(#REF!,"AAAAAG3/+zw=")</f>
        <v>#REF!</v>
      </c>
      <c r="BJ61" t="str">
        <f>AND(#REF!,"AAAAAG3/+z0=")</f>
        <v>#REF!</v>
      </c>
      <c r="BK61" t="str">
        <f>AND(#REF!,"AAAAAG3/+z4=")</f>
        <v>#REF!</v>
      </c>
      <c r="BL61" t="str">
        <f>AND(#REF!,"AAAAAG3/+z8=")</f>
        <v>#REF!</v>
      </c>
      <c r="BM61" t="str">
        <f>AND(#REF!,"AAAAAG3/+0A=")</f>
        <v>#REF!</v>
      </c>
      <c r="BN61" t="str">
        <f>AND(#REF!,"AAAAAG3/+0E=")</f>
        <v>#REF!</v>
      </c>
      <c r="BO61" t="str">
        <f>AND(#REF!,"AAAAAG3/+0I=")</f>
        <v>#REF!</v>
      </c>
      <c r="BP61" t="str">
        <f>AND(#REF!,"AAAAAG3/+0M=")</f>
        <v>#REF!</v>
      </c>
      <c r="BQ61" t="str">
        <f>AND(#REF!,"AAAAAG3/+0Q=")</f>
        <v>#REF!</v>
      </c>
      <c r="BR61" t="str">
        <f>AND(#REF!,"AAAAAG3/+0U=")</f>
        <v>#REF!</v>
      </c>
      <c r="BS61" t="str">
        <f>AND(#REF!,"AAAAAG3/+0Y=")</f>
        <v>#REF!</v>
      </c>
      <c r="BT61" t="str">
        <f>AND(#REF!,"AAAAAG3/+0c=")</f>
        <v>#REF!</v>
      </c>
      <c r="BU61" t="str">
        <f>AND(#REF!,"AAAAAG3/+0g=")</f>
        <v>#REF!</v>
      </c>
      <c r="BV61" t="str">
        <f>AND(#REF!,"AAAAAG3/+0k=")</f>
        <v>#REF!</v>
      </c>
      <c r="BW61" t="str">
        <f>AND(#REF!,"AAAAAG3/+0o=")</f>
        <v>#REF!</v>
      </c>
      <c r="BX61" t="str">
        <f>AND(#REF!,"AAAAAG3/+0s=")</f>
        <v>#REF!</v>
      </c>
      <c r="BY61" t="str">
        <f>AND(#REF!,"AAAAAG3/+0w=")</f>
        <v>#REF!</v>
      </c>
      <c r="BZ61" t="str">
        <f>AND(#REF!,"AAAAAG3/+00=")</f>
        <v>#REF!</v>
      </c>
      <c r="CA61" t="str">
        <f>AND(#REF!,"AAAAAG3/+04=")</f>
        <v>#REF!</v>
      </c>
      <c r="CB61" t="str">
        <f>AND(#REF!,"AAAAAG3/+08=")</f>
        <v>#REF!</v>
      </c>
      <c r="CC61" t="str">
        <f>AND(#REF!,"AAAAAG3/+1A=")</f>
        <v>#REF!</v>
      </c>
      <c r="CD61" t="str">
        <f>AND(#REF!,"AAAAAG3/+1E=")</f>
        <v>#REF!</v>
      </c>
      <c r="CE61" t="str">
        <f>AND(#REF!,"AAAAAG3/+1I=")</f>
        <v>#REF!</v>
      </c>
      <c r="CF61" t="str">
        <f>AND(#REF!,"AAAAAG3/+1M=")</f>
        <v>#REF!</v>
      </c>
      <c r="CG61" t="str">
        <f>AND(#REF!,"AAAAAG3/+1Q=")</f>
        <v>#REF!</v>
      </c>
      <c r="CH61" t="str">
        <f>AND(#REF!,"AAAAAG3/+1U=")</f>
        <v>#REF!</v>
      </c>
      <c r="CI61" t="str">
        <f>AND(#REF!,"AAAAAG3/+1Y=")</f>
        <v>#REF!</v>
      </c>
      <c r="CJ61" t="str">
        <f>AND(#REF!,"AAAAAG3/+1c=")</f>
        <v>#REF!</v>
      </c>
      <c r="CK61" t="str">
        <f>AND(#REF!,"AAAAAG3/+1g=")</f>
        <v>#REF!</v>
      </c>
      <c r="CL61" t="str">
        <f>AND(#REF!,"AAAAAG3/+1k=")</f>
        <v>#REF!</v>
      </c>
      <c r="CM61" t="str">
        <f>AND(#REF!,"AAAAAG3/+1o=")</f>
        <v>#REF!</v>
      </c>
      <c r="CN61" t="str">
        <f>AND(#REF!,"AAAAAG3/+1s=")</f>
        <v>#REF!</v>
      </c>
      <c r="CO61" t="str">
        <f>AND(#REF!,"AAAAAG3/+1w=")</f>
        <v>#REF!</v>
      </c>
      <c r="CP61" t="str">
        <f>AND(#REF!,"AAAAAG3/+10=")</f>
        <v>#REF!</v>
      </c>
      <c r="CQ61" t="str">
        <f>AND(#REF!,"AAAAAG3/+14=")</f>
        <v>#REF!</v>
      </c>
      <c r="CR61" t="str">
        <f>AND(#REF!,"AAAAAG3/+18=")</f>
        <v>#REF!</v>
      </c>
      <c r="CS61" t="str">
        <f>AND(#REF!,"AAAAAG3/+2A=")</f>
        <v>#REF!</v>
      </c>
      <c r="CT61" t="str">
        <f>AND(#REF!,"AAAAAG3/+2E=")</f>
        <v>#REF!</v>
      </c>
      <c r="CU61" t="str">
        <f>AND(#REF!,"AAAAAG3/+2I=")</f>
        <v>#REF!</v>
      </c>
      <c r="CV61" t="str">
        <f>AND(#REF!,"AAAAAG3/+2M=")</f>
        <v>#REF!</v>
      </c>
      <c r="CW61" t="str">
        <f>AND(#REF!,"AAAAAG3/+2Q=")</f>
        <v>#REF!</v>
      </c>
      <c r="CX61" t="str">
        <f>AND(#REF!,"AAAAAG3/+2U=")</f>
        <v>#REF!</v>
      </c>
      <c r="CY61" t="str">
        <f>AND(#REF!,"AAAAAG3/+2Y=")</f>
        <v>#REF!</v>
      </c>
      <c r="CZ61" t="str">
        <f>AND(#REF!,"AAAAAG3/+2c=")</f>
        <v>#REF!</v>
      </c>
      <c r="DA61" t="str">
        <f>AND(#REF!,"AAAAAG3/+2g=")</f>
        <v>#REF!</v>
      </c>
      <c r="DB61" t="str">
        <f>AND(#REF!,"AAAAAG3/+2k=")</f>
        <v>#REF!</v>
      </c>
      <c r="DC61" t="str">
        <f>AND(#REF!,"AAAAAG3/+2o=")</f>
        <v>#REF!</v>
      </c>
      <c r="DD61" t="str">
        <f>AND(#REF!,"AAAAAG3/+2s=")</f>
        <v>#REF!</v>
      </c>
      <c r="DE61" t="str">
        <f>AND(#REF!,"AAAAAG3/+2w=")</f>
        <v>#REF!</v>
      </c>
      <c r="DF61" t="str">
        <f>AND(#REF!,"AAAAAG3/+20=")</f>
        <v>#REF!</v>
      </c>
      <c r="DG61" t="str">
        <f>AND(#REF!,"AAAAAG3/+24=")</f>
        <v>#REF!</v>
      </c>
      <c r="DH61" t="str">
        <f>AND(#REF!,"AAAAAG3/+28=")</f>
        <v>#REF!</v>
      </c>
      <c r="DI61" t="str">
        <f>AND(#REF!,"AAAAAG3/+3A=")</f>
        <v>#REF!</v>
      </c>
      <c r="DJ61" t="str">
        <f>AND(#REF!,"AAAAAG3/+3E=")</f>
        <v>#REF!</v>
      </c>
      <c r="DK61" t="str">
        <f>AND(#REF!,"AAAAAG3/+3I=")</f>
        <v>#REF!</v>
      </c>
      <c r="DL61" t="str">
        <f>IF(#REF!,"AAAAAG3/+3M=",0)</f>
        <v>#REF!</v>
      </c>
      <c r="DM61" t="str">
        <f>AND(#REF!,"AAAAAG3/+3Q=")</f>
        <v>#REF!</v>
      </c>
      <c r="DN61" t="str">
        <f>AND(#REF!,"AAAAAG3/+3U=")</f>
        <v>#REF!</v>
      </c>
      <c r="DO61" t="str">
        <f>AND(#REF!,"AAAAAG3/+3Y=")</f>
        <v>#REF!</v>
      </c>
      <c r="DP61" t="str">
        <f>AND(#REF!,"AAAAAG3/+3c=")</f>
        <v>#REF!</v>
      </c>
      <c r="DQ61" t="str">
        <f>AND(#REF!,"AAAAAG3/+3g=")</f>
        <v>#REF!</v>
      </c>
      <c r="DR61" t="str">
        <f>AND(#REF!,"AAAAAG3/+3k=")</f>
        <v>#REF!</v>
      </c>
      <c r="DS61" t="str">
        <f>AND(#REF!,"AAAAAG3/+3o=")</f>
        <v>#REF!</v>
      </c>
      <c r="DT61" t="str">
        <f>AND(#REF!,"AAAAAG3/+3s=")</f>
        <v>#REF!</v>
      </c>
      <c r="DU61" t="str">
        <f>AND(#REF!,"AAAAAG3/+3w=")</f>
        <v>#REF!</v>
      </c>
      <c r="DV61" t="str">
        <f>AND(#REF!,"AAAAAG3/+30=")</f>
        <v>#REF!</v>
      </c>
      <c r="DW61" t="str">
        <f>AND(#REF!,"AAAAAG3/+34=")</f>
        <v>#REF!</v>
      </c>
      <c r="DX61" t="str">
        <f>AND(#REF!,"AAAAAG3/+38=")</f>
        <v>#REF!</v>
      </c>
      <c r="DY61" t="str">
        <f>AND(#REF!,"AAAAAG3/+4A=")</f>
        <v>#REF!</v>
      </c>
      <c r="DZ61" t="str">
        <f>AND(#REF!,"AAAAAG3/+4E=")</f>
        <v>#REF!</v>
      </c>
      <c r="EA61" t="str">
        <f>AND(#REF!,"AAAAAG3/+4I=")</f>
        <v>#REF!</v>
      </c>
      <c r="EB61" t="str">
        <f>AND(#REF!,"AAAAAG3/+4M=")</f>
        <v>#REF!</v>
      </c>
      <c r="EC61" t="str">
        <f>AND(#REF!,"AAAAAG3/+4Q=")</f>
        <v>#REF!</v>
      </c>
      <c r="ED61" t="str">
        <f>AND(#REF!,"AAAAAG3/+4U=")</f>
        <v>#REF!</v>
      </c>
      <c r="EE61" t="str">
        <f>AND(#REF!,"AAAAAG3/+4Y=")</f>
        <v>#REF!</v>
      </c>
      <c r="EF61" t="str">
        <f>AND(#REF!,"AAAAAG3/+4c=")</f>
        <v>#REF!</v>
      </c>
      <c r="EG61" t="str">
        <f>AND(#REF!,"AAAAAG3/+4g=")</f>
        <v>#REF!</v>
      </c>
      <c r="EH61" t="str">
        <f>AND(#REF!,"AAAAAG3/+4k=")</f>
        <v>#REF!</v>
      </c>
      <c r="EI61" t="str">
        <f>AND(#REF!,"AAAAAG3/+4o=")</f>
        <v>#REF!</v>
      </c>
      <c r="EJ61" t="str">
        <f>AND(#REF!,"AAAAAG3/+4s=")</f>
        <v>#REF!</v>
      </c>
      <c r="EK61" t="str">
        <f>AND(#REF!,"AAAAAG3/+4w=")</f>
        <v>#REF!</v>
      </c>
      <c r="EL61" t="str">
        <f>AND(#REF!,"AAAAAG3/+40=")</f>
        <v>#REF!</v>
      </c>
      <c r="EM61" t="str">
        <f>AND(#REF!,"AAAAAG3/+44=")</f>
        <v>#REF!</v>
      </c>
      <c r="EN61" t="str">
        <f>AND(#REF!,"AAAAAG3/+48=")</f>
        <v>#REF!</v>
      </c>
      <c r="EO61" t="str">
        <f>AND(#REF!,"AAAAAG3/+5A=")</f>
        <v>#REF!</v>
      </c>
      <c r="EP61" t="str">
        <f>AND(#REF!,"AAAAAG3/+5E=")</f>
        <v>#REF!</v>
      </c>
      <c r="EQ61" t="str">
        <f>AND(#REF!,"AAAAAG3/+5I=")</f>
        <v>#REF!</v>
      </c>
      <c r="ER61" t="str">
        <f>AND(#REF!,"AAAAAG3/+5M=")</f>
        <v>#REF!</v>
      </c>
      <c r="ES61" t="str">
        <f>AND(#REF!,"AAAAAG3/+5Q=")</f>
        <v>#REF!</v>
      </c>
      <c r="ET61" t="str">
        <f>AND(#REF!,"AAAAAG3/+5U=")</f>
        <v>#REF!</v>
      </c>
      <c r="EU61" t="str">
        <f>AND(#REF!,"AAAAAG3/+5Y=")</f>
        <v>#REF!</v>
      </c>
      <c r="EV61" t="str">
        <f>AND(#REF!,"AAAAAG3/+5c=")</f>
        <v>#REF!</v>
      </c>
      <c r="EW61" t="str">
        <f>AND(#REF!,"AAAAAG3/+5g=")</f>
        <v>#REF!</v>
      </c>
      <c r="EX61" t="str">
        <f>AND(#REF!,"AAAAAG3/+5k=")</f>
        <v>#REF!</v>
      </c>
      <c r="EY61" t="str">
        <f>AND(#REF!,"AAAAAG3/+5o=")</f>
        <v>#REF!</v>
      </c>
      <c r="EZ61" t="str">
        <f>AND(#REF!,"AAAAAG3/+5s=")</f>
        <v>#REF!</v>
      </c>
      <c r="FA61" t="str">
        <f>AND(#REF!,"AAAAAG3/+5w=")</f>
        <v>#REF!</v>
      </c>
      <c r="FB61" t="str">
        <f>AND(#REF!,"AAAAAG3/+50=")</f>
        <v>#REF!</v>
      </c>
      <c r="FC61" t="str">
        <f>AND(#REF!,"AAAAAG3/+54=")</f>
        <v>#REF!</v>
      </c>
      <c r="FD61" t="str">
        <f>AND(#REF!,"AAAAAG3/+58=")</f>
        <v>#REF!</v>
      </c>
      <c r="FE61" t="str">
        <f>AND(#REF!,"AAAAAG3/+6A=")</f>
        <v>#REF!</v>
      </c>
      <c r="FF61" t="str">
        <f>AND(#REF!,"AAAAAG3/+6E=")</f>
        <v>#REF!</v>
      </c>
      <c r="FG61" t="str">
        <f>AND(#REF!,"AAAAAG3/+6I=")</f>
        <v>#REF!</v>
      </c>
      <c r="FH61" t="str">
        <f>AND(#REF!,"AAAAAG3/+6M=")</f>
        <v>#REF!</v>
      </c>
      <c r="FI61" t="str">
        <f>AND(#REF!,"AAAAAG3/+6Q=")</f>
        <v>#REF!</v>
      </c>
      <c r="FJ61" t="str">
        <f>AND(#REF!,"AAAAAG3/+6U=")</f>
        <v>#REF!</v>
      </c>
      <c r="FK61" t="str">
        <f>AND(#REF!,"AAAAAG3/+6Y=")</f>
        <v>#REF!</v>
      </c>
      <c r="FL61" t="str">
        <f>AND(#REF!,"AAAAAG3/+6c=")</f>
        <v>#REF!</v>
      </c>
      <c r="FM61" t="str">
        <f>AND(#REF!,"AAAAAG3/+6g=")</f>
        <v>#REF!</v>
      </c>
      <c r="FN61" t="str">
        <f>AND(#REF!,"AAAAAG3/+6k=")</f>
        <v>#REF!</v>
      </c>
      <c r="FO61" t="str">
        <f>AND(#REF!,"AAAAAG3/+6o=")</f>
        <v>#REF!</v>
      </c>
      <c r="FP61" t="str">
        <f>AND(#REF!,"AAAAAG3/+6s=")</f>
        <v>#REF!</v>
      </c>
      <c r="FQ61" t="str">
        <f>AND(#REF!,"AAAAAG3/+6w=")</f>
        <v>#REF!</v>
      </c>
      <c r="FR61" t="str">
        <f>AND(#REF!,"AAAAAG3/+60=")</f>
        <v>#REF!</v>
      </c>
      <c r="FS61" t="str">
        <f>AND(#REF!,"AAAAAG3/+64=")</f>
        <v>#REF!</v>
      </c>
      <c r="FT61" t="str">
        <f>AND(#REF!,"AAAAAG3/+68=")</f>
        <v>#REF!</v>
      </c>
      <c r="FU61" t="str">
        <f>AND(#REF!,"AAAAAG3/+7A=")</f>
        <v>#REF!</v>
      </c>
      <c r="FV61" t="str">
        <f>AND(#REF!,"AAAAAG3/+7E=")</f>
        <v>#REF!</v>
      </c>
      <c r="FW61" t="str">
        <f>AND(#REF!,"AAAAAG3/+7I=")</f>
        <v>#REF!</v>
      </c>
      <c r="FX61" t="str">
        <f>AND(#REF!,"AAAAAG3/+7M=")</f>
        <v>#REF!</v>
      </c>
      <c r="FY61" t="str">
        <f>AND(#REF!,"AAAAAG3/+7Q=")</f>
        <v>#REF!</v>
      </c>
      <c r="FZ61" t="str">
        <f>AND(#REF!,"AAAAAG3/+7U=")</f>
        <v>#REF!</v>
      </c>
      <c r="GA61" t="str">
        <f>AND(#REF!,"AAAAAG3/+7Y=")</f>
        <v>#REF!</v>
      </c>
      <c r="GB61" t="str">
        <f>AND(#REF!,"AAAAAG3/+7c=")</f>
        <v>#REF!</v>
      </c>
      <c r="GC61" t="str">
        <f>AND(#REF!,"AAAAAG3/+7g=")</f>
        <v>#REF!</v>
      </c>
      <c r="GD61" t="str">
        <f>AND(#REF!,"AAAAAG3/+7k=")</f>
        <v>#REF!</v>
      </c>
      <c r="GE61" t="str">
        <f>AND(#REF!,"AAAAAG3/+7o=")</f>
        <v>#REF!</v>
      </c>
      <c r="GF61" t="str">
        <f>AND(#REF!,"AAAAAG3/+7s=")</f>
        <v>#REF!</v>
      </c>
      <c r="GG61" t="str">
        <f>AND(#REF!,"AAAAAG3/+7w=")</f>
        <v>#REF!</v>
      </c>
      <c r="GH61" t="str">
        <f>AND(#REF!,"AAAAAG3/+70=")</f>
        <v>#REF!</v>
      </c>
      <c r="GI61" t="str">
        <f>AND(#REF!,"AAAAAG3/+74=")</f>
        <v>#REF!</v>
      </c>
      <c r="GJ61" t="str">
        <f>IF(#REF!,"AAAAAG3/+78=",0)</f>
        <v>#REF!</v>
      </c>
      <c r="GK61" t="str">
        <f>AND(#REF!,"AAAAAG3/+8A=")</f>
        <v>#REF!</v>
      </c>
      <c r="GL61" t="str">
        <f>AND(#REF!,"AAAAAG3/+8E=")</f>
        <v>#REF!</v>
      </c>
      <c r="GM61" t="str">
        <f>AND(#REF!,"AAAAAG3/+8I=")</f>
        <v>#REF!</v>
      </c>
      <c r="GN61" t="str">
        <f>AND(#REF!,"AAAAAG3/+8M=")</f>
        <v>#REF!</v>
      </c>
      <c r="GO61" t="str">
        <f>AND(#REF!,"AAAAAG3/+8Q=")</f>
        <v>#REF!</v>
      </c>
      <c r="GP61" t="str">
        <f>AND(#REF!,"AAAAAG3/+8U=")</f>
        <v>#REF!</v>
      </c>
      <c r="GQ61" t="str">
        <f>AND(#REF!,"AAAAAG3/+8Y=")</f>
        <v>#REF!</v>
      </c>
      <c r="GR61" t="str">
        <f>AND(#REF!,"AAAAAG3/+8c=")</f>
        <v>#REF!</v>
      </c>
      <c r="GS61" t="str">
        <f>AND(#REF!,"AAAAAG3/+8g=")</f>
        <v>#REF!</v>
      </c>
      <c r="GT61" t="str">
        <f>AND(#REF!,"AAAAAG3/+8k=")</f>
        <v>#REF!</v>
      </c>
      <c r="GU61" t="str">
        <f>AND(#REF!,"AAAAAG3/+8o=")</f>
        <v>#REF!</v>
      </c>
      <c r="GV61" t="str">
        <f>AND(#REF!,"AAAAAG3/+8s=")</f>
        <v>#REF!</v>
      </c>
      <c r="GW61" t="str">
        <f>AND(#REF!,"AAAAAG3/+8w=")</f>
        <v>#REF!</v>
      </c>
      <c r="GX61" t="str">
        <f>AND(#REF!,"AAAAAG3/+80=")</f>
        <v>#REF!</v>
      </c>
      <c r="GY61" t="str">
        <f>AND(#REF!,"AAAAAG3/+84=")</f>
        <v>#REF!</v>
      </c>
      <c r="GZ61" t="str">
        <f>AND(#REF!,"AAAAAG3/+88=")</f>
        <v>#REF!</v>
      </c>
      <c r="HA61" t="str">
        <f>AND(#REF!,"AAAAAG3/+9A=")</f>
        <v>#REF!</v>
      </c>
      <c r="HB61" t="str">
        <f>AND(#REF!,"AAAAAG3/+9E=")</f>
        <v>#REF!</v>
      </c>
      <c r="HC61" t="str">
        <f>AND(#REF!,"AAAAAG3/+9I=")</f>
        <v>#REF!</v>
      </c>
      <c r="HD61" t="str">
        <f>AND(#REF!,"AAAAAG3/+9M=")</f>
        <v>#REF!</v>
      </c>
      <c r="HE61" t="str">
        <f>AND(#REF!,"AAAAAG3/+9Q=")</f>
        <v>#REF!</v>
      </c>
      <c r="HF61" t="str">
        <f>AND(#REF!,"AAAAAG3/+9U=")</f>
        <v>#REF!</v>
      </c>
      <c r="HG61" t="str">
        <f>AND(#REF!,"AAAAAG3/+9Y=")</f>
        <v>#REF!</v>
      </c>
      <c r="HH61" t="str">
        <f>AND(#REF!,"AAAAAG3/+9c=")</f>
        <v>#REF!</v>
      </c>
      <c r="HI61" t="str">
        <f>AND(#REF!,"AAAAAG3/+9g=")</f>
        <v>#REF!</v>
      </c>
      <c r="HJ61" t="str">
        <f>AND(#REF!,"AAAAAG3/+9k=")</f>
        <v>#REF!</v>
      </c>
      <c r="HK61" t="str">
        <f>AND(#REF!,"AAAAAG3/+9o=")</f>
        <v>#REF!</v>
      </c>
      <c r="HL61" t="str">
        <f>AND(#REF!,"AAAAAG3/+9s=")</f>
        <v>#REF!</v>
      </c>
      <c r="HM61" t="str">
        <f>AND(#REF!,"AAAAAG3/+9w=")</f>
        <v>#REF!</v>
      </c>
      <c r="HN61" t="str">
        <f>AND(#REF!,"AAAAAG3/+90=")</f>
        <v>#REF!</v>
      </c>
      <c r="HO61" t="str">
        <f>AND(#REF!,"AAAAAG3/+94=")</f>
        <v>#REF!</v>
      </c>
      <c r="HP61" t="str">
        <f>AND(#REF!,"AAAAAG3/+98=")</f>
        <v>#REF!</v>
      </c>
      <c r="HQ61" t="str">
        <f>AND(#REF!,"AAAAAG3/++A=")</f>
        <v>#REF!</v>
      </c>
      <c r="HR61" t="str">
        <f>AND(#REF!,"AAAAAG3/++E=")</f>
        <v>#REF!</v>
      </c>
      <c r="HS61" t="str">
        <f>AND(#REF!,"AAAAAG3/++I=")</f>
        <v>#REF!</v>
      </c>
      <c r="HT61" t="str">
        <f>AND(#REF!,"AAAAAG3/++M=")</f>
        <v>#REF!</v>
      </c>
      <c r="HU61" t="str">
        <f>AND(#REF!,"AAAAAG3/++Q=")</f>
        <v>#REF!</v>
      </c>
      <c r="HV61" t="str">
        <f>AND(#REF!,"AAAAAG3/++U=")</f>
        <v>#REF!</v>
      </c>
      <c r="HW61" t="str">
        <f>AND(#REF!,"AAAAAG3/++Y=")</f>
        <v>#REF!</v>
      </c>
      <c r="HX61" t="str">
        <f>AND(#REF!,"AAAAAG3/++c=")</f>
        <v>#REF!</v>
      </c>
      <c r="HY61" t="str">
        <f>AND(#REF!,"AAAAAG3/++g=")</f>
        <v>#REF!</v>
      </c>
      <c r="HZ61" t="str">
        <f>AND(#REF!,"AAAAAG3/++k=")</f>
        <v>#REF!</v>
      </c>
      <c r="IA61" t="str">
        <f>AND(#REF!,"AAAAAG3/++o=")</f>
        <v>#REF!</v>
      </c>
      <c r="IB61" t="str">
        <f>AND(#REF!,"AAAAAG3/++s=")</f>
        <v>#REF!</v>
      </c>
      <c r="IC61" t="str">
        <f>AND(#REF!,"AAAAAG3/++w=")</f>
        <v>#REF!</v>
      </c>
      <c r="ID61" t="str">
        <f>AND(#REF!,"AAAAAG3/++0=")</f>
        <v>#REF!</v>
      </c>
      <c r="IE61" t="str">
        <f>AND(#REF!,"AAAAAG3/++4=")</f>
        <v>#REF!</v>
      </c>
      <c r="IF61" t="str">
        <f>AND(#REF!,"AAAAAG3/++8=")</f>
        <v>#REF!</v>
      </c>
      <c r="IG61" t="str">
        <f>AND(#REF!,"AAAAAG3/+/A=")</f>
        <v>#REF!</v>
      </c>
      <c r="IH61" t="str">
        <f>AND(#REF!,"AAAAAG3/+/E=")</f>
        <v>#REF!</v>
      </c>
      <c r="II61" t="str">
        <f>AND(#REF!,"AAAAAG3/+/I=")</f>
        <v>#REF!</v>
      </c>
      <c r="IJ61" t="str">
        <f>AND(#REF!,"AAAAAG3/+/M=")</f>
        <v>#REF!</v>
      </c>
      <c r="IK61" t="str">
        <f>AND(#REF!,"AAAAAG3/+/Q=")</f>
        <v>#REF!</v>
      </c>
      <c r="IL61" t="str">
        <f>AND(#REF!,"AAAAAG3/+/U=")</f>
        <v>#REF!</v>
      </c>
      <c r="IM61" t="str">
        <f>AND(#REF!,"AAAAAG3/+/Y=")</f>
        <v>#REF!</v>
      </c>
      <c r="IN61" t="str">
        <f>AND(#REF!,"AAAAAG3/+/c=")</f>
        <v>#REF!</v>
      </c>
      <c r="IO61" t="str">
        <f>AND(#REF!,"AAAAAG3/+/g=")</f>
        <v>#REF!</v>
      </c>
      <c r="IP61" t="str">
        <f>AND(#REF!,"AAAAAG3/+/k=")</f>
        <v>#REF!</v>
      </c>
      <c r="IQ61" t="str">
        <f>AND(#REF!,"AAAAAG3/+/o=")</f>
        <v>#REF!</v>
      </c>
      <c r="IR61" t="str">
        <f>AND(#REF!,"AAAAAG3/+/s=")</f>
        <v>#REF!</v>
      </c>
      <c r="IS61" t="str">
        <f>AND(#REF!,"AAAAAG3/+/w=")</f>
        <v>#REF!</v>
      </c>
      <c r="IT61" t="str">
        <f>AND(#REF!,"AAAAAG3/+/0=")</f>
        <v>#REF!</v>
      </c>
      <c r="IU61" t="str">
        <f>AND(#REF!,"AAAAAG3/+/4=")</f>
        <v>#REF!</v>
      </c>
      <c r="IV61" t="str">
        <f>AND(#REF!,"AAAAAG3/+/8=")</f>
        <v>#REF!</v>
      </c>
    </row>
    <row r="62" ht="15.75" customHeight="1">
      <c r="A62" t="str">
        <f>AND(#REF!,"AAAAADX/fwA=")</f>
        <v>#REF!</v>
      </c>
      <c r="B62" t="str">
        <f>AND(#REF!,"AAAAADX/fwE=")</f>
        <v>#REF!</v>
      </c>
      <c r="C62" t="str">
        <f>AND(#REF!,"AAAAADX/fwI=")</f>
        <v>#REF!</v>
      </c>
      <c r="D62" t="str">
        <f>AND(#REF!,"AAAAADX/fwM=")</f>
        <v>#REF!</v>
      </c>
      <c r="E62" t="str">
        <f>AND(#REF!,"AAAAADX/fwQ=")</f>
        <v>#REF!</v>
      </c>
      <c r="F62" t="str">
        <f>AND(#REF!,"AAAAADX/fwU=")</f>
        <v>#REF!</v>
      </c>
      <c r="G62" t="str">
        <f>AND(#REF!,"AAAAADX/fwY=")</f>
        <v>#REF!</v>
      </c>
      <c r="H62" t="str">
        <f>AND(#REF!,"AAAAADX/fwc=")</f>
        <v>#REF!</v>
      </c>
      <c r="I62" t="str">
        <f>AND(#REF!,"AAAAADX/fwg=")</f>
        <v>#REF!</v>
      </c>
      <c r="J62" t="str">
        <f>AND(#REF!,"AAAAADX/fwk=")</f>
        <v>#REF!</v>
      </c>
      <c r="K62" t="str">
        <f>AND(#REF!,"AAAAADX/fwo=")</f>
        <v>#REF!</v>
      </c>
      <c r="L62" t="str">
        <f>IF(#REF!,"AAAAADX/fws=",0)</f>
        <v>#REF!</v>
      </c>
      <c r="M62" t="str">
        <f>AND(#REF!,"AAAAADX/fww=")</f>
        <v>#REF!</v>
      </c>
      <c r="N62" t="str">
        <f>AND(#REF!,"AAAAADX/fw0=")</f>
        <v>#REF!</v>
      </c>
      <c r="O62" t="str">
        <f>AND(#REF!,"AAAAADX/fw4=")</f>
        <v>#REF!</v>
      </c>
      <c r="P62" t="str">
        <f>AND(#REF!,"AAAAADX/fw8=")</f>
        <v>#REF!</v>
      </c>
      <c r="Q62" t="str">
        <f>AND(#REF!,"AAAAADX/fxA=")</f>
        <v>#REF!</v>
      </c>
      <c r="R62" t="str">
        <f>AND(#REF!,"AAAAADX/fxE=")</f>
        <v>#REF!</v>
      </c>
      <c r="S62" t="str">
        <f>AND(#REF!,"AAAAADX/fxI=")</f>
        <v>#REF!</v>
      </c>
      <c r="T62" t="str">
        <f>AND(#REF!,"AAAAADX/fxM=")</f>
        <v>#REF!</v>
      </c>
      <c r="U62" t="str">
        <f>AND(#REF!,"AAAAADX/fxQ=")</f>
        <v>#REF!</v>
      </c>
      <c r="V62" t="str">
        <f>AND(#REF!,"AAAAADX/fxU=")</f>
        <v>#REF!</v>
      </c>
      <c r="W62" t="str">
        <f>AND(#REF!,"AAAAADX/fxY=")</f>
        <v>#REF!</v>
      </c>
      <c r="X62" t="str">
        <f>AND(#REF!,"AAAAADX/fxc=")</f>
        <v>#REF!</v>
      </c>
      <c r="Y62" t="str">
        <f>AND(#REF!,"AAAAADX/fxg=")</f>
        <v>#REF!</v>
      </c>
      <c r="Z62" t="str">
        <f>AND(#REF!,"AAAAADX/fxk=")</f>
        <v>#REF!</v>
      </c>
      <c r="AA62" t="str">
        <f>AND(#REF!,"AAAAADX/fxo=")</f>
        <v>#REF!</v>
      </c>
      <c r="AB62" t="str">
        <f>AND(#REF!,"AAAAADX/fxs=")</f>
        <v>#REF!</v>
      </c>
      <c r="AC62" t="str">
        <f>AND(#REF!,"AAAAADX/fxw=")</f>
        <v>#REF!</v>
      </c>
      <c r="AD62" t="str">
        <f>AND(#REF!,"AAAAADX/fx0=")</f>
        <v>#REF!</v>
      </c>
      <c r="AE62" t="str">
        <f>AND(#REF!,"AAAAADX/fx4=")</f>
        <v>#REF!</v>
      </c>
      <c r="AF62" t="str">
        <f>AND(#REF!,"AAAAADX/fx8=")</f>
        <v>#REF!</v>
      </c>
      <c r="AG62" t="str">
        <f>AND(#REF!,"AAAAADX/fyA=")</f>
        <v>#REF!</v>
      </c>
      <c r="AH62" t="str">
        <f>AND(#REF!,"AAAAADX/fyE=")</f>
        <v>#REF!</v>
      </c>
      <c r="AI62" t="str">
        <f>AND(#REF!,"AAAAADX/fyI=")</f>
        <v>#REF!</v>
      </c>
      <c r="AJ62" t="str">
        <f>AND(#REF!,"AAAAADX/fyM=")</f>
        <v>#REF!</v>
      </c>
      <c r="AK62" t="str">
        <f>AND(#REF!,"AAAAADX/fyQ=")</f>
        <v>#REF!</v>
      </c>
      <c r="AL62" t="str">
        <f>AND(#REF!,"AAAAADX/fyU=")</f>
        <v>#REF!</v>
      </c>
      <c r="AM62" t="str">
        <f>AND(#REF!,"AAAAADX/fyY=")</f>
        <v>#REF!</v>
      </c>
      <c r="AN62" t="str">
        <f>AND(#REF!,"AAAAADX/fyc=")</f>
        <v>#REF!</v>
      </c>
      <c r="AO62" t="str">
        <f>AND(#REF!,"AAAAADX/fyg=")</f>
        <v>#REF!</v>
      </c>
      <c r="AP62" t="str">
        <f>AND(#REF!,"AAAAADX/fyk=")</f>
        <v>#REF!</v>
      </c>
      <c r="AQ62" t="str">
        <f>AND(#REF!,"AAAAADX/fyo=")</f>
        <v>#REF!</v>
      </c>
      <c r="AR62" t="str">
        <f>AND(#REF!,"AAAAADX/fys=")</f>
        <v>#REF!</v>
      </c>
      <c r="AS62" t="str">
        <f>AND(#REF!,"AAAAADX/fyw=")</f>
        <v>#REF!</v>
      </c>
      <c r="AT62" t="str">
        <f>AND(#REF!,"AAAAADX/fy0=")</f>
        <v>#REF!</v>
      </c>
      <c r="AU62" t="str">
        <f>AND(#REF!,"AAAAADX/fy4=")</f>
        <v>#REF!</v>
      </c>
      <c r="AV62" t="str">
        <f>AND(#REF!,"AAAAADX/fy8=")</f>
        <v>#REF!</v>
      </c>
      <c r="AW62" t="str">
        <f>AND(#REF!,"AAAAADX/fzA=")</f>
        <v>#REF!</v>
      </c>
      <c r="AX62" t="str">
        <f>AND(#REF!,"AAAAADX/fzE=")</f>
        <v>#REF!</v>
      </c>
      <c r="AY62" t="str">
        <f>AND(#REF!,"AAAAADX/fzI=")</f>
        <v>#REF!</v>
      </c>
      <c r="AZ62" t="str">
        <f>AND(#REF!,"AAAAADX/fzM=")</f>
        <v>#REF!</v>
      </c>
      <c r="BA62" t="str">
        <f>AND(#REF!,"AAAAADX/fzQ=")</f>
        <v>#REF!</v>
      </c>
      <c r="BB62" t="str">
        <f>AND(#REF!,"AAAAADX/fzU=")</f>
        <v>#REF!</v>
      </c>
      <c r="BC62" t="str">
        <f>AND(#REF!,"AAAAADX/fzY=")</f>
        <v>#REF!</v>
      </c>
      <c r="BD62" t="str">
        <f>AND(#REF!,"AAAAADX/fzc=")</f>
        <v>#REF!</v>
      </c>
      <c r="BE62" t="str">
        <f>AND(#REF!,"AAAAADX/fzg=")</f>
        <v>#REF!</v>
      </c>
      <c r="BF62" t="str">
        <f>AND(#REF!,"AAAAADX/fzk=")</f>
        <v>#REF!</v>
      </c>
      <c r="BG62" t="str">
        <f>AND(#REF!,"AAAAADX/fzo=")</f>
        <v>#REF!</v>
      </c>
      <c r="BH62" t="str">
        <f>AND(#REF!,"AAAAADX/fzs=")</f>
        <v>#REF!</v>
      </c>
      <c r="BI62" t="str">
        <f>AND(#REF!,"AAAAADX/fzw=")</f>
        <v>#REF!</v>
      </c>
      <c r="BJ62" t="str">
        <f>AND(#REF!,"AAAAADX/fz0=")</f>
        <v>#REF!</v>
      </c>
      <c r="BK62" t="str">
        <f>AND(#REF!,"AAAAADX/fz4=")</f>
        <v>#REF!</v>
      </c>
      <c r="BL62" t="str">
        <f>AND(#REF!,"AAAAADX/fz8=")</f>
        <v>#REF!</v>
      </c>
      <c r="BM62" t="str">
        <f>AND(#REF!,"AAAAADX/f0A=")</f>
        <v>#REF!</v>
      </c>
      <c r="BN62" t="str">
        <f>AND(#REF!,"AAAAADX/f0E=")</f>
        <v>#REF!</v>
      </c>
      <c r="BO62" t="str">
        <f>AND(#REF!,"AAAAADX/f0I=")</f>
        <v>#REF!</v>
      </c>
      <c r="BP62" t="str">
        <f>AND(#REF!,"AAAAADX/f0M=")</f>
        <v>#REF!</v>
      </c>
      <c r="BQ62" t="str">
        <f>AND(#REF!,"AAAAADX/f0Q=")</f>
        <v>#REF!</v>
      </c>
      <c r="BR62" t="str">
        <f>AND(#REF!,"AAAAADX/f0U=")</f>
        <v>#REF!</v>
      </c>
      <c r="BS62" t="str">
        <f>AND(#REF!,"AAAAADX/f0Y=")</f>
        <v>#REF!</v>
      </c>
      <c r="BT62" t="str">
        <f>AND(#REF!,"AAAAADX/f0c=")</f>
        <v>#REF!</v>
      </c>
      <c r="BU62" t="str">
        <f>AND(#REF!,"AAAAADX/f0g=")</f>
        <v>#REF!</v>
      </c>
      <c r="BV62" t="str">
        <f>AND(#REF!,"AAAAADX/f0k=")</f>
        <v>#REF!</v>
      </c>
      <c r="BW62" t="str">
        <f>AND(#REF!,"AAAAADX/f0o=")</f>
        <v>#REF!</v>
      </c>
      <c r="BX62" t="str">
        <f>AND(#REF!,"AAAAADX/f0s=")</f>
        <v>#REF!</v>
      </c>
      <c r="BY62" t="str">
        <f>AND(#REF!,"AAAAADX/f0w=")</f>
        <v>#REF!</v>
      </c>
      <c r="BZ62" t="str">
        <f>AND(#REF!,"AAAAADX/f00=")</f>
        <v>#REF!</v>
      </c>
      <c r="CA62" t="str">
        <f>AND(#REF!,"AAAAADX/f04=")</f>
        <v>#REF!</v>
      </c>
      <c r="CB62" t="str">
        <f>AND(#REF!,"AAAAADX/f08=")</f>
        <v>#REF!</v>
      </c>
      <c r="CC62" t="str">
        <f>AND(#REF!,"AAAAADX/f1A=")</f>
        <v>#REF!</v>
      </c>
      <c r="CD62" t="str">
        <f>AND(#REF!,"AAAAADX/f1E=")</f>
        <v>#REF!</v>
      </c>
      <c r="CE62" t="str">
        <f>AND(#REF!,"AAAAADX/f1I=")</f>
        <v>#REF!</v>
      </c>
      <c r="CF62" t="str">
        <f>AND(#REF!,"AAAAADX/f1M=")</f>
        <v>#REF!</v>
      </c>
      <c r="CG62" t="str">
        <f>AND(#REF!,"AAAAADX/f1Q=")</f>
        <v>#REF!</v>
      </c>
      <c r="CH62" t="str">
        <f>AND(#REF!,"AAAAADX/f1U=")</f>
        <v>#REF!</v>
      </c>
      <c r="CI62" t="str">
        <f>AND(#REF!,"AAAAADX/f1Y=")</f>
        <v>#REF!</v>
      </c>
      <c r="CJ62" t="str">
        <f>IF(#REF!,"AAAAADX/f1c=",0)</f>
        <v>#REF!</v>
      </c>
      <c r="CK62" t="str">
        <f>AND(#REF!,"AAAAADX/f1g=")</f>
        <v>#REF!</v>
      </c>
      <c r="CL62" t="str">
        <f>AND(#REF!,"AAAAADX/f1k=")</f>
        <v>#REF!</v>
      </c>
      <c r="CM62" t="str">
        <f>AND(#REF!,"AAAAADX/f1o=")</f>
        <v>#REF!</v>
      </c>
      <c r="CN62" t="str">
        <f>AND(#REF!,"AAAAADX/f1s=")</f>
        <v>#REF!</v>
      </c>
      <c r="CO62" t="str">
        <f>AND(#REF!,"AAAAADX/f1w=")</f>
        <v>#REF!</v>
      </c>
      <c r="CP62" t="str">
        <f>AND(#REF!,"AAAAADX/f10=")</f>
        <v>#REF!</v>
      </c>
      <c r="CQ62" t="str">
        <f>AND(#REF!,"AAAAADX/f14=")</f>
        <v>#REF!</v>
      </c>
      <c r="CR62" t="str">
        <f>AND(#REF!,"AAAAADX/f18=")</f>
        <v>#REF!</v>
      </c>
      <c r="CS62" t="str">
        <f>AND(#REF!,"AAAAADX/f2A=")</f>
        <v>#REF!</v>
      </c>
      <c r="CT62" t="str">
        <f>AND(#REF!,"AAAAADX/f2E=")</f>
        <v>#REF!</v>
      </c>
      <c r="CU62" t="str">
        <f>AND(#REF!,"AAAAADX/f2I=")</f>
        <v>#REF!</v>
      </c>
      <c r="CV62" t="str">
        <f>AND(#REF!,"AAAAADX/f2M=")</f>
        <v>#REF!</v>
      </c>
      <c r="CW62" t="str">
        <f>AND(#REF!,"AAAAADX/f2Q=")</f>
        <v>#REF!</v>
      </c>
      <c r="CX62" t="str">
        <f>AND(#REF!,"AAAAADX/f2U=")</f>
        <v>#REF!</v>
      </c>
      <c r="CY62" t="str">
        <f>AND(#REF!,"AAAAADX/f2Y=")</f>
        <v>#REF!</v>
      </c>
      <c r="CZ62" t="str">
        <f>AND(#REF!,"AAAAADX/f2c=")</f>
        <v>#REF!</v>
      </c>
      <c r="DA62" t="str">
        <f>AND(#REF!,"AAAAADX/f2g=")</f>
        <v>#REF!</v>
      </c>
      <c r="DB62" t="str">
        <f>AND(#REF!,"AAAAADX/f2k=")</f>
        <v>#REF!</v>
      </c>
      <c r="DC62" t="str">
        <f>AND(#REF!,"AAAAADX/f2o=")</f>
        <v>#REF!</v>
      </c>
      <c r="DD62" t="str">
        <f>AND(#REF!,"AAAAADX/f2s=")</f>
        <v>#REF!</v>
      </c>
      <c r="DE62" t="str">
        <f>AND(#REF!,"AAAAADX/f2w=")</f>
        <v>#REF!</v>
      </c>
      <c r="DF62" t="str">
        <f>AND(#REF!,"AAAAADX/f20=")</f>
        <v>#REF!</v>
      </c>
      <c r="DG62" t="str">
        <f>AND(#REF!,"AAAAADX/f24=")</f>
        <v>#REF!</v>
      </c>
      <c r="DH62" t="str">
        <f>AND(#REF!,"AAAAADX/f28=")</f>
        <v>#REF!</v>
      </c>
      <c r="DI62" t="str">
        <f>AND(#REF!,"AAAAADX/f3A=")</f>
        <v>#REF!</v>
      </c>
      <c r="DJ62" t="str">
        <f>AND(#REF!,"AAAAADX/f3E=")</f>
        <v>#REF!</v>
      </c>
      <c r="DK62" t="str">
        <f>AND(#REF!,"AAAAADX/f3I=")</f>
        <v>#REF!</v>
      </c>
      <c r="DL62" t="str">
        <f>AND(#REF!,"AAAAADX/f3M=")</f>
        <v>#REF!</v>
      </c>
      <c r="DM62" t="str">
        <f>AND(#REF!,"AAAAADX/f3Q=")</f>
        <v>#REF!</v>
      </c>
      <c r="DN62" t="str">
        <f>AND(#REF!,"AAAAADX/f3U=")</f>
        <v>#REF!</v>
      </c>
      <c r="DO62" t="str">
        <f>AND(#REF!,"AAAAADX/f3Y=")</f>
        <v>#REF!</v>
      </c>
      <c r="DP62" t="str">
        <f>AND(#REF!,"AAAAADX/f3c=")</f>
        <v>#REF!</v>
      </c>
      <c r="DQ62" t="str">
        <f>AND(#REF!,"AAAAADX/f3g=")</f>
        <v>#REF!</v>
      </c>
      <c r="DR62" t="str">
        <f>AND(#REF!,"AAAAADX/f3k=")</f>
        <v>#REF!</v>
      </c>
      <c r="DS62" t="str">
        <f>AND(#REF!,"AAAAADX/f3o=")</f>
        <v>#REF!</v>
      </c>
      <c r="DT62" t="str">
        <f>AND(#REF!,"AAAAADX/f3s=")</f>
        <v>#REF!</v>
      </c>
      <c r="DU62" t="str">
        <f>AND(#REF!,"AAAAADX/f3w=")</f>
        <v>#REF!</v>
      </c>
      <c r="DV62" t="str">
        <f>AND(#REF!,"AAAAADX/f30=")</f>
        <v>#REF!</v>
      </c>
      <c r="DW62" t="str">
        <f>AND(#REF!,"AAAAADX/f34=")</f>
        <v>#REF!</v>
      </c>
      <c r="DX62" t="str">
        <f>AND(#REF!,"AAAAADX/f38=")</f>
        <v>#REF!</v>
      </c>
      <c r="DY62" t="str">
        <f>AND(#REF!,"AAAAADX/f4A=")</f>
        <v>#REF!</v>
      </c>
      <c r="DZ62" t="str">
        <f>AND(#REF!,"AAAAADX/f4E=")</f>
        <v>#REF!</v>
      </c>
      <c r="EA62" t="str">
        <f>AND(#REF!,"AAAAADX/f4I=")</f>
        <v>#REF!</v>
      </c>
      <c r="EB62" t="str">
        <f>AND(#REF!,"AAAAADX/f4M=")</f>
        <v>#REF!</v>
      </c>
      <c r="EC62" t="str">
        <f>AND(#REF!,"AAAAADX/f4Q=")</f>
        <v>#REF!</v>
      </c>
      <c r="ED62" t="str">
        <f>AND(#REF!,"AAAAADX/f4U=")</f>
        <v>#REF!</v>
      </c>
      <c r="EE62" t="str">
        <f>AND(#REF!,"AAAAADX/f4Y=")</f>
        <v>#REF!</v>
      </c>
      <c r="EF62" t="str">
        <f>AND(#REF!,"AAAAADX/f4c=")</f>
        <v>#REF!</v>
      </c>
      <c r="EG62" t="str">
        <f>AND(#REF!,"AAAAADX/f4g=")</f>
        <v>#REF!</v>
      </c>
      <c r="EH62" t="str">
        <f>AND(#REF!,"AAAAADX/f4k=")</f>
        <v>#REF!</v>
      </c>
      <c r="EI62" t="str">
        <f>AND(#REF!,"AAAAADX/f4o=")</f>
        <v>#REF!</v>
      </c>
      <c r="EJ62" t="str">
        <f>AND(#REF!,"AAAAADX/f4s=")</f>
        <v>#REF!</v>
      </c>
      <c r="EK62" t="str">
        <f>AND(#REF!,"AAAAADX/f4w=")</f>
        <v>#REF!</v>
      </c>
      <c r="EL62" t="str">
        <f>AND(#REF!,"AAAAADX/f40=")</f>
        <v>#REF!</v>
      </c>
      <c r="EM62" t="str">
        <f>AND(#REF!,"AAAAADX/f44=")</f>
        <v>#REF!</v>
      </c>
      <c r="EN62" t="str">
        <f>AND(#REF!,"AAAAADX/f48=")</f>
        <v>#REF!</v>
      </c>
      <c r="EO62" t="str">
        <f>AND(#REF!,"AAAAADX/f5A=")</f>
        <v>#REF!</v>
      </c>
      <c r="EP62" t="str">
        <f>AND(#REF!,"AAAAADX/f5E=")</f>
        <v>#REF!</v>
      </c>
      <c r="EQ62" t="str">
        <f>AND(#REF!,"AAAAADX/f5I=")</f>
        <v>#REF!</v>
      </c>
      <c r="ER62" t="str">
        <f>AND(#REF!,"AAAAADX/f5M=")</f>
        <v>#REF!</v>
      </c>
      <c r="ES62" t="str">
        <f>AND(#REF!,"AAAAADX/f5Q=")</f>
        <v>#REF!</v>
      </c>
      <c r="ET62" t="str">
        <f>AND(#REF!,"AAAAADX/f5U=")</f>
        <v>#REF!</v>
      </c>
      <c r="EU62" t="str">
        <f>AND(#REF!,"AAAAADX/f5Y=")</f>
        <v>#REF!</v>
      </c>
      <c r="EV62" t="str">
        <f>AND(#REF!,"AAAAADX/f5c=")</f>
        <v>#REF!</v>
      </c>
      <c r="EW62" t="str">
        <f>AND(#REF!,"AAAAADX/f5g=")</f>
        <v>#REF!</v>
      </c>
      <c r="EX62" t="str">
        <f>AND(#REF!,"AAAAADX/f5k=")</f>
        <v>#REF!</v>
      </c>
      <c r="EY62" t="str">
        <f>AND(#REF!,"AAAAADX/f5o=")</f>
        <v>#REF!</v>
      </c>
      <c r="EZ62" t="str">
        <f>AND(#REF!,"AAAAADX/f5s=")</f>
        <v>#REF!</v>
      </c>
      <c r="FA62" t="str">
        <f>AND(#REF!,"AAAAADX/f5w=")</f>
        <v>#REF!</v>
      </c>
      <c r="FB62" t="str">
        <f>AND(#REF!,"AAAAADX/f50=")</f>
        <v>#REF!</v>
      </c>
      <c r="FC62" t="str">
        <f>AND(#REF!,"AAAAADX/f54=")</f>
        <v>#REF!</v>
      </c>
      <c r="FD62" t="str">
        <f>AND(#REF!,"AAAAADX/f58=")</f>
        <v>#REF!</v>
      </c>
      <c r="FE62" t="str">
        <f>AND(#REF!,"AAAAADX/f6A=")</f>
        <v>#REF!</v>
      </c>
      <c r="FF62" t="str">
        <f>AND(#REF!,"AAAAADX/f6E=")</f>
        <v>#REF!</v>
      </c>
      <c r="FG62" t="str">
        <f>AND(#REF!,"AAAAADX/f6I=")</f>
        <v>#REF!</v>
      </c>
      <c r="FH62" t="str">
        <f>IF(#REF!,"AAAAADX/f6M=",0)</f>
        <v>#REF!</v>
      </c>
      <c r="FI62" t="str">
        <f>AND(#REF!,"AAAAADX/f6Q=")</f>
        <v>#REF!</v>
      </c>
      <c r="FJ62" t="str">
        <f>AND(#REF!,"AAAAADX/f6U=")</f>
        <v>#REF!</v>
      </c>
      <c r="FK62" t="str">
        <f>AND(#REF!,"AAAAADX/f6Y=")</f>
        <v>#REF!</v>
      </c>
      <c r="FL62" t="str">
        <f>AND(#REF!,"AAAAADX/f6c=")</f>
        <v>#REF!</v>
      </c>
      <c r="FM62" t="str">
        <f>AND(#REF!,"AAAAADX/f6g=")</f>
        <v>#REF!</v>
      </c>
      <c r="FN62" t="str">
        <f>AND(#REF!,"AAAAADX/f6k=")</f>
        <v>#REF!</v>
      </c>
      <c r="FO62" t="str">
        <f>AND(#REF!,"AAAAADX/f6o=")</f>
        <v>#REF!</v>
      </c>
      <c r="FP62" t="str">
        <f>AND(#REF!,"AAAAADX/f6s=")</f>
        <v>#REF!</v>
      </c>
      <c r="FQ62" t="str">
        <f>AND(#REF!,"AAAAADX/f6w=")</f>
        <v>#REF!</v>
      </c>
      <c r="FR62" t="str">
        <f>AND(#REF!,"AAAAADX/f60=")</f>
        <v>#REF!</v>
      </c>
      <c r="FS62" t="str">
        <f>AND(#REF!,"AAAAADX/f64=")</f>
        <v>#REF!</v>
      </c>
      <c r="FT62" t="str">
        <f>AND(#REF!,"AAAAADX/f68=")</f>
        <v>#REF!</v>
      </c>
      <c r="FU62" t="str">
        <f>AND(#REF!,"AAAAADX/f7A=")</f>
        <v>#REF!</v>
      </c>
      <c r="FV62" t="str">
        <f>AND(#REF!,"AAAAADX/f7E=")</f>
        <v>#REF!</v>
      </c>
      <c r="FW62" t="str">
        <f>AND(#REF!,"AAAAADX/f7I=")</f>
        <v>#REF!</v>
      </c>
      <c r="FX62" t="str">
        <f>AND(#REF!,"AAAAADX/f7M=")</f>
        <v>#REF!</v>
      </c>
      <c r="FY62" t="str">
        <f>AND(#REF!,"AAAAADX/f7Q=")</f>
        <v>#REF!</v>
      </c>
      <c r="FZ62" t="str">
        <f>AND(#REF!,"AAAAADX/f7U=")</f>
        <v>#REF!</v>
      </c>
      <c r="GA62" t="str">
        <f>AND(#REF!,"AAAAADX/f7Y=")</f>
        <v>#REF!</v>
      </c>
      <c r="GB62" t="str">
        <f>AND(#REF!,"AAAAADX/f7c=")</f>
        <v>#REF!</v>
      </c>
      <c r="GC62" t="str">
        <f>AND(#REF!,"AAAAADX/f7g=")</f>
        <v>#REF!</v>
      </c>
      <c r="GD62" t="str">
        <f>AND(#REF!,"AAAAADX/f7k=")</f>
        <v>#REF!</v>
      </c>
      <c r="GE62" t="str">
        <f>AND(#REF!,"AAAAADX/f7o=")</f>
        <v>#REF!</v>
      </c>
      <c r="GF62" t="str">
        <f>AND(#REF!,"AAAAADX/f7s=")</f>
        <v>#REF!</v>
      </c>
      <c r="GG62" t="str">
        <f>AND(#REF!,"AAAAADX/f7w=")</f>
        <v>#REF!</v>
      </c>
      <c r="GH62" t="str">
        <f>AND(#REF!,"AAAAADX/f70=")</f>
        <v>#REF!</v>
      </c>
      <c r="GI62" t="str">
        <f>AND(#REF!,"AAAAADX/f74=")</f>
        <v>#REF!</v>
      </c>
      <c r="GJ62" t="str">
        <f>AND(#REF!,"AAAAADX/f78=")</f>
        <v>#REF!</v>
      </c>
      <c r="GK62" t="str">
        <f>AND(#REF!,"AAAAADX/f8A=")</f>
        <v>#REF!</v>
      </c>
      <c r="GL62" t="str">
        <f>AND(#REF!,"AAAAADX/f8E=")</f>
        <v>#REF!</v>
      </c>
      <c r="GM62" t="str">
        <f>AND(#REF!,"AAAAADX/f8I=")</f>
        <v>#REF!</v>
      </c>
      <c r="GN62" t="str">
        <f>AND(#REF!,"AAAAADX/f8M=")</f>
        <v>#REF!</v>
      </c>
      <c r="GO62" t="str">
        <f>AND(#REF!,"AAAAADX/f8Q=")</f>
        <v>#REF!</v>
      </c>
      <c r="GP62" t="str">
        <f>AND(#REF!,"AAAAADX/f8U=")</f>
        <v>#REF!</v>
      </c>
      <c r="GQ62" t="str">
        <f>AND(#REF!,"AAAAADX/f8Y=")</f>
        <v>#REF!</v>
      </c>
      <c r="GR62" t="str">
        <f>AND(#REF!,"AAAAADX/f8c=")</f>
        <v>#REF!</v>
      </c>
      <c r="GS62" t="str">
        <f>AND(#REF!,"AAAAADX/f8g=")</f>
        <v>#REF!</v>
      </c>
      <c r="GT62" t="str">
        <f>AND(#REF!,"AAAAADX/f8k=")</f>
        <v>#REF!</v>
      </c>
      <c r="GU62" t="str">
        <f>AND(#REF!,"AAAAADX/f8o=")</f>
        <v>#REF!</v>
      </c>
      <c r="GV62" t="str">
        <f>AND(#REF!,"AAAAADX/f8s=")</f>
        <v>#REF!</v>
      </c>
      <c r="GW62" t="str">
        <f>AND(#REF!,"AAAAADX/f8w=")</f>
        <v>#REF!</v>
      </c>
      <c r="GX62" t="str">
        <f>AND(#REF!,"AAAAADX/f80=")</f>
        <v>#REF!</v>
      </c>
      <c r="GY62" t="str">
        <f>AND(#REF!,"AAAAADX/f84=")</f>
        <v>#REF!</v>
      </c>
      <c r="GZ62" t="str">
        <f>AND(#REF!,"AAAAADX/f88=")</f>
        <v>#REF!</v>
      </c>
      <c r="HA62" t="str">
        <f>AND(#REF!,"AAAAADX/f9A=")</f>
        <v>#REF!</v>
      </c>
      <c r="HB62" t="str">
        <f>AND(#REF!,"AAAAADX/f9E=")</f>
        <v>#REF!</v>
      </c>
      <c r="HC62" t="str">
        <f>AND(#REF!,"AAAAADX/f9I=")</f>
        <v>#REF!</v>
      </c>
      <c r="HD62" t="str">
        <f>AND(#REF!,"AAAAADX/f9M=")</f>
        <v>#REF!</v>
      </c>
      <c r="HE62" t="str">
        <f>AND(#REF!,"AAAAADX/f9Q=")</f>
        <v>#REF!</v>
      </c>
      <c r="HF62" t="str">
        <f>AND(#REF!,"AAAAADX/f9U=")</f>
        <v>#REF!</v>
      </c>
      <c r="HG62" t="str">
        <f>AND(#REF!,"AAAAADX/f9Y=")</f>
        <v>#REF!</v>
      </c>
      <c r="HH62" t="str">
        <f>AND(#REF!,"AAAAADX/f9c=")</f>
        <v>#REF!</v>
      </c>
      <c r="HI62" t="str">
        <f>AND(#REF!,"AAAAADX/f9g=")</f>
        <v>#REF!</v>
      </c>
      <c r="HJ62" t="str">
        <f>AND(#REF!,"AAAAADX/f9k=")</f>
        <v>#REF!</v>
      </c>
      <c r="HK62" t="str">
        <f>AND(#REF!,"AAAAADX/f9o=")</f>
        <v>#REF!</v>
      </c>
      <c r="HL62" t="str">
        <f>AND(#REF!,"AAAAADX/f9s=")</f>
        <v>#REF!</v>
      </c>
      <c r="HM62" t="str">
        <f>AND(#REF!,"AAAAADX/f9w=")</f>
        <v>#REF!</v>
      </c>
      <c r="HN62" t="str">
        <f>AND(#REF!,"AAAAADX/f90=")</f>
        <v>#REF!</v>
      </c>
      <c r="HO62" t="str">
        <f>AND(#REF!,"AAAAADX/f94=")</f>
        <v>#REF!</v>
      </c>
      <c r="HP62" t="str">
        <f>AND(#REF!,"AAAAADX/f98=")</f>
        <v>#REF!</v>
      </c>
      <c r="HQ62" t="str">
        <f>AND(#REF!,"AAAAADX/f+A=")</f>
        <v>#REF!</v>
      </c>
      <c r="HR62" t="str">
        <f>AND(#REF!,"AAAAADX/f+E=")</f>
        <v>#REF!</v>
      </c>
      <c r="HS62" t="str">
        <f>AND(#REF!,"AAAAADX/f+I=")</f>
        <v>#REF!</v>
      </c>
      <c r="HT62" t="str">
        <f>AND(#REF!,"AAAAADX/f+M=")</f>
        <v>#REF!</v>
      </c>
      <c r="HU62" t="str">
        <f>AND(#REF!,"AAAAADX/f+Q=")</f>
        <v>#REF!</v>
      </c>
      <c r="HV62" t="str">
        <f>AND(#REF!,"AAAAADX/f+U=")</f>
        <v>#REF!</v>
      </c>
      <c r="HW62" t="str">
        <f>AND(#REF!,"AAAAADX/f+Y=")</f>
        <v>#REF!</v>
      </c>
      <c r="HX62" t="str">
        <f>AND(#REF!,"AAAAADX/f+c=")</f>
        <v>#REF!</v>
      </c>
      <c r="HY62" t="str">
        <f>AND(#REF!,"AAAAADX/f+g=")</f>
        <v>#REF!</v>
      </c>
      <c r="HZ62" t="str">
        <f>AND(#REF!,"AAAAADX/f+k=")</f>
        <v>#REF!</v>
      </c>
      <c r="IA62" t="str">
        <f>AND(#REF!,"AAAAADX/f+o=")</f>
        <v>#REF!</v>
      </c>
      <c r="IB62" t="str">
        <f>AND(#REF!,"AAAAADX/f+s=")</f>
        <v>#REF!</v>
      </c>
      <c r="IC62" t="str">
        <f>AND(#REF!,"AAAAADX/f+w=")</f>
        <v>#REF!</v>
      </c>
      <c r="ID62" t="str">
        <f>AND(#REF!,"AAAAADX/f+0=")</f>
        <v>#REF!</v>
      </c>
      <c r="IE62" t="str">
        <f>AND(#REF!,"AAAAADX/f+4=")</f>
        <v>#REF!</v>
      </c>
      <c r="IF62" t="str">
        <f>IF(#REF!,"AAAAADX/f+8=",0)</f>
        <v>#REF!</v>
      </c>
      <c r="IG62" t="str">
        <f>AND(#REF!,"AAAAADX/f/A=")</f>
        <v>#REF!</v>
      </c>
      <c r="IH62" t="str">
        <f>AND(#REF!,"AAAAADX/f/E=")</f>
        <v>#REF!</v>
      </c>
      <c r="II62" t="str">
        <f>AND(#REF!,"AAAAADX/f/I=")</f>
        <v>#REF!</v>
      </c>
      <c r="IJ62" t="str">
        <f>AND(#REF!,"AAAAADX/f/M=")</f>
        <v>#REF!</v>
      </c>
      <c r="IK62" t="str">
        <f>AND(#REF!,"AAAAADX/f/Q=")</f>
        <v>#REF!</v>
      </c>
      <c r="IL62" t="str">
        <f>AND(#REF!,"AAAAADX/f/U=")</f>
        <v>#REF!</v>
      </c>
      <c r="IM62" t="str">
        <f>AND(#REF!,"AAAAADX/f/Y=")</f>
        <v>#REF!</v>
      </c>
      <c r="IN62" t="str">
        <f>AND(#REF!,"AAAAADX/f/c=")</f>
        <v>#REF!</v>
      </c>
      <c r="IO62" t="str">
        <f>AND(#REF!,"AAAAADX/f/g=")</f>
        <v>#REF!</v>
      </c>
      <c r="IP62" t="str">
        <f>AND(#REF!,"AAAAADX/f/k=")</f>
        <v>#REF!</v>
      </c>
      <c r="IQ62" t="str">
        <f>AND(#REF!,"AAAAADX/f/o=")</f>
        <v>#REF!</v>
      </c>
      <c r="IR62" t="str">
        <f>AND(#REF!,"AAAAADX/f/s=")</f>
        <v>#REF!</v>
      </c>
      <c r="IS62" t="str">
        <f>AND(#REF!,"AAAAADX/f/w=")</f>
        <v>#REF!</v>
      </c>
      <c r="IT62" t="str">
        <f>AND(#REF!,"AAAAADX/f/0=")</f>
        <v>#REF!</v>
      </c>
      <c r="IU62" t="str">
        <f>AND(#REF!,"AAAAADX/f/4=")</f>
        <v>#REF!</v>
      </c>
      <c r="IV62" t="str">
        <f>AND(#REF!,"AAAAADX/f/8=")</f>
        <v>#REF!</v>
      </c>
    </row>
    <row r="63" ht="15.75" customHeight="1">
      <c r="A63" t="str">
        <f>AND(#REF!,"AAAAAH/5XgA=")</f>
        <v>#REF!</v>
      </c>
      <c r="B63" t="str">
        <f>AND(#REF!,"AAAAAH/5XgE=")</f>
        <v>#REF!</v>
      </c>
      <c r="C63" t="str">
        <f>AND(#REF!,"AAAAAH/5XgI=")</f>
        <v>#REF!</v>
      </c>
      <c r="D63" t="str">
        <f>AND(#REF!,"AAAAAH/5XgM=")</f>
        <v>#REF!</v>
      </c>
      <c r="E63" t="str">
        <f>AND(#REF!,"AAAAAH/5XgQ=")</f>
        <v>#REF!</v>
      </c>
      <c r="F63" t="str">
        <f>AND(#REF!,"AAAAAH/5XgU=")</f>
        <v>#REF!</v>
      </c>
      <c r="G63" t="str">
        <f>AND(#REF!,"AAAAAH/5XgY=")</f>
        <v>#REF!</v>
      </c>
      <c r="H63" t="str">
        <f>AND(#REF!,"AAAAAH/5Xgc=")</f>
        <v>#REF!</v>
      </c>
      <c r="I63" t="str">
        <f>AND(#REF!,"AAAAAH/5Xgg=")</f>
        <v>#REF!</v>
      </c>
      <c r="J63" t="str">
        <f>AND(#REF!,"AAAAAH/5Xgk=")</f>
        <v>#REF!</v>
      </c>
      <c r="K63" t="str">
        <f>AND(#REF!,"AAAAAH/5Xgo=")</f>
        <v>#REF!</v>
      </c>
      <c r="L63" t="str">
        <f>AND(#REF!,"AAAAAH/5Xgs=")</f>
        <v>#REF!</v>
      </c>
      <c r="M63" t="str">
        <f>AND(#REF!,"AAAAAH/5Xgw=")</f>
        <v>#REF!</v>
      </c>
      <c r="N63" t="str">
        <f>AND(#REF!,"AAAAAH/5Xg0=")</f>
        <v>#REF!</v>
      </c>
      <c r="O63" t="str">
        <f>AND(#REF!,"AAAAAH/5Xg4=")</f>
        <v>#REF!</v>
      </c>
      <c r="P63" t="str">
        <f>AND(#REF!,"AAAAAH/5Xg8=")</f>
        <v>#REF!</v>
      </c>
      <c r="Q63" t="str">
        <f>AND(#REF!,"AAAAAH/5XhA=")</f>
        <v>#REF!</v>
      </c>
      <c r="R63" t="str">
        <f>AND(#REF!,"AAAAAH/5XhE=")</f>
        <v>#REF!</v>
      </c>
      <c r="S63" t="str">
        <f>AND(#REF!,"AAAAAH/5XhI=")</f>
        <v>#REF!</v>
      </c>
      <c r="T63" t="str">
        <f>AND(#REF!,"AAAAAH/5XhM=")</f>
        <v>#REF!</v>
      </c>
      <c r="U63" t="str">
        <f>AND(#REF!,"AAAAAH/5XhQ=")</f>
        <v>#REF!</v>
      </c>
      <c r="V63" t="str">
        <f>AND(#REF!,"AAAAAH/5XhU=")</f>
        <v>#REF!</v>
      </c>
      <c r="W63" t="str">
        <f>AND(#REF!,"AAAAAH/5XhY=")</f>
        <v>#REF!</v>
      </c>
      <c r="X63" t="str">
        <f>AND(#REF!,"AAAAAH/5Xhc=")</f>
        <v>#REF!</v>
      </c>
      <c r="Y63" t="str">
        <f>AND(#REF!,"AAAAAH/5Xhg=")</f>
        <v>#REF!</v>
      </c>
      <c r="Z63" t="str">
        <f>AND(#REF!,"AAAAAH/5Xhk=")</f>
        <v>#REF!</v>
      </c>
      <c r="AA63" t="str">
        <f>AND(#REF!,"AAAAAH/5Xho=")</f>
        <v>#REF!</v>
      </c>
      <c r="AB63" t="str">
        <f>AND(#REF!,"AAAAAH/5Xhs=")</f>
        <v>#REF!</v>
      </c>
      <c r="AC63" t="str">
        <f>AND(#REF!,"AAAAAH/5Xhw=")</f>
        <v>#REF!</v>
      </c>
      <c r="AD63" t="str">
        <f>AND(#REF!,"AAAAAH/5Xh0=")</f>
        <v>#REF!</v>
      </c>
      <c r="AE63" t="str">
        <f>AND(#REF!,"AAAAAH/5Xh4=")</f>
        <v>#REF!</v>
      </c>
      <c r="AF63" t="str">
        <f>AND(#REF!,"AAAAAH/5Xh8=")</f>
        <v>#REF!</v>
      </c>
      <c r="AG63" t="str">
        <f>AND(#REF!,"AAAAAH/5XiA=")</f>
        <v>#REF!</v>
      </c>
      <c r="AH63" t="str">
        <f>AND(#REF!,"AAAAAH/5XiE=")</f>
        <v>#REF!</v>
      </c>
      <c r="AI63" t="str">
        <f>AND(#REF!,"AAAAAH/5XiI=")</f>
        <v>#REF!</v>
      </c>
      <c r="AJ63" t="str">
        <f>AND(#REF!,"AAAAAH/5XiM=")</f>
        <v>#REF!</v>
      </c>
      <c r="AK63" t="str">
        <f>AND(#REF!,"AAAAAH/5XiQ=")</f>
        <v>#REF!</v>
      </c>
      <c r="AL63" t="str">
        <f>AND(#REF!,"AAAAAH/5XiU=")</f>
        <v>#REF!</v>
      </c>
      <c r="AM63" t="str">
        <f>AND(#REF!,"AAAAAH/5XiY=")</f>
        <v>#REF!</v>
      </c>
      <c r="AN63" t="str">
        <f>AND(#REF!,"AAAAAH/5Xic=")</f>
        <v>#REF!</v>
      </c>
      <c r="AO63" t="str">
        <f>AND(#REF!,"AAAAAH/5Xig=")</f>
        <v>#REF!</v>
      </c>
      <c r="AP63" t="str">
        <f>AND(#REF!,"AAAAAH/5Xik=")</f>
        <v>#REF!</v>
      </c>
      <c r="AQ63" t="str">
        <f>AND(#REF!,"AAAAAH/5Xio=")</f>
        <v>#REF!</v>
      </c>
      <c r="AR63" t="str">
        <f>AND(#REF!,"AAAAAH/5Xis=")</f>
        <v>#REF!</v>
      </c>
      <c r="AS63" t="str">
        <f>AND(#REF!,"AAAAAH/5Xiw=")</f>
        <v>#REF!</v>
      </c>
      <c r="AT63" t="str">
        <f>AND(#REF!,"AAAAAH/5Xi0=")</f>
        <v>#REF!</v>
      </c>
      <c r="AU63" t="str">
        <f>AND(#REF!,"AAAAAH/5Xi4=")</f>
        <v>#REF!</v>
      </c>
      <c r="AV63" t="str">
        <f>AND(#REF!,"AAAAAH/5Xi8=")</f>
        <v>#REF!</v>
      </c>
      <c r="AW63" t="str">
        <f>AND(#REF!,"AAAAAH/5XjA=")</f>
        <v>#REF!</v>
      </c>
      <c r="AX63" t="str">
        <f>AND(#REF!,"AAAAAH/5XjE=")</f>
        <v>#REF!</v>
      </c>
      <c r="AY63" t="str">
        <f>AND(#REF!,"AAAAAH/5XjI=")</f>
        <v>#REF!</v>
      </c>
      <c r="AZ63" t="str">
        <f>AND(#REF!,"AAAAAH/5XjM=")</f>
        <v>#REF!</v>
      </c>
      <c r="BA63" t="str">
        <f>AND(#REF!,"AAAAAH/5XjQ=")</f>
        <v>#REF!</v>
      </c>
      <c r="BB63" t="str">
        <f>AND(#REF!,"AAAAAH/5XjU=")</f>
        <v>#REF!</v>
      </c>
      <c r="BC63" t="str">
        <f>AND(#REF!,"AAAAAH/5XjY=")</f>
        <v>#REF!</v>
      </c>
      <c r="BD63" t="str">
        <f>AND(#REF!,"AAAAAH/5Xjc=")</f>
        <v>#REF!</v>
      </c>
      <c r="BE63" t="str">
        <f>AND(#REF!,"AAAAAH/5Xjg=")</f>
        <v>#REF!</v>
      </c>
      <c r="BF63" t="str">
        <f>AND(#REF!,"AAAAAH/5Xjk=")</f>
        <v>#REF!</v>
      </c>
      <c r="BG63" t="str">
        <f>AND(#REF!,"AAAAAH/5Xjo=")</f>
        <v>#REF!</v>
      </c>
      <c r="BH63" t="str">
        <f>IF(#REF!,"AAAAAH/5Xjs=",0)</f>
        <v>#REF!</v>
      </c>
      <c r="BI63" t="str">
        <f>AND(#REF!,"AAAAAH/5Xjw=")</f>
        <v>#REF!</v>
      </c>
      <c r="BJ63" t="str">
        <f>AND(#REF!,"AAAAAH/5Xj0=")</f>
        <v>#REF!</v>
      </c>
      <c r="BK63" t="str">
        <f>AND(#REF!,"AAAAAH/5Xj4=")</f>
        <v>#REF!</v>
      </c>
      <c r="BL63" t="str">
        <f>AND(#REF!,"AAAAAH/5Xj8=")</f>
        <v>#REF!</v>
      </c>
      <c r="BM63" t="str">
        <f>AND(#REF!,"AAAAAH/5XkA=")</f>
        <v>#REF!</v>
      </c>
      <c r="BN63" t="str">
        <f>AND(#REF!,"AAAAAH/5XkE=")</f>
        <v>#REF!</v>
      </c>
      <c r="BO63" t="str">
        <f>AND(#REF!,"AAAAAH/5XkI=")</f>
        <v>#REF!</v>
      </c>
      <c r="BP63" t="str">
        <f>AND(#REF!,"AAAAAH/5XkM=")</f>
        <v>#REF!</v>
      </c>
      <c r="BQ63" t="str">
        <f>AND(#REF!,"AAAAAH/5XkQ=")</f>
        <v>#REF!</v>
      </c>
      <c r="BR63" t="str">
        <f>AND(#REF!,"AAAAAH/5XkU=")</f>
        <v>#REF!</v>
      </c>
      <c r="BS63" t="str">
        <f>AND(#REF!,"AAAAAH/5XkY=")</f>
        <v>#REF!</v>
      </c>
      <c r="BT63" t="str">
        <f>AND(#REF!,"AAAAAH/5Xkc=")</f>
        <v>#REF!</v>
      </c>
      <c r="BU63" t="str">
        <f>AND(#REF!,"AAAAAH/5Xkg=")</f>
        <v>#REF!</v>
      </c>
      <c r="BV63" t="str">
        <f>AND(#REF!,"AAAAAH/5Xkk=")</f>
        <v>#REF!</v>
      </c>
      <c r="BW63" t="str">
        <f>AND(#REF!,"AAAAAH/5Xko=")</f>
        <v>#REF!</v>
      </c>
      <c r="BX63" t="str">
        <f>AND(#REF!,"AAAAAH/5Xks=")</f>
        <v>#REF!</v>
      </c>
      <c r="BY63" t="str">
        <f>AND(#REF!,"AAAAAH/5Xkw=")</f>
        <v>#REF!</v>
      </c>
      <c r="BZ63" t="str">
        <f>AND(#REF!,"AAAAAH/5Xk0=")</f>
        <v>#REF!</v>
      </c>
      <c r="CA63" t="str">
        <f>AND(#REF!,"AAAAAH/5Xk4=")</f>
        <v>#REF!</v>
      </c>
      <c r="CB63" t="str">
        <f>AND(#REF!,"AAAAAH/5Xk8=")</f>
        <v>#REF!</v>
      </c>
      <c r="CC63" t="str">
        <f>AND(#REF!,"AAAAAH/5XlA=")</f>
        <v>#REF!</v>
      </c>
      <c r="CD63" t="str">
        <f>AND(#REF!,"AAAAAH/5XlE=")</f>
        <v>#REF!</v>
      </c>
      <c r="CE63" t="str">
        <f>AND(#REF!,"AAAAAH/5XlI=")</f>
        <v>#REF!</v>
      </c>
      <c r="CF63" t="str">
        <f>AND(#REF!,"AAAAAH/5XlM=")</f>
        <v>#REF!</v>
      </c>
      <c r="CG63" t="str">
        <f>AND(#REF!,"AAAAAH/5XlQ=")</f>
        <v>#REF!</v>
      </c>
      <c r="CH63" t="str">
        <f>AND(#REF!,"AAAAAH/5XlU=")</f>
        <v>#REF!</v>
      </c>
      <c r="CI63" t="str">
        <f>AND(#REF!,"AAAAAH/5XlY=")</f>
        <v>#REF!</v>
      </c>
      <c r="CJ63" t="str">
        <f>AND(#REF!,"AAAAAH/5Xlc=")</f>
        <v>#REF!</v>
      </c>
      <c r="CK63" t="str">
        <f>AND(#REF!,"AAAAAH/5Xlg=")</f>
        <v>#REF!</v>
      </c>
      <c r="CL63" t="str">
        <f>AND(#REF!,"AAAAAH/5Xlk=")</f>
        <v>#REF!</v>
      </c>
      <c r="CM63" t="str">
        <f>AND(#REF!,"AAAAAH/5Xlo=")</f>
        <v>#REF!</v>
      </c>
      <c r="CN63" t="str">
        <f>AND(#REF!,"AAAAAH/5Xls=")</f>
        <v>#REF!</v>
      </c>
      <c r="CO63" t="str">
        <f>AND(#REF!,"AAAAAH/5Xlw=")</f>
        <v>#REF!</v>
      </c>
      <c r="CP63" t="str">
        <f>AND(#REF!,"AAAAAH/5Xl0=")</f>
        <v>#REF!</v>
      </c>
      <c r="CQ63" t="str">
        <f>AND(#REF!,"AAAAAH/5Xl4=")</f>
        <v>#REF!</v>
      </c>
      <c r="CR63" t="str">
        <f>AND(#REF!,"AAAAAH/5Xl8=")</f>
        <v>#REF!</v>
      </c>
      <c r="CS63" t="str">
        <f>AND(#REF!,"AAAAAH/5XmA=")</f>
        <v>#REF!</v>
      </c>
      <c r="CT63" t="str">
        <f>AND(#REF!,"AAAAAH/5XmE=")</f>
        <v>#REF!</v>
      </c>
      <c r="CU63" t="str">
        <f>AND(#REF!,"AAAAAH/5XmI=")</f>
        <v>#REF!</v>
      </c>
      <c r="CV63" t="str">
        <f>AND(#REF!,"AAAAAH/5XmM=")</f>
        <v>#REF!</v>
      </c>
      <c r="CW63" t="str">
        <f>AND(#REF!,"AAAAAH/5XmQ=")</f>
        <v>#REF!</v>
      </c>
      <c r="CX63" t="str">
        <f>AND(#REF!,"AAAAAH/5XmU=")</f>
        <v>#REF!</v>
      </c>
      <c r="CY63" t="str">
        <f>AND(#REF!,"AAAAAH/5XmY=")</f>
        <v>#REF!</v>
      </c>
      <c r="CZ63" t="str">
        <f>AND(#REF!,"AAAAAH/5Xmc=")</f>
        <v>#REF!</v>
      </c>
      <c r="DA63" t="str">
        <f>AND(#REF!,"AAAAAH/5Xmg=")</f>
        <v>#REF!</v>
      </c>
      <c r="DB63" t="str">
        <f>AND(#REF!,"AAAAAH/5Xmk=")</f>
        <v>#REF!</v>
      </c>
      <c r="DC63" t="str">
        <f>AND(#REF!,"AAAAAH/5Xmo=")</f>
        <v>#REF!</v>
      </c>
      <c r="DD63" t="str">
        <f>AND(#REF!,"AAAAAH/5Xms=")</f>
        <v>#REF!</v>
      </c>
      <c r="DE63" t="str">
        <f>AND(#REF!,"AAAAAH/5Xmw=")</f>
        <v>#REF!</v>
      </c>
      <c r="DF63" t="str">
        <f>AND(#REF!,"AAAAAH/5Xm0=")</f>
        <v>#REF!</v>
      </c>
      <c r="DG63" t="str">
        <f>AND(#REF!,"AAAAAH/5Xm4=")</f>
        <v>#REF!</v>
      </c>
      <c r="DH63" t="str">
        <f>AND(#REF!,"AAAAAH/5Xm8=")</f>
        <v>#REF!</v>
      </c>
      <c r="DI63" t="str">
        <f>AND(#REF!,"AAAAAH/5XnA=")</f>
        <v>#REF!</v>
      </c>
      <c r="DJ63" t="str">
        <f>AND(#REF!,"AAAAAH/5XnE=")</f>
        <v>#REF!</v>
      </c>
      <c r="DK63" t="str">
        <f>AND(#REF!,"AAAAAH/5XnI=")</f>
        <v>#REF!</v>
      </c>
      <c r="DL63" t="str">
        <f>AND(#REF!,"AAAAAH/5XnM=")</f>
        <v>#REF!</v>
      </c>
      <c r="DM63" t="str">
        <f>AND(#REF!,"AAAAAH/5XnQ=")</f>
        <v>#REF!</v>
      </c>
      <c r="DN63" t="str">
        <f>AND(#REF!,"AAAAAH/5XnU=")</f>
        <v>#REF!</v>
      </c>
      <c r="DO63" t="str">
        <f>AND(#REF!,"AAAAAH/5XnY=")</f>
        <v>#REF!</v>
      </c>
      <c r="DP63" t="str">
        <f>AND(#REF!,"AAAAAH/5Xnc=")</f>
        <v>#REF!</v>
      </c>
      <c r="DQ63" t="str">
        <f>AND(#REF!,"AAAAAH/5Xng=")</f>
        <v>#REF!</v>
      </c>
      <c r="DR63" t="str">
        <f>AND(#REF!,"AAAAAH/5Xnk=")</f>
        <v>#REF!</v>
      </c>
      <c r="DS63" t="str">
        <f>AND(#REF!,"AAAAAH/5Xno=")</f>
        <v>#REF!</v>
      </c>
      <c r="DT63" t="str">
        <f>AND(#REF!,"AAAAAH/5Xns=")</f>
        <v>#REF!</v>
      </c>
      <c r="DU63" t="str">
        <f>AND(#REF!,"AAAAAH/5Xnw=")</f>
        <v>#REF!</v>
      </c>
      <c r="DV63" t="str">
        <f>AND(#REF!,"AAAAAH/5Xn0=")</f>
        <v>#REF!</v>
      </c>
      <c r="DW63" t="str">
        <f>AND(#REF!,"AAAAAH/5Xn4=")</f>
        <v>#REF!</v>
      </c>
      <c r="DX63" t="str">
        <f>AND(#REF!,"AAAAAH/5Xn8=")</f>
        <v>#REF!</v>
      </c>
      <c r="DY63" t="str">
        <f>AND(#REF!,"AAAAAH/5XoA=")</f>
        <v>#REF!</v>
      </c>
      <c r="DZ63" t="str">
        <f>AND(#REF!,"AAAAAH/5XoE=")</f>
        <v>#REF!</v>
      </c>
      <c r="EA63" t="str">
        <f>AND(#REF!,"AAAAAH/5XoI=")</f>
        <v>#REF!</v>
      </c>
      <c r="EB63" t="str">
        <f>AND(#REF!,"AAAAAH/5XoM=")</f>
        <v>#REF!</v>
      </c>
      <c r="EC63" t="str">
        <f>AND(#REF!,"AAAAAH/5XoQ=")</f>
        <v>#REF!</v>
      </c>
      <c r="ED63" t="str">
        <f>AND(#REF!,"AAAAAH/5XoU=")</f>
        <v>#REF!</v>
      </c>
      <c r="EE63" t="str">
        <f>AND(#REF!,"AAAAAH/5XoY=")</f>
        <v>#REF!</v>
      </c>
      <c r="EF63" t="str">
        <f>IF(#REF!,"AAAAAH/5Xoc=",0)</f>
        <v>#REF!</v>
      </c>
      <c r="EG63" t="str">
        <f>AND(#REF!,"AAAAAH/5Xog=")</f>
        <v>#REF!</v>
      </c>
      <c r="EH63" t="str">
        <f>AND(#REF!,"AAAAAH/5Xok=")</f>
        <v>#REF!</v>
      </c>
      <c r="EI63" t="str">
        <f>AND(#REF!,"AAAAAH/5Xoo=")</f>
        <v>#REF!</v>
      </c>
      <c r="EJ63" t="str">
        <f>AND(#REF!,"AAAAAH/5Xos=")</f>
        <v>#REF!</v>
      </c>
      <c r="EK63" t="str">
        <f>AND(#REF!,"AAAAAH/5Xow=")</f>
        <v>#REF!</v>
      </c>
      <c r="EL63" t="str">
        <f>AND(#REF!,"AAAAAH/5Xo0=")</f>
        <v>#REF!</v>
      </c>
      <c r="EM63" t="str">
        <f>AND(#REF!,"AAAAAH/5Xo4=")</f>
        <v>#REF!</v>
      </c>
      <c r="EN63" t="str">
        <f>AND(#REF!,"AAAAAH/5Xo8=")</f>
        <v>#REF!</v>
      </c>
      <c r="EO63" t="str">
        <f>AND(#REF!,"AAAAAH/5XpA=")</f>
        <v>#REF!</v>
      </c>
      <c r="EP63" t="str">
        <f>AND(#REF!,"AAAAAH/5XpE=")</f>
        <v>#REF!</v>
      </c>
      <c r="EQ63" t="str">
        <f>AND(#REF!,"AAAAAH/5XpI=")</f>
        <v>#REF!</v>
      </c>
      <c r="ER63" t="str">
        <f>AND(#REF!,"AAAAAH/5XpM=")</f>
        <v>#REF!</v>
      </c>
      <c r="ES63" t="str">
        <f>AND(#REF!,"AAAAAH/5XpQ=")</f>
        <v>#REF!</v>
      </c>
      <c r="ET63" t="str">
        <f>AND(#REF!,"AAAAAH/5XpU=")</f>
        <v>#REF!</v>
      </c>
      <c r="EU63" t="str">
        <f>AND(#REF!,"AAAAAH/5XpY=")</f>
        <v>#REF!</v>
      </c>
      <c r="EV63" t="str">
        <f>AND(#REF!,"AAAAAH/5Xpc=")</f>
        <v>#REF!</v>
      </c>
      <c r="EW63" t="str">
        <f>AND(#REF!,"AAAAAH/5Xpg=")</f>
        <v>#REF!</v>
      </c>
      <c r="EX63" t="str">
        <f>AND(#REF!,"AAAAAH/5Xpk=")</f>
        <v>#REF!</v>
      </c>
      <c r="EY63" t="str">
        <f>AND(#REF!,"AAAAAH/5Xpo=")</f>
        <v>#REF!</v>
      </c>
      <c r="EZ63" t="str">
        <f>AND(#REF!,"AAAAAH/5Xps=")</f>
        <v>#REF!</v>
      </c>
      <c r="FA63" t="str">
        <f>AND(#REF!,"AAAAAH/5Xpw=")</f>
        <v>#REF!</v>
      </c>
      <c r="FB63" t="str">
        <f>AND(#REF!,"AAAAAH/5Xp0=")</f>
        <v>#REF!</v>
      </c>
      <c r="FC63" t="str">
        <f>AND(#REF!,"AAAAAH/5Xp4=")</f>
        <v>#REF!</v>
      </c>
      <c r="FD63" t="str">
        <f>AND(#REF!,"AAAAAH/5Xp8=")</f>
        <v>#REF!</v>
      </c>
      <c r="FE63" t="str">
        <f>AND(#REF!,"AAAAAH/5XqA=")</f>
        <v>#REF!</v>
      </c>
      <c r="FF63" t="str">
        <f>AND(#REF!,"AAAAAH/5XqE=")</f>
        <v>#REF!</v>
      </c>
      <c r="FG63" t="str">
        <f>AND(#REF!,"AAAAAH/5XqI=")</f>
        <v>#REF!</v>
      </c>
      <c r="FH63" t="str">
        <f>AND(#REF!,"AAAAAH/5XqM=")</f>
        <v>#REF!</v>
      </c>
      <c r="FI63" t="str">
        <f>AND(#REF!,"AAAAAH/5XqQ=")</f>
        <v>#REF!</v>
      </c>
      <c r="FJ63" t="str">
        <f>AND(#REF!,"AAAAAH/5XqU=")</f>
        <v>#REF!</v>
      </c>
      <c r="FK63" t="str">
        <f>AND(#REF!,"AAAAAH/5XqY=")</f>
        <v>#REF!</v>
      </c>
      <c r="FL63" t="str">
        <f>AND(#REF!,"AAAAAH/5Xqc=")</f>
        <v>#REF!</v>
      </c>
      <c r="FM63" t="str">
        <f>AND(#REF!,"AAAAAH/5Xqg=")</f>
        <v>#REF!</v>
      </c>
      <c r="FN63" t="str">
        <f>AND(#REF!,"AAAAAH/5Xqk=")</f>
        <v>#REF!</v>
      </c>
      <c r="FO63" t="str">
        <f>AND(#REF!,"AAAAAH/5Xqo=")</f>
        <v>#REF!</v>
      </c>
      <c r="FP63" t="str">
        <f>AND(#REF!,"AAAAAH/5Xqs=")</f>
        <v>#REF!</v>
      </c>
      <c r="FQ63" t="str">
        <f>AND(#REF!,"AAAAAH/5Xqw=")</f>
        <v>#REF!</v>
      </c>
      <c r="FR63" t="str">
        <f>AND(#REF!,"AAAAAH/5Xq0=")</f>
        <v>#REF!</v>
      </c>
      <c r="FS63" t="str">
        <f>AND(#REF!,"AAAAAH/5Xq4=")</f>
        <v>#REF!</v>
      </c>
      <c r="FT63" t="str">
        <f>AND(#REF!,"AAAAAH/5Xq8=")</f>
        <v>#REF!</v>
      </c>
      <c r="FU63" t="str">
        <f>AND(#REF!,"AAAAAH/5XrA=")</f>
        <v>#REF!</v>
      </c>
      <c r="FV63" t="str">
        <f>AND(#REF!,"AAAAAH/5XrE=")</f>
        <v>#REF!</v>
      </c>
      <c r="FW63" t="str">
        <f>AND(#REF!,"AAAAAH/5XrI=")</f>
        <v>#REF!</v>
      </c>
      <c r="FX63" t="str">
        <f>AND(#REF!,"AAAAAH/5XrM=")</f>
        <v>#REF!</v>
      </c>
      <c r="FY63" t="str">
        <f>AND(#REF!,"AAAAAH/5XrQ=")</f>
        <v>#REF!</v>
      </c>
      <c r="FZ63" t="str">
        <f>AND(#REF!,"AAAAAH/5XrU=")</f>
        <v>#REF!</v>
      </c>
      <c r="GA63" t="str">
        <f>AND(#REF!,"AAAAAH/5XrY=")</f>
        <v>#REF!</v>
      </c>
      <c r="GB63" t="str">
        <f>AND(#REF!,"AAAAAH/5Xrc=")</f>
        <v>#REF!</v>
      </c>
      <c r="GC63" t="str">
        <f>AND(#REF!,"AAAAAH/5Xrg=")</f>
        <v>#REF!</v>
      </c>
      <c r="GD63" t="str">
        <f>AND(#REF!,"AAAAAH/5Xrk=")</f>
        <v>#REF!</v>
      </c>
      <c r="GE63" t="str">
        <f>AND(#REF!,"AAAAAH/5Xro=")</f>
        <v>#REF!</v>
      </c>
      <c r="GF63" t="str">
        <f>AND(#REF!,"AAAAAH/5Xrs=")</f>
        <v>#REF!</v>
      </c>
      <c r="GG63" t="str">
        <f>AND(#REF!,"AAAAAH/5Xrw=")</f>
        <v>#REF!</v>
      </c>
      <c r="GH63" t="str">
        <f>AND(#REF!,"AAAAAH/5Xr0=")</f>
        <v>#REF!</v>
      </c>
      <c r="GI63" t="str">
        <f>AND(#REF!,"AAAAAH/5Xr4=")</f>
        <v>#REF!</v>
      </c>
      <c r="GJ63" t="str">
        <f>AND(#REF!,"AAAAAH/5Xr8=")</f>
        <v>#REF!</v>
      </c>
      <c r="GK63" t="str">
        <f>AND(#REF!,"AAAAAH/5XsA=")</f>
        <v>#REF!</v>
      </c>
      <c r="GL63" t="str">
        <f>AND(#REF!,"AAAAAH/5XsE=")</f>
        <v>#REF!</v>
      </c>
      <c r="GM63" t="str">
        <f>AND(#REF!,"AAAAAH/5XsI=")</f>
        <v>#REF!</v>
      </c>
      <c r="GN63" t="str">
        <f>AND(#REF!,"AAAAAH/5XsM=")</f>
        <v>#REF!</v>
      </c>
      <c r="GO63" t="str">
        <f>AND(#REF!,"AAAAAH/5XsQ=")</f>
        <v>#REF!</v>
      </c>
      <c r="GP63" t="str">
        <f>AND(#REF!,"AAAAAH/5XsU=")</f>
        <v>#REF!</v>
      </c>
      <c r="GQ63" t="str">
        <f>AND(#REF!,"AAAAAH/5XsY=")</f>
        <v>#REF!</v>
      </c>
      <c r="GR63" t="str">
        <f>AND(#REF!,"AAAAAH/5Xsc=")</f>
        <v>#REF!</v>
      </c>
      <c r="GS63" t="str">
        <f>AND(#REF!,"AAAAAH/5Xsg=")</f>
        <v>#REF!</v>
      </c>
      <c r="GT63" t="str">
        <f>AND(#REF!,"AAAAAH/5Xsk=")</f>
        <v>#REF!</v>
      </c>
      <c r="GU63" t="str">
        <f>AND(#REF!,"AAAAAH/5Xso=")</f>
        <v>#REF!</v>
      </c>
      <c r="GV63" t="str">
        <f>AND(#REF!,"AAAAAH/5Xss=")</f>
        <v>#REF!</v>
      </c>
      <c r="GW63" t="str">
        <f>AND(#REF!,"AAAAAH/5Xsw=")</f>
        <v>#REF!</v>
      </c>
      <c r="GX63" t="str">
        <f>AND(#REF!,"AAAAAH/5Xs0=")</f>
        <v>#REF!</v>
      </c>
      <c r="GY63" t="str">
        <f>AND(#REF!,"AAAAAH/5Xs4=")</f>
        <v>#REF!</v>
      </c>
      <c r="GZ63" t="str">
        <f>AND(#REF!,"AAAAAH/5Xs8=")</f>
        <v>#REF!</v>
      </c>
      <c r="HA63" t="str">
        <f>AND(#REF!,"AAAAAH/5XtA=")</f>
        <v>#REF!</v>
      </c>
      <c r="HB63" t="str">
        <f>AND(#REF!,"AAAAAH/5XtE=")</f>
        <v>#REF!</v>
      </c>
      <c r="HC63" t="str">
        <f>AND(#REF!,"AAAAAH/5XtI=")</f>
        <v>#REF!</v>
      </c>
      <c r="HD63" t="str">
        <f>IF(#REF!,"AAAAAH/5XtM=",0)</f>
        <v>#REF!</v>
      </c>
      <c r="HE63" t="str">
        <f>AND(#REF!,"AAAAAH/5XtQ=")</f>
        <v>#REF!</v>
      </c>
      <c r="HF63" t="str">
        <f>AND(#REF!,"AAAAAH/5XtU=")</f>
        <v>#REF!</v>
      </c>
      <c r="HG63" t="str">
        <f>AND(#REF!,"AAAAAH/5XtY=")</f>
        <v>#REF!</v>
      </c>
      <c r="HH63" t="str">
        <f>AND(#REF!,"AAAAAH/5Xtc=")</f>
        <v>#REF!</v>
      </c>
      <c r="HI63" t="str">
        <f>AND(#REF!,"AAAAAH/5Xtg=")</f>
        <v>#REF!</v>
      </c>
      <c r="HJ63" t="str">
        <f>AND(#REF!,"AAAAAH/5Xtk=")</f>
        <v>#REF!</v>
      </c>
      <c r="HK63" t="str">
        <f>AND(#REF!,"AAAAAH/5Xto=")</f>
        <v>#REF!</v>
      </c>
      <c r="HL63" t="str">
        <f>AND(#REF!,"AAAAAH/5Xts=")</f>
        <v>#REF!</v>
      </c>
      <c r="HM63" t="str">
        <f>AND(#REF!,"AAAAAH/5Xtw=")</f>
        <v>#REF!</v>
      </c>
      <c r="HN63" t="str">
        <f>AND(#REF!,"AAAAAH/5Xt0=")</f>
        <v>#REF!</v>
      </c>
      <c r="HO63" t="str">
        <f>AND(#REF!,"AAAAAH/5Xt4=")</f>
        <v>#REF!</v>
      </c>
      <c r="HP63" t="str">
        <f>AND(#REF!,"AAAAAH/5Xt8=")</f>
        <v>#REF!</v>
      </c>
      <c r="HQ63" t="str">
        <f>AND(#REF!,"AAAAAH/5XuA=")</f>
        <v>#REF!</v>
      </c>
      <c r="HR63" t="str">
        <f>AND(#REF!,"AAAAAH/5XuE=")</f>
        <v>#REF!</v>
      </c>
      <c r="HS63" t="str">
        <f>AND(#REF!,"AAAAAH/5XuI=")</f>
        <v>#REF!</v>
      </c>
      <c r="HT63" t="str">
        <f>AND(#REF!,"AAAAAH/5XuM=")</f>
        <v>#REF!</v>
      </c>
      <c r="HU63" t="str">
        <f>AND(#REF!,"AAAAAH/5XuQ=")</f>
        <v>#REF!</v>
      </c>
      <c r="HV63" t="str">
        <f>AND(#REF!,"AAAAAH/5XuU=")</f>
        <v>#REF!</v>
      </c>
      <c r="HW63" t="str">
        <f>AND(#REF!,"AAAAAH/5XuY=")</f>
        <v>#REF!</v>
      </c>
      <c r="HX63" t="str">
        <f>AND(#REF!,"AAAAAH/5Xuc=")</f>
        <v>#REF!</v>
      </c>
      <c r="HY63" t="str">
        <f>AND(#REF!,"AAAAAH/5Xug=")</f>
        <v>#REF!</v>
      </c>
      <c r="HZ63" t="str">
        <f>AND(#REF!,"AAAAAH/5Xuk=")</f>
        <v>#REF!</v>
      </c>
      <c r="IA63" t="str">
        <f>AND(#REF!,"AAAAAH/5Xuo=")</f>
        <v>#REF!</v>
      </c>
      <c r="IB63" t="str">
        <f>AND(#REF!,"AAAAAH/5Xus=")</f>
        <v>#REF!</v>
      </c>
      <c r="IC63" t="str">
        <f>AND(#REF!,"AAAAAH/5Xuw=")</f>
        <v>#REF!</v>
      </c>
      <c r="ID63" t="str">
        <f>AND(#REF!,"AAAAAH/5Xu0=")</f>
        <v>#REF!</v>
      </c>
      <c r="IE63" t="str">
        <f>AND(#REF!,"AAAAAH/5Xu4=")</f>
        <v>#REF!</v>
      </c>
      <c r="IF63" t="str">
        <f>AND(#REF!,"AAAAAH/5Xu8=")</f>
        <v>#REF!</v>
      </c>
      <c r="IG63" t="str">
        <f>AND(#REF!,"AAAAAH/5XvA=")</f>
        <v>#REF!</v>
      </c>
      <c r="IH63" t="str">
        <f>AND(#REF!,"AAAAAH/5XvE=")</f>
        <v>#REF!</v>
      </c>
      <c r="II63" t="str">
        <f>AND(#REF!,"AAAAAH/5XvI=")</f>
        <v>#REF!</v>
      </c>
      <c r="IJ63" t="str">
        <f>AND(#REF!,"AAAAAH/5XvM=")</f>
        <v>#REF!</v>
      </c>
      <c r="IK63" t="str">
        <f>AND(#REF!,"AAAAAH/5XvQ=")</f>
        <v>#REF!</v>
      </c>
      <c r="IL63" t="str">
        <f>AND(#REF!,"AAAAAH/5XvU=")</f>
        <v>#REF!</v>
      </c>
      <c r="IM63" t="str">
        <f>AND(#REF!,"AAAAAH/5XvY=")</f>
        <v>#REF!</v>
      </c>
      <c r="IN63" t="str">
        <f>AND(#REF!,"AAAAAH/5Xvc=")</f>
        <v>#REF!</v>
      </c>
      <c r="IO63" t="str">
        <f>AND(#REF!,"AAAAAH/5Xvg=")</f>
        <v>#REF!</v>
      </c>
      <c r="IP63" t="str">
        <f>AND(#REF!,"AAAAAH/5Xvk=")</f>
        <v>#REF!</v>
      </c>
      <c r="IQ63" t="str">
        <f>AND(#REF!,"AAAAAH/5Xvo=")</f>
        <v>#REF!</v>
      </c>
      <c r="IR63" t="str">
        <f>AND(#REF!,"AAAAAH/5Xvs=")</f>
        <v>#REF!</v>
      </c>
      <c r="IS63" t="str">
        <f>AND(#REF!,"AAAAAH/5Xvw=")</f>
        <v>#REF!</v>
      </c>
      <c r="IT63" t="str">
        <f>AND(#REF!,"AAAAAH/5Xv0=")</f>
        <v>#REF!</v>
      </c>
      <c r="IU63" t="str">
        <f>AND(#REF!,"AAAAAH/5Xv4=")</f>
        <v>#REF!</v>
      </c>
      <c r="IV63" t="str">
        <f>AND(#REF!,"AAAAAH/5Xv8=")</f>
        <v>#REF!</v>
      </c>
    </row>
    <row r="64" ht="15.75" customHeight="1">
      <c r="A64" t="str">
        <f>AND(#REF!,"AAAAAHq/ugA=")</f>
        <v>#REF!</v>
      </c>
      <c r="B64" t="str">
        <f>AND(#REF!,"AAAAAHq/ugE=")</f>
        <v>#REF!</v>
      </c>
      <c r="C64" t="str">
        <f>AND(#REF!,"AAAAAHq/ugI=")</f>
        <v>#REF!</v>
      </c>
      <c r="D64" t="str">
        <f>AND(#REF!,"AAAAAHq/ugM=")</f>
        <v>#REF!</v>
      </c>
      <c r="E64" t="str">
        <f>AND(#REF!,"AAAAAHq/ugQ=")</f>
        <v>#REF!</v>
      </c>
      <c r="F64" t="str">
        <f>AND(#REF!,"AAAAAHq/ugU=")</f>
        <v>#REF!</v>
      </c>
      <c r="G64" t="str">
        <f>AND(#REF!,"AAAAAHq/ugY=")</f>
        <v>#REF!</v>
      </c>
      <c r="H64" t="str">
        <f>AND(#REF!,"AAAAAHq/ugc=")</f>
        <v>#REF!</v>
      </c>
      <c r="I64" t="str">
        <f>AND(#REF!,"AAAAAHq/ugg=")</f>
        <v>#REF!</v>
      </c>
      <c r="J64" t="str">
        <f>AND(#REF!,"AAAAAHq/ugk=")</f>
        <v>#REF!</v>
      </c>
      <c r="K64" t="str">
        <f>AND(#REF!,"AAAAAHq/ugo=")</f>
        <v>#REF!</v>
      </c>
      <c r="L64" t="str">
        <f>AND(#REF!,"AAAAAHq/ugs=")</f>
        <v>#REF!</v>
      </c>
      <c r="M64" t="str">
        <f>AND(#REF!,"AAAAAHq/ugw=")</f>
        <v>#REF!</v>
      </c>
      <c r="N64" t="str">
        <f>AND(#REF!,"AAAAAHq/ug0=")</f>
        <v>#REF!</v>
      </c>
      <c r="O64" t="str">
        <f>AND(#REF!,"AAAAAHq/ug4=")</f>
        <v>#REF!</v>
      </c>
      <c r="P64" t="str">
        <f>AND(#REF!,"AAAAAHq/ug8=")</f>
        <v>#REF!</v>
      </c>
      <c r="Q64" t="str">
        <f>AND(#REF!,"AAAAAHq/uhA=")</f>
        <v>#REF!</v>
      </c>
      <c r="R64" t="str">
        <f>AND(#REF!,"AAAAAHq/uhE=")</f>
        <v>#REF!</v>
      </c>
      <c r="S64" t="str">
        <f>AND(#REF!,"AAAAAHq/uhI=")</f>
        <v>#REF!</v>
      </c>
      <c r="T64" t="str">
        <f>AND(#REF!,"AAAAAHq/uhM=")</f>
        <v>#REF!</v>
      </c>
      <c r="U64" t="str">
        <f>AND(#REF!,"AAAAAHq/uhQ=")</f>
        <v>#REF!</v>
      </c>
      <c r="V64" t="str">
        <f>AND(#REF!,"AAAAAHq/uhU=")</f>
        <v>#REF!</v>
      </c>
      <c r="W64" t="str">
        <f>AND(#REF!,"AAAAAHq/uhY=")</f>
        <v>#REF!</v>
      </c>
      <c r="X64" t="str">
        <f>AND(#REF!,"AAAAAHq/uhc=")</f>
        <v>#REF!</v>
      </c>
      <c r="Y64" t="str">
        <f>AND(#REF!,"AAAAAHq/uhg=")</f>
        <v>#REF!</v>
      </c>
      <c r="Z64" t="str">
        <f>AND(#REF!,"AAAAAHq/uhk=")</f>
        <v>#REF!</v>
      </c>
      <c r="AA64" t="str">
        <f>AND(#REF!,"AAAAAHq/uho=")</f>
        <v>#REF!</v>
      </c>
      <c r="AB64" t="str">
        <f>AND(#REF!,"AAAAAHq/uhs=")</f>
        <v>#REF!</v>
      </c>
      <c r="AC64" t="str">
        <f>AND(#REF!,"AAAAAHq/uhw=")</f>
        <v>#REF!</v>
      </c>
      <c r="AD64" t="str">
        <f>AND(#REF!,"AAAAAHq/uh0=")</f>
        <v>#REF!</v>
      </c>
      <c r="AE64" t="str">
        <f>AND(#REF!,"AAAAAHq/uh4=")</f>
        <v>#REF!</v>
      </c>
      <c r="AF64" t="str">
        <f>IF(#REF!,"AAAAAHq/uh8=",0)</f>
        <v>#REF!</v>
      </c>
      <c r="AG64" t="str">
        <f>AND(#REF!,"AAAAAHq/uiA=")</f>
        <v>#REF!</v>
      </c>
      <c r="AH64" t="str">
        <f>AND(#REF!,"AAAAAHq/uiE=")</f>
        <v>#REF!</v>
      </c>
      <c r="AI64" t="str">
        <f>AND(#REF!,"AAAAAHq/uiI=")</f>
        <v>#REF!</v>
      </c>
      <c r="AJ64" t="str">
        <f>AND(#REF!,"AAAAAHq/uiM=")</f>
        <v>#REF!</v>
      </c>
      <c r="AK64" t="str">
        <f>AND(#REF!,"AAAAAHq/uiQ=")</f>
        <v>#REF!</v>
      </c>
      <c r="AL64" t="str">
        <f>AND(#REF!,"AAAAAHq/uiU=")</f>
        <v>#REF!</v>
      </c>
      <c r="AM64" t="str">
        <f>AND(#REF!,"AAAAAHq/uiY=")</f>
        <v>#REF!</v>
      </c>
      <c r="AN64" t="str">
        <f>AND(#REF!,"AAAAAHq/uic=")</f>
        <v>#REF!</v>
      </c>
      <c r="AO64" t="str">
        <f>AND(#REF!,"AAAAAHq/uig=")</f>
        <v>#REF!</v>
      </c>
      <c r="AP64" t="str">
        <f>AND(#REF!,"AAAAAHq/uik=")</f>
        <v>#REF!</v>
      </c>
      <c r="AQ64" t="str">
        <f>AND(#REF!,"AAAAAHq/uio=")</f>
        <v>#REF!</v>
      </c>
      <c r="AR64" t="str">
        <f>AND(#REF!,"AAAAAHq/uis=")</f>
        <v>#REF!</v>
      </c>
      <c r="AS64" t="str">
        <f>AND(#REF!,"AAAAAHq/uiw=")</f>
        <v>#REF!</v>
      </c>
      <c r="AT64" t="str">
        <f>AND(#REF!,"AAAAAHq/ui0=")</f>
        <v>#REF!</v>
      </c>
      <c r="AU64" t="str">
        <f>AND(#REF!,"AAAAAHq/ui4=")</f>
        <v>#REF!</v>
      </c>
      <c r="AV64" t="str">
        <f>AND(#REF!,"AAAAAHq/ui8=")</f>
        <v>#REF!</v>
      </c>
      <c r="AW64" t="str">
        <f>AND(#REF!,"AAAAAHq/ujA=")</f>
        <v>#REF!</v>
      </c>
      <c r="AX64" t="str">
        <f>AND(#REF!,"AAAAAHq/ujE=")</f>
        <v>#REF!</v>
      </c>
      <c r="AY64" t="str">
        <f>AND(#REF!,"AAAAAHq/ujI=")</f>
        <v>#REF!</v>
      </c>
      <c r="AZ64" t="str">
        <f>AND(#REF!,"AAAAAHq/ujM=")</f>
        <v>#REF!</v>
      </c>
      <c r="BA64" t="str">
        <f>AND(#REF!,"AAAAAHq/ujQ=")</f>
        <v>#REF!</v>
      </c>
      <c r="BB64" t="str">
        <f>AND(#REF!,"AAAAAHq/ujU=")</f>
        <v>#REF!</v>
      </c>
      <c r="BC64" t="str">
        <f>AND(#REF!,"AAAAAHq/ujY=")</f>
        <v>#REF!</v>
      </c>
      <c r="BD64" t="str">
        <f>AND(#REF!,"AAAAAHq/ujc=")</f>
        <v>#REF!</v>
      </c>
      <c r="BE64" t="str">
        <f>AND(#REF!,"AAAAAHq/ujg=")</f>
        <v>#REF!</v>
      </c>
      <c r="BF64" t="str">
        <f>AND(#REF!,"AAAAAHq/ujk=")</f>
        <v>#REF!</v>
      </c>
      <c r="BG64" t="str">
        <f>AND(#REF!,"AAAAAHq/ujo=")</f>
        <v>#REF!</v>
      </c>
      <c r="BH64" t="str">
        <f>AND(#REF!,"AAAAAHq/ujs=")</f>
        <v>#REF!</v>
      </c>
      <c r="BI64" t="str">
        <f>AND(#REF!,"AAAAAHq/ujw=")</f>
        <v>#REF!</v>
      </c>
      <c r="BJ64" t="str">
        <f>AND(#REF!,"AAAAAHq/uj0=")</f>
        <v>#REF!</v>
      </c>
      <c r="BK64" t="str">
        <f>AND(#REF!,"AAAAAHq/uj4=")</f>
        <v>#REF!</v>
      </c>
      <c r="BL64" t="str">
        <f>AND(#REF!,"AAAAAHq/uj8=")</f>
        <v>#REF!</v>
      </c>
      <c r="BM64" t="str">
        <f>AND(#REF!,"AAAAAHq/ukA=")</f>
        <v>#REF!</v>
      </c>
      <c r="BN64" t="str">
        <f>AND(#REF!,"AAAAAHq/ukE=")</f>
        <v>#REF!</v>
      </c>
      <c r="BO64" t="str">
        <f>AND(#REF!,"AAAAAHq/ukI=")</f>
        <v>#REF!</v>
      </c>
      <c r="BP64" t="str">
        <f>AND(#REF!,"AAAAAHq/ukM=")</f>
        <v>#REF!</v>
      </c>
      <c r="BQ64" t="str">
        <f>AND(#REF!,"AAAAAHq/ukQ=")</f>
        <v>#REF!</v>
      </c>
      <c r="BR64" t="str">
        <f>AND(#REF!,"AAAAAHq/ukU=")</f>
        <v>#REF!</v>
      </c>
      <c r="BS64" t="str">
        <f>AND(#REF!,"AAAAAHq/ukY=")</f>
        <v>#REF!</v>
      </c>
      <c r="BT64" t="str">
        <f>AND(#REF!,"AAAAAHq/ukc=")</f>
        <v>#REF!</v>
      </c>
      <c r="BU64" t="str">
        <f>AND(#REF!,"AAAAAHq/ukg=")</f>
        <v>#REF!</v>
      </c>
      <c r="BV64" t="str">
        <f>AND(#REF!,"AAAAAHq/ukk=")</f>
        <v>#REF!</v>
      </c>
      <c r="BW64" t="str">
        <f>AND(#REF!,"AAAAAHq/uko=")</f>
        <v>#REF!</v>
      </c>
      <c r="BX64" t="str">
        <f>AND(#REF!,"AAAAAHq/uks=")</f>
        <v>#REF!</v>
      </c>
      <c r="BY64" t="str">
        <f>AND(#REF!,"AAAAAHq/ukw=")</f>
        <v>#REF!</v>
      </c>
      <c r="BZ64" t="str">
        <f>AND(#REF!,"AAAAAHq/uk0=")</f>
        <v>#REF!</v>
      </c>
      <c r="CA64" t="str">
        <f>AND(#REF!,"AAAAAHq/uk4=")</f>
        <v>#REF!</v>
      </c>
      <c r="CB64" t="str">
        <f>AND(#REF!,"AAAAAHq/uk8=")</f>
        <v>#REF!</v>
      </c>
      <c r="CC64" t="str">
        <f>AND(#REF!,"AAAAAHq/ulA=")</f>
        <v>#REF!</v>
      </c>
      <c r="CD64" t="str">
        <f>AND(#REF!,"AAAAAHq/ulE=")</f>
        <v>#REF!</v>
      </c>
      <c r="CE64" t="str">
        <f>AND(#REF!,"AAAAAHq/ulI=")</f>
        <v>#REF!</v>
      </c>
      <c r="CF64" t="str">
        <f>AND(#REF!,"AAAAAHq/ulM=")</f>
        <v>#REF!</v>
      </c>
      <c r="CG64" t="str">
        <f>AND(#REF!,"AAAAAHq/ulQ=")</f>
        <v>#REF!</v>
      </c>
      <c r="CH64" t="str">
        <f>AND(#REF!,"AAAAAHq/ulU=")</f>
        <v>#REF!</v>
      </c>
      <c r="CI64" t="str">
        <f>AND(#REF!,"AAAAAHq/ulY=")</f>
        <v>#REF!</v>
      </c>
      <c r="CJ64" t="str">
        <f>AND(#REF!,"AAAAAHq/ulc=")</f>
        <v>#REF!</v>
      </c>
      <c r="CK64" t="str">
        <f>AND(#REF!,"AAAAAHq/ulg=")</f>
        <v>#REF!</v>
      </c>
      <c r="CL64" t="str">
        <f>AND(#REF!,"AAAAAHq/ulk=")</f>
        <v>#REF!</v>
      </c>
      <c r="CM64" t="str">
        <f>AND(#REF!,"AAAAAHq/ulo=")</f>
        <v>#REF!</v>
      </c>
      <c r="CN64" t="str">
        <f>AND(#REF!,"AAAAAHq/uls=")</f>
        <v>#REF!</v>
      </c>
      <c r="CO64" t="str">
        <f>AND(#REF!,"AAAAAHq/ulw=")</f>
        <v>#REF!</v>
      </c>
      <c r="CP64" t="str">
        <f>AND(#REF!,"AAAAAHq/ul0=")</f>
        <v>#REF!</v>
      </c>
      <c r="CQ64" t="str">
        <f>AND(#REF!,"AAAAAHq/ul4=")</f>
        <v>#REF!</v>
      </c>
      <c r="CR64" t="str">
        <f>AND(#REF!,"AAAAAHq/ul8=")</f>
        <v>#REF!</v>
      </c>
      <c r="CS64" t="str">
        <f>AND(#REF!,"AAAAAHq/umA=")</f>
        <v>#REF!</v>
      </c>
      <c r="CT64" t="str">
        <f>AND(#REF!,"AAAAAHq/umE=")</f>
        <v>#REF!</v>
      </c>
      <c r="CU64" t="str">
        <f>AND(#REF!,"AAAAAHq/umI=")</f>
        <v>#REF!</v>
      </c>
      <c r="CV64" t="str">
        <f>AND(#REF!,"AAAAAHq/umM=")</f>
        <v>#REF!</v>
      </c>
      <c r="CW64" t="str">
        <f>AND(#REF!,"AAAAAHq/umQ=")</f>
        <v>#REF!</v>
      </c>
      <c r="CX64" t="str">
        <f>AND(#REF!,"AAAAAHq/umU=")</f>
        <v>#REF!</v>
      </c>
      <c r="CY64" t="str">
        <f>AND(#REF!,"AAAAAHq/umY=")</f>
        <v>#REF!</v>
      </c>
      <c r="CZ64" t="str">
        <f>AND(#REF!,"AAAAAHq/umc=")</f>
        <v>#REF!</v>
      </c>
      <c r="DA64" t="str">
        <f>AND(#REF!,"AAAAAHq/umg=")</f>
        <v>#REF!</v>
      </c>
      <c r="DB64" t="str">
        <f>AND(#REF!,"AAAAAHq/umk=")</f>
        <v>#REF!</v>
      </c>
      <c r="DC64" t="str">
        <f>AND(#REF!,"AAAAAHq/umo=")</f>
        <v>#REF!</v>
      </c>
      <c r="DD64" t="str">
        <f>IF(#REF!,"AAAAAHq/ums=",0)</f>
        <v>#REF!</v>
      </c>
      <c r="DE64" t="str">
        <f>AND(#REF!,"AAAAAHq/umw=")</f>
        <v>#REF!</v>
      </c>
      <c r="DF64" t="str">
        <f>AND(#REF!,"AAAAAHq/um0=")</f>
        <v>#REF!</v>
      </c>
      <c r="DG64" t="str">
        <f>AND(#REF!,"AAAAAHq/um4=")</f>
        <v>#REF!</v>
      </c>
      <c r="DH64" t="str">
        <f>AND(#REF!,"AAAAAHq/um8=")</f>
        <v>#REF!</v>
      </c>
      <c r="DI64" t="str">
        <f>AND(#REF!,"AAAAAHq/unA=")</f>
        <v>#REF!</v>
      </c>
      <c r="DJ64" t="str">
        <f>AND(#REF!,"AAAAAHq/unE=")</f>
        <v>#REF!</v>
      </c>
      <c r="DK64" t="str">
        <f>AND(#REF!,"AAAAAHq/unI=")</f>
        <v>#REF!</v>
      </c>
      <c r="DL64" t="str">
        <f>AND(#REF!,"AAAAAHq/unM=")</f>
        <v>#REF!</v>
      </c>
      <c r="DM64" t="str">
        <f>AND(#REF!,"AAAAAHq/unQ=")</f>
        <v>#REF!</v>
      </c>
      <c r="DN64" t="str">
        <f>AND(#REF!,"AAAAAHq/unU=")</f>
        <v>#REF!</v>
      </c>
      <c r="DO64" t="str">
        <f>AND(#REF!,"AAAAAHq/unY=")</f>
        <v>#REF!</v>
      </c>
      <c r="DP64" t="str">
        <f>AND(#REF!,"AAAAAHq/unc=")</f>
        <v>#REF!</v>
      </c>
      <c r="DQ64" t="str">
        <f>AND(#REF!,"AAAAAHq/ung=")</f>
        <v>#REF!</v>
      </c>
      <c r="DR64" t="str">
        <f>AND(#REF!,"AAAAAHq/unk=")</f>
        <v>#REF!</v>
      </c>
      <c r="DS64" t="str">
        <f>AND(#REF!,"AAAAAHq/uno=")</f>
        <v>#REF!</v>
      </c>
      <c r="DT64" t="str">
        <f>AND(#REF!,"AAAAAHq/uns=")</f>
        <v>#REF!</v>
      </c>
      <c r="DU64" t="str">
        <f>AND(#REF!,"AAAAAHq/unw=")</f>
        <v>#REF!</v>
      </c>
      <c r="DV64" t="str">
        <f>AND(#REF!,"AAAAAHq/un0=")</f>
        <v>#REF!</v>
      </c>
      <c r="DW64" t="str">
        <f>AND(#REF!,"AAAAAHq/un4=")</f>
        <v>#REF!</v>
      </c>
      <c r="DX64" t="str">
        <f>AND(#REF!,"AAAAAHq/un8=")</f>
        <v>#REF!</v>
      </c>
      <c r="DY64" t="str">
        <f>AND(#REF!,"AAAAAHq/uoA=")</f>
        <v>#REF!</v>
      </c>
      <c r="DZ64" t="str">
        <f>AND(#REF!,"AAAAAHq/uoE=")</f>
        <v>#REF!</v>
      </c>
      <c r="EA64" t="str">
        <f>AND(#REF!,"AAAAAHq/uoI=")</f>
        <v>#REF!</v>
      </c>
      <c r="EB64" t="str">
        <f>AND(#REF!,"AAAAAHq/uoM=")</f>
        <v>#REF!</v>
      </c>
      <c r="EC64" t="str">
        <f>AND(#REF!,"AAAAAHq/uoQ=")</f>
        <v>#REF!</v>
      </c>
      <c r="ED64" t="str">
        <f>AND(#REF!,"AAAAAHq/uoU=")</f>
        <v>#REF!</v>
      </c>
      <c r="EE64" t="str">
        <f>AND(#REF!,"AAAAAHq/uoY=")</f>
        <v>#REF!</v>
      </c>
      <c r="EF64" t="str">
        <f>AND(#REF!,"AAAAAHq/uoc=")</f>
        <v>#REF!</v>
      </c>
      <c r="EG64" t="str">
        <f>AND(#REF!,"AAAAAHq/uog=")</f>
        <v>#REF!</v>
      </c>
      <c r="EH64" t="str">
        <f>AND(#REF!,"AAAAAHq/uok=")</f>
        <v>#REF!</v>
      </c>
      <c r="EI64" t="str">
        <f>AND(#REF!,"AAAAAHq/uoo=")</f>
        <v>#REF!</v>
      </c>
      <c r="EJ64" t="str">
        <f>AND(#REF!,"AAAAAHq/uos=")</f>
        <v>#REF!</v>
      </c>
      <c r="EK64" t="str">
        <f>AND(#REF!,"AAAAAHq/uow=")</f>
        <v>#REF!</v>
      </c>
      <c r="EL64" t="str">
        <f>AND(#REF!,"AAAAAHq/uo0=")</f>
        <v>#REF!</v>
      </c>
      <c r="EM64" t="str">
        <f>AND(#REF!,"AAAAAHq/uo4=")</f>
        <v>#REF!</v>
      </c>
      <c r="EN64" t="str">
        <f>AND(#REF!,"AAAAAHq/uo8=")</f>
        <v>#REF!</v>
      </c>
      <c r="EO64" t="str">
        <f>AND(#REF!,"AAAAAHq/upA=")</f>
        <v>#REF!</v>
      </c>
      <c r="EP64" t="str">
        <f>AND(#REF!,"AAAAAHq/upE=")</f>
        <v>#REF!</v>
      </c>
      <c r="EQ64" t="str">
        <f>AND(#REF!,"AAAAAHq/upI=")</f>
        <v>#REF!</v>
      </c>
      <c r="ER64" t="str">
        <f>AND(#REF!,"AAAAAHq/upM=")</f>
        <v>#REF!</v>
      </c>
      <c r="ES64" t="str">
        <f>AND(#REF!,"AAAAAHq/upQ=")</f>
        <v>#REF!</v>
      </c>
      <c r="ET64" t="str">
        <f>AND(#REF!,"AAAAAHq/upU=")</f>
        <v>#REF!</v>
      </c>
      <c r="EU64" t="str">
        <f>AND(#REF!,"AAAAAHq/upY=")</f>
        <v>#REF!</v>
      </c>
      <c r="EV64" t="str">
        <f>AND(#REF!,"AAAAAHq/upc=")</f>
        <v>#REF!</v>
      </c>
      <c r="EW64" t="str">
        <f>AND(#REF!,"AAAAAHq/upg=")</f>
        <v>#REF!</v>
      </c>
      <c r="EX64" t="str">
        <f>AND(#REF!,"AAAAAHq/upk=")</f>
        <v>#REF!</v>
      </c>
      <c r="EY64" t="str">
        <f>AND(#REF!,"AAAAAHq/upo=")</f>
        <v>#REF!</v>
      </c>
      <c r="EZ64" t="str">
        <f>AND(#REF!,"AAAAAHq/ups=")</f>
        <v>#REF!</v>
      </c>
      <c r="FA64" t="str">
        <f>AND(#REF!,"AAAAAHq/upw=")</f>
        <v>#REF!</v>
      </c>
      <c r="FB64" t="str">
        <f>AND(#REF!,"AAAAAHq/up0=")</f>
        <v>#REF!</v>
      </c>
      <c r="FC64" t="str">
        <f>AND(#REF!,"AAAAAHq/up4=")</f>
        <v>#REF!</v>
      </c>
      <c r="FD64" t="str">
        <f>AND(#REF!,"AAAAAHq/up8=")</f>
        <v>#REF!</v>
      </c>
      <c r="FE64" t="str">
        <f>AND(#REF!,"AAAAAHq/uqA=")</f>
        <v>#REF!</v>
      </c>
      <c r="FF64" t="str">
        <f>AND(#REF!,"AAAAAHq/uqE=")</f>
        <v>#REF!</v>
      </c>
      <c r="FG64" t="str">
        <f>AND(#REF!,"AAAAAHq/uqI=")</f>
        <v>#REF!</v>
      </c>
      <c r="FH64" t="str">
        <f>AND(#REF!,"AAAAAHq/uqM=")</f>
        <v>#REF!</v>
      </c>
      <c r="FI64" t="str">
        <f>AND(#REF!,"AAAAAHq/uqQ=")</f>
        <v>#REF!</v>
      </c>
      <c r="FJ64" t="str">
        <f>AND(#REF!,"AAAAAHq/uqU=")</f>
        <v>#REF!</v>
      </c>
      <c r="FK64" t="str">
        <f>AND(#REF!,"AAAAAHq/uqY=")</f>
        <v>#REF!</v>
      </c>
      <c r="FL64" t="str">
        <f>AND(#REF!,"AAAAAHq/uqc=")</f>
        <v>#REF!</v>
      </c>
      <c r="FM64" t="str">
        <f>AND(#REF!,"AAAAAHq/uqg=")</f>
        <v>#REF!</v>
      </c>
      <c r="FN64" t="str">
        <f>AND(#REF!,"AAAAAHq/uqk=")</f>
        <v>#REF!</v>
      </c>
      <c r="FO64" t="str">
        <f>AND(#REF!,"AAAAAHq/uqo=")</f>
        <v>#REF!</v>
      </c>
      <c r="FP64" t="str">
        <f>AND(#REF!,"AAAAAHq/uqs=")</f>
        <v>#REF!</v>
      </c>
      <c r="FQ64" t="str">
        <f>AND(#REF!,"AAAAAHq/uqw=")</f>
        <v>#REF!</v>
      </c>
      <c r="FR64" t="str">
        <f>AND(#REF!,"AAAAAHq/uq0=")</f>
        <v>#REF!</v>
      </c>
      <c r="FS64" t="str">
        <f>AND(#REF!,"AAAAAHq/uq4=")</f>
        <v>#REF!</v>
      </c>
      <c r="FT64" t="str">
        <f>AND(#REF!,"AAAAAHq/uq8=")</f>
        <v>#REF!</v>
      </c>
      <c r="FU64" t="str">
        <f>AND(#REF!,"AAAAAHq/urA=")</f>
        <v>#REF!</v>
      </c>
      <c r="FV64" t="str">
        <f>AND(#REF!,"AAAAAHq/urE=")</f>
        <v>#REF!</v>
      </c>
      <c r="FW64" t="str">
        <f>AND(#REF!,"AAAAAHq/urI=")</f>
        <v>#REF!</v>
      </c>
      <c r="FX64" t="str">
        <f>AND(#REF!,"AAAAAHq/urM=")</f>
        <v>#REF!</v>
      </c>
      <c r="FY64" t="str">
        <f>AND(#REF!,"AAAAAHq/urQ=")</f>
        <v>#REF!</v>
      </c>
      <c r="FZ64" t="str">
        <f>AND(#REF!,"AAAAAHq/urU=")</f>
        <v>#REF!</v>
      </c>
      <c r="GA64" t="str">
        <f>AND(#REF!,"AAAAAHq/urY=")</f>
        <v>#REF!</v>
      </c>
      <c r="GB64" t="str">
        <f>IF(#REF!,"AAAAAHq/urc=",0)</f>
        <v>#REF!</v>
      </c>
      <c r="GC64" t="str">
        <f>AND(#REF!,"AAAAAHq/urg=")</f>
        <v>#REF!</v>
      </c>
      <c r="GD64" t="str">
        <f>AND(#REF!,"AAAAAHq/urk=")</f>
        <v>#REF!</v>
      </c>
      <c r="GE64" t="str">
        <f>AND(#REF!,"AAAAAHq/uro=")</f>
        <v>#REF!</v>
      </c>
      <c r="GF64" t="str">
        <f>AND(#REF!,"AAAAAHq/urs=")</f>
        <v>#REF!</v>
      </c>
      <c r="GG64" t="str">
        <f>AND(#REF!,"AAAAAHq/urw=")</f>
        <v>#REF!</v>
      </c>
      <c r="GH64" t="str">
        <f>AND(#REF!,"AAAAAHq/ur0=")</f>
        <v>#REF!</v>
      </c>
      <c r="GI64" t="str">
        <f>AND(#REF!,"AAAAAHq/ur4=")</f>
        <v>#REF!</v>
      </c>
      <c r="GJ64" t="str">
        <f>AND(#REF!,"AAAAAHq/ur8=")</f>
        <v>#REF!</v>
      </c>
      <c r="GK64" t="str">
        <f>AND(#REF!,"AAAAAHq/usA=")</f>
        <v>#REF!</v>
      </c>
      <c r="GL64" t="str">
        <f>AND(#REF!,"AAAAAHq/usE=")</f>
        <v>#REF!</v>
      </c>
      <c r="GM64" t="str">
        <f>AND(#REF!,"AAAAAHq/usI=")</f>
        <v>#REF!</v>
      </c>
      <c r="GN64" t="str">
        <f>AND(#REF!,"AAAAAHq/usM=")</f>
        <v>#REF!</v>
      </c>
      <c r="GO64" t="str">
        <f>AND(#REF!,"AAAAAHq/usQ=")</f>
        <v>#REF!</v>
      </c>
      <c r="GP64" t="str">
        <f>AND(#REF!,"AAAAAHq/usU=")</f>
        <v>#REF!</v>
      </c>
      <c r="GQ64" t="str">
        <f>AND(#REF!,"AAAAAHq/usY=")</f>
        <v>#REF!</v>
      </c>
      <c r="GR64" t="str">
        <f>AND(#REF!,"AAAAAHq/usc=")</f>
        <v>#REF!</v>
      </c>
      <c r="GS64" t="str">
        <f>AND(#REF!,"AAAAAHq/usg=")</f>
        <v>#REF!</v>
      </c>
      <c r="GT64" t="str">
        <f>AND(#REF!,"AAAAAHq/usk=")</f>
        <v>#REF!</v>
      </c>
      <c r="GU64" t="str">
        <f>AND(#REF!,"AAAAAHq/uso=")</f>
        <v>#REF!</v>
      </c>
      <c r="GV64" t="str">
        <f>AND(#REF!,"AAAAAHq/uss=")</f>
        <v>#REF!</v>
      </c>
      <c r="GW64" t="str">
        <f>AND(#REF!,"AAAAAHq/usw=")</f>
        <v>#REF!</v>
      </c>
      <c r="GX64" t="str">
        <f>AND(#REF!,"AAAAAHq/us0=")</f>
        <v>#REF!</v>
      </c>
      <c r="GY64" t="str">
        <f>AND(#REF!,"AAAAAHq/us4=")</f>
        <v>#REF!</v>
      </c>
      <c r="GZ64" t="str">
        <f>AND(#REF!,"AAAAAHq/us8=")</f>
        <v>#REF!</v>
      </c>
      <c r="HA64" t="str">
        <f>AND(#REF!,"AAAAAHq/utA=")</f>
        <v>#REF!</v>
      </c>
      <c r="HB64" t="str">
        <f>AND(#REF!,"AAAAAHq/utE=")</f>
        <v>#REF!</v>
      </c>
      <c r="HC64" t="str">
        <f>AND(#REF!,"AAAAAHq/utI=")</f>
        <v>#REF!</v>
      </c>
      <c r="HD64" t="str">
        <f>AND(#REF!,"AAAAAHq/utM=")</f>
        <v>#REF!</v>
      </c>
      <c r="HE64" t="str">
        <f>AND(#REF!,"AAAAAHq/utQ=")</f>
        <v>#REF!</v>
      </c>
      <c r="HF64" t="str">
        <f>AND(#REF!,"AAAAAHq/utU=")</f>
        <v>#REF!</v>
      </c>
      <c r="HG64" t="str">
        <f>AND(#REF!,"AAAAAHq/utY=")</f>
        <v>#REF!</v>
      </c>
      <c r="HH64" t="str">
        <f>AND(#REF!,"AAAAAHq/utc=")</f>
        <v>#REF!</v>
      </c>
      <c r="HI64" t="str">
        <f>AND(#REF!,"AAAAAHq/utg=")</f>
        <v>#REF!</v>
      </c>
      <c r="HJ64" t="str">
        <f>AND(#REF!,"AAAAAHq/utk=")</f>
        <v>#REF!</v>
      </c>
      <c r="HK64" t="str">
        <f>AND(#REF!,"AAAAAHq/uto=")</f>
        <v>#REF!</v>
      </c>
      <c r="HL64" t="str">
        <f>AND(#REF!,"AAAAAHq/uts=")</f>
        <v>#REF!</v>
      </c>
      <c r="HM64" t="str">
        <f>AND(#REF!,"AAAAAHq/utw=")</f>
        <v>#REF!</v>
      </c>
      <c r="HN64" t="str">
        <f>AND(#REF!,"AAAAAHq/ut0=")</f>
        <v>#REF!</v>
      </c>
      <c r="HO64" t="str">
        <f>AND(#REF!,"AAAAAHq/ut4=")</f>
        <v>#REF!</v>
      </c>
      <c r="HP64" t="str">
        <f>AND(#REF!,"AAAAAHq/ut8=")</f>
        <v>#REF!</v>
      </c>
      <c r="HQ64" t="str">
        <f>AND(#REF!,"AAAAAHq/uuA=")</f>
        <v>#REF!</v>
      </c>
      <c r="HR64" t="str">
        <f>AND(#REF!,"AAAAAHq/uuE=")</f>
        <v>#REF!</v>
      </c>
      <c r="HS64" t="str">
        <f>AND(#REF!,"AAAAAHq/uuI=")</f>
        <v>#REF!</v>
      </c>
      <c r="HT64" t="str">
        <f>AND(#REF!,"AAAAAHq/uuM=")</f>
        <v>#REF!</v>
      </c>
      <c r="HU64" t="str">
        <f>AND(#REF!,"AAAAAHq/uuQ=")</f>
        <v>#REF!</v>
      </c>
      <c r="HV64" t="str">
        <f>AND(#REF!,"AAAAAHq/uuU=")</f>
        <v>#REF!</v>
      </c>
      <c r="HW64" t="str">
        <f>AND(#REF!,"AAAAAHq/uuY=")</f>
        <v>#REF!</v>
      </c>
      <c r="HX64" t="str">
        <f>AND(#REF!,"AAAAAHq/uuc=")</f>
        <v>#REF!</v>
      </c>
      <c r="HY64" t="str">
        <f>AND(#REF!,"AAAAAHq/uug=")</f>
        <v>#REF!</v>
      </c>
      <c r="HZ64" t="str">
        <f>AND(#REF!,"AAAAAHq/uuk=")</f>
        <v>#REF!</v>
      </c>
      <c r="IA64" t="str">
        <f>AND(#REF!,"AAAAAHq/uuo=")</f>
        <v>#REF!</v>
      </c>
      <c r="IB64" t="str">
        <f>AND(#REF!,"AAAAAHq/uus=")</f>
        <v>#REF!</v>
      </c>
      <c r="IC64" t="str">
        <f>AND(#REF!,"AAAAAHq/uuw=")</f>
        <v>#REF!</v>
      </c>
      <c r="ID64" t="str">
        <f>AND(#REF!,"AAAAAHq/uu0=")</f>
        <v>#REF!</v>
      </c>
      <c r="IE64" t="str">
        <f>AND(#REF!,"AAAAAHq/uu4=")</f>
        <v>#REF!</v>
      </c>
      <c r="IF64" t="str">
        <f>AND(#REF!,"AAAAAHq/uu8=")</f>
        <v>#REF!</v>
      </c>
      <c r="IG64" t="str">
        <f>AND(#REF!,"AAAAAHq/uvA=")</f>
        <v>#REF!</v>
      </c>
      <c r="IH64" t="str">
        <f>AND(#REF!,"AAAAAHq/uvE=")</f>
        <v>#REF!</v>
      </c>
      <c r="II64" t="str">
        <f>AND(#REF!,"AAAAAHq/uvI=")</f>
        <v>#REF!</v>
      </c>
      <c r="IJ64" t="str">
        <f>AND(#REF!,"AAAAAHq/uvM=")</f>
        <v>#REF!</v>
      </c>
      <c r="IK64" t="str">
        <f>AND(#REF!,"AAAAAHq/uvQ=")</f>
        <v>#REF!</v>
      </c>
      <c r="IL64" t="str">
        <f>AND(#REF!,"AAAAAHq/uvU=")</f>
        <v>#REF!</v>
      </c>
      <c r="IM64" t="str">
        <f>AND(#REF!,"AAAAAHq/uvY=")</f>
        <v>#REF!</v>
      </c>
      <c r="IN64" t="str">
        <f>AND(#REF!,"AAAAAHq/uvc=")</f>
        <v>#REF!</v>
      </c>
      <c r="IO64" t="str">
        <f>AND(#REF!,"AAAAAHq/uvg=")</f>
        <v>#REF!</v>
      </c>
      <c r="IP64" t="str">
        <f>AND(#REF!,"AAAAAHq/uvk=")</f>
        <v>#REF!</v>
      </c>
      <c r="IQ64" t="str">
        <f>AND(#REF!,"AAAAAHq/uvo=")</f>
        <v>#REF!</v>
      </c>
      <c r="IR64" t="str">
        <f>AND(#REF!,"AAAAAHq/uvs=")</f>
        <v>#REF!</v>
      </c>
      <c r="IS64" t="str">
        <f>AND(#REF!,"AAAAAHq/uvw=")</f>
        <v>#REF!</v>
      </c>
      <c r="IT64" t="str">
        <f>AND(#REF!,"AAAAAHq/uv0=")</f>
        <v>#REF!</v>
      </c>
      <c r="IU64" t="str">
        <f>AND(#REF!,"AAAAAHq/uv4=")</f>
        <v>#REF!</v>
      </c>
      <c r="IV64" t="str">
        <f>AND(#REF!,"AAAAAHq/uv8=")</f>
        <v>#REF!</v>
      </c>
    </row>
    <row r="65" ht="15.75" customHeight="1">
      <c r="A65" t="str">
        <f>AND(#REF!,"AAAAAH/v9wA=")</f>
        <v>#REF!</v>
      </c>
      <c r="B65" t="str">
        <f>AND(#REF!,"AAAAAH/v9wE=")</f>
        <v>#REF!</v>
      </c>
      <c r="C65" t="str">
        <f>AND(#REF!,"AAAAAH/v9wI=")</f>
        <v>#REF!</v>
      </c>
      <c r="D65" t="str">
        <f>IF(#REF!,"AAAAAH/v9wM=",0)</f>
        <v>#REF!</v>
      </c>
      <c r="E65" t="str">
        <f>AND(#REF!,"AAAAAH/v9wQ=")</f>
        <v>#REF!</v>
      </c>
      <c r="F65" t="str">
        <f>AND(#REF!,"AAAAAH/v9wU=")</f>
        <v>#REF!</v>
      </c>
      <c r="G65" t="str">
        <f>AND(#REF!,"AAAAAH/v9wY=")</f>
        <v>#REF!</v>
      </c>
      <c r="H65" t="str">
        <f>AND(#REF!,"AAAAAH/v9wc=")</f>
        <v>#REF!</v>
      </c>
      <c r="I65" t="str">
        <f>AND(#REF!,"AAAAAH/v9wg=")</f>
        <v>#REF!</v>
      </c>
      <c r="J65" t="str">
        <f>AND(#REF!,"AAAAAH/v9wk=")</f>
        <v>#REF!</v>
      </c>
      <c r="K65" t="str">
        <f>AND(#REF!,"AAAAAH/v9wo=")</f>
        <v>#REF!</v>
      </c>
      <c r="L65" t="str">
        <f>AND(#REF!,"AAAAAH/v9ws=")</f>
        <v>#REF!</v>
      </c>
      <c r="M65" t="str">
        <f>AND(#REF!,"AAAAAH/v9ww=")</f>
        <v>#REF!</v>
      </c>
      <c r="N65" t="str">
        <f>AND(#REF!,"AAAAAH/v9w0=")</f>
        <v>#REF!</v>
      </c>
      <c r="O65" t="str">
        <f>AND(#REF!,"AAAAAH/v9w4=")</f>
        <v>#REF!</v>
      </c>
      <c r="P65" t="str">
        <f>AND(#REF!,"AAAAAH/v9w8=")</f>
        <v>#REF!</v>
      </c>
      <c r="Q65" t="str">
        <f>AND(#REF!,"AAAAAH/v9xA=")</f>
        <v>#REF!</v>
      </c>
      <c r="R65" t="str">
        <f>AND(#REF!,"AAAAAH/v9xE=")</f>
        <v>#REF!</v>
      </c>
      <c r="S65" t="str">
        <f>AND(#REF!,"AAAAAH/v9xI=")</f>
        <v>#REF!</v>
      </c>
      <c r="T65" t="str">
        <f>AND(#REF!,"AAAAAH/v9xM=")</f>
        <v>#REF!</v>
      </c>
      <c r="U65" t="str">
        <f>AND(#REF!,"AAAAAH/v9xQ=")</f>
        <v>#REF!</v>
      </c>
      <c r="V65" t="str">
        <f>AND(#REF!,"AAAAAH/v9xU=")</f>
        <v>#REF!</v>
      </c>
      <c r="W65" t="str">
        <f>AND(#REF!,"AAAAAH/v9xY=")</f>
        <v>#REF!</v>
      </c>
      <c r="X65" t="str">
        <f>AND(#REF!,"AAAAAH/v9xc=")</f>
        <v>#REF!</v>
      </c>
      <c r="Y65" t="str">
        <f>AND(#REF!,"AAAAAH/v9xg=")</f>
        <v>#REF!</v>
      </c>
      <c r="Z65" t="str">
        <f>AND(#REF!,"AAAAAH/v9xk=")</f>
        <v>#REF!</v>
      </c>
      <c r="AA65" t="str">
        <f>AND(#REF!,"AAAAAH/v9xo=")</f>
        <v>#REF!</v>
      </c>
      <c r="AB65" t="str">
        <f>AND(#REF!,"AAAAAH/v9xs=")</f>
        <v>#REF!</v>
      </c>
      <c r="AC65" t="str">
        <f>AND(#REF!,"AAAAAH/v9xw=")</f>
        <v>#REF!</v>
      </c>
      <c r="AD65" t="str">
        <f>AND(#REF!,"AAAAAH/v9x0=")</f>
        <v>#REF!</v>
      </c>
      <c r="AE65" t="str">
        <f>AND(#REF!,"AAAAAH/v9x4=")</f>
        <v>#REF!</v>
      </c>
      <c r="AF65" t="str">
        <f>AND(#REF!,"AAAAAH/v9x8=")</f>
        <v>#REF!</v>
      </c>
      <c r="AG65" t="str">
        <f>AND(#REF!,"AAAAAH/v9yA=")</f>
        <v>#REF!</v>
      </c>
      <c r="AH65" t="str">
        <f>AND(#REF!,"AAAAAH/v9yE=")</f>
        <v>#REF!</v>
      </c>
      <c r="AI65" t="str">
        <f>AND(#REF!,"AAAAAH/v9yI=")</f>
        <v>#REF!</v>
      </c>
      <c r="AJ65" t="str">
        <f>AND(#REF!,"AAAAAH/v9yM=")</f>
        <v>#REF!</v>
      </c>
      <c r="AK65" t="str">
        <f>AND(#REF!,"AAAAAH/v9yQ=")</f>
        <v>#REF!</v>
      </c>
      <c r="AL65" t="str">
        <f>AND(#REF!,"AAAAAH/v9yU=")</f>
        <v>#REF!</v>
      </c>
      <c r="AM65" t="str">
        <f>AND(#REF!,"AAAAAH/v9yY=")</f>
        <v>#REF!</v>
      </c>
      <c r="AN65" t="str">
        <f>AND(#REF!,"AAAAAH/v9yc=")</f>
        <v>#REF!</v>
      </c>
      <c r="AO65" t="str">
        <f>AND(#REF!,"AAAAAH/v9yg=")</f>
        <v>#REF!</v>
      </c>
      <c r="AP65" t="str">
        <f>AND(#REF!,"AAAAAH/v9yk=")</f>
        <v>#REF!</v>
      </c>
      <c r="AQ65" t="str">
        <f>AND(#REF!,"AAAAAH/v9yo=")</f>
        <v>#REF!</v>
      </c>
      <c r="AR65" t="str">
        <f>AND(#REF!,"AAAAAH/v9ys=")</f>
        <v>#REF!</v>
      </c>
      <c r="AS65" t="str">
        <f>AND(#REF!,"AAAAAH/v9yw=")</f>
        <v>#REF!</v>
      </c>
      <c r="AT65" t="str">
        <f>AND(#REF!,"AAAAAH/v9y0=")</f>
        <v>#REF!</v>
      </c>
      <c r="AU65" t="str">
        <f>AND(#REF!,"AAAAAH/v9y4=")</f>
        <v>#REF!</v>
      </c>
      <c r="AV65" t="str">
        <f>AND(#REF!,"AAAAAH/v9y8=")</f>
        <v>#REF!</v>
      </c>
      <c r="AW65" t="str">
        <f>AND(#REF!,"AAAAAH/v9zA=")</f>
        <v>#REF!</v>
      </c>
      <c r="AX65" t="str">
        <f>AND(#REF!,"AAAAAH/v9zE=")</f>
        <v>#REF!</v>
      </c>
      <c r="AY65" t="str">
        <f>AND(#REF!,"AAAAAH/v9zI=")</f>
        <v>#REF!</v>
      </c>
      <c r="AZ65" t="str">
        <f>AND(#REF!,"AAAAAH/v9zM=")</f>
        <v>#REF!</v>
      </c>
      <c r="BA65" t="str">
        <f>AND(#REF!,"AAAAAH/v9zQ=")</f>
        <v>#REF!</v>
      </c>
      <c r="BB65" t="str">
        <f>AND(#REF!,"AAAAAH/v9zU=")</f>
        <v>#REF!</v>
      </c>
      <c r="BC65" t="str">
        <f>AND(#REF!,"AAAAAH/v9zY=")</f>
        <v>#REF!</v>
      </c>
      <c r="BD65" t="str">
        <f>AND(#REF!,"AAAAAH/v9zc=")</f>
        <v>#REF!</v>
      </c>
      <c r="BE65" t="str">
        <f>AND(#REF!,"AAAAAH/v9zg=")</f>
        <v>#REF!</v>
      </c>
      <c r="BF65" t="str">
        <f>AND(#REF!,"AAAAAH/v9zk=")</f>
        <v>#REF!</v>
      </c>
      <c r="BG65" t="str">
        <f>AND(#REF!,"AAAAAH/v9zo=")</f>
        <v>#REF!</v>
      </c>
      <c r="BH65" t="str">
        <f>AND(#REF!,"AAAAAH/v9zs=")</f>
        <v>#REF!</v>
      </c>
      <c r="BI65" t="str">
        <f>AND(#REF!,"AAAAAH/v9zw=")</f>
        <v>#REF!</v>
      </c>
      <c r="BJ65" t="str">
        <f>AND(#REF!,"AAAAAH/v9z0=")</f>
        <v>#REF!</v>
      </c>
      <c r="BK65" t="str">
        <f>AND(#REF!,"AAAAAH/v9z4=")</f>
        <v>#REF!</v>
      </c>
      <c r="BL65" t="str">
        <f>AND(#REF!,"AAAAAH/v9z8=")</f>
        <v>#REF!</v>
      </c>
      <c r="BM65" t="str">
        <f>AND(#REF!,"AAAAAH/v90A=")</f>
        <v>#REF!</v>
      </c>
      <c r="BN65" t="str">
        <f>AND(#REF!,"AAAAAH/v90E=")</f>
        <v>#REF!</v>
      </c>
      <c r="BO65" t="str">
        <f>AND(#REF!,"AAAAAH/v90I=")</f>
        <v>#REF!</v>
      </c>
      <c r="BP65" t="str">
        <f>AND(#REF!,"AAAAAH/v90M=")</f>
        <v>#REF!</v>
      </c>
      <c r="BQ65" t="str">
        <f>AND(#REF!,"AAAAAH/v90Q=")</f>
        <v>#REF!</v>
      </c>
      <c r="BR65" t="str">
        <f>AND(#REF!,"AAAAAH/v90U=")</f>
        <v>#REF!</v>
      </c>
      <c r="BS65" t="str">
        <f>AND(#REF!,"AAAAAH/v90Y=")</f>
        <v>#REF!</v>
      </c>
      <c r="BT65" t="str">
        <f>AND(#REF!,"AAAAAH/v90c=")</f>
        <v>#REF!</v>
      </c>
      <c r="BU65" t="str">
        <f>AND(#REF!,"AAAAAH/v90g=")</f>
        <v>#REF!</v>
      </c>
      <c r="BV65" t="str">
        <f>AND(#REF!,"AAAAAH/v90k=")</f>
        <v>#REF!</v>
      </c>
      <c r="BW65" t="str">
        <f>AND(#REF!,"AAAAAH/v90o=")</f>
        <v>#REF!</v>
      </c>
      <c r="BX65" t="str">
        <f>AND(#REF!,"AAAAAH/v90s=")</f>
        <v>#REF!</v>
      </c>
      <c r="BY65" t="str">
        <f>AND(#REF!,"AAAAAH/v90w=")</f>
        <v>#REF!</v>
      </c>
      <c r="BZ65" t="str">
        <f>AND(#REF!,"AAAAAH/v900=")</f>
        <v>#REF!</v>
      </c>
      <c r="CA65" t="str">
        <f>AND(#REF!,"AAAAAH/v904=")</f>
        <v>#REF!</v>
      </c>
      <c r="CB65" t="str">
        <f>IF(#REF!,"AAAAAH/v908=",0)</f>
        <v>#REF!</v>
      </c>
      <c r="CC65" t="str">
        <f>AND(#REF!,"AAAAAH/v91A=")</f>
        <v>#REF!</v>
      </c>
      <c r="CD65" t="str">
        <f>AND(#REF!,"AAAAAH/v91E=")</f>
        <v>#REF!</v>
      </c>
      <c r="CE65" t="str">
        <f>AND(#REF!,"AAAAAH/v91I=")</f>
        <v>#REF!</v>
      </c>
      <c r="CF65" t="str">
        <f>AND(#REF!,"AAAAAH/v91M=")</f>
        <v>#REF!</v>
      </c>
      <c r="CG65" t="str">
        <f>AND(#REF!,"AAAAAH/v91Q=")</f>
        <v>#REF!</v>
      </c>
      <c r="CH65" t="str">
        <f>AND(#REF!,"AAAAAH/v91U=")</f>
        <v>#REF!</v>
      </c>
      <c r="CI65" t="str">
        <f>AND(#REF!,"AAAAAH/v91Y=")</f>
        <v>#REF!</v>
      </c>
      <c r="CJ65" t="str">
        <f>AND(#REF!,"AAAAAH/v91c=")</f>
        <v>#REF!</v>
      </c>
      <c r="CK65" t="str">
        <f>AND(#REF!,"AAAAAH/v91g=")</f>
        <v>#REF!</v>
      </c>
      <c r="CL65" t="str">
        <f>AND(#REF!,"AAAAAH/v91k=")</f>
        <v>#REF!</v>
      </c>
      <c r="CM65" t="str">
        <f>AND(#REF!,"AAAAAH/v91o=")</f>
        <v>#REF!</v>
      </c>
      <c r="CN65" t="str">
        <f>AND(#REF!,"AAAAAH/v91s=")</f>
        <v>#REF!</v>
      </c>
      <c r="CO65" t="str">
        <f>AND(#REF!,"AAAAAH/v91w=")</f>
        <v>#REF!</v>
      </c>
      <c r="CP65" t="str">
        <f>AND(#REF!,"AAAAAH/v910=")</f>
        <v>#REF!</v>
      </c>
      <c r="CQ65" t="str">
        <f>AND(#REF!,"AAAAAH/v914=")</f>
        <v>#REF!</v>
      </c>
      <c r="CR65" t="str">
        <f>AND(#REF!,"AAAAAH/v918=")</f>
        <v>#REF!</v>
      </c>
      <c r="CS65" t="str">
        <f>AND(#REF!,"AAAAAH/v92A=")</f>
        <v>#REF!</v>
      </c>
      <c r="CT65" t="str">
        <f>AND(#REF!,"AAAAAH/v92E=")</f>
        <v>#REF!</v>
      </c>
      <c r="CU65" t="str">
        <f>AND(#REF!,"AAAAAH/v92I=")</f>
        <v>#REF!</v>
      </c>
      <c r="CV65" t="str">
        <f>AND(#REF!,"AAAAAH/v92M=")</f>
        <v>#REF!</v>
      </c>
      <c r="CW65" t="str">
        <f>AND(#REF!,"AAAAAH/v92Q=")</f>
        <v>#REF!</v>
      </c>
      <c r="CX65" t="str">
        <f>AND(#REF!,"AAAAAH/v92U=")</f>
        <v>#REF!</v>
      </c>
      <c r="CY65" t="str">
        <f>AND(#REF!,"AAAAAH/v92Y=")</f>
        <v>#REF!</v>
      </c>
      <c r="CZ65" t="str">
        <f>AND(#REF!,"AAAAAH/v92c=")</f>
        <v>#REF!</v>
      </c>
      <c r="DA65" t="str">
        <f>AND(#REF!,"AAAAAH/v92g=")</f>
        <v>#REF!</v>
      </c>
      <c r="DB65" t="str">
        <f>AND(#REF!,"AAAAAH/v92k=")</f>
        <v>#REF!</v>
      </c>
      <c r="DC65" t="str">
        <f>AND(#REF!,"AAAAAH/v92o=")</f>
        <v>#REF!</v>
      </c>
      <c r="DD65" t="str">
        <f>AND(#REF!,"AAAAAH/v92s=")</f>
        <v>#REF!</v>
      </c>
      <c r="DE65" t="str">
        <f>AND(#REF!,"AAAAAH/v92w=")</f>
        <v>#REF!</v>
      </c>
      <c r="DF65" t="str">
        <f>AND(#REF!,"AAAAAH/v920=")</f>
        <v>#REF!</v>
      </c>
      <c r="DG65" t="str">
        <f>AND(#REF!,"AAAAAH/v924=")</f>
        <v>#REF!</v>
      </c>
      <c r="DH65" t="str">
        <f>AND(#REF!,"AAAAAH/v928=")</f>
        <v>#REF!</v>
      </c>
      <c r="DI65" t="str">
        <f>AND(#REF!,"AAAAAH/v93A=")</f>
        <v>#REF!</v>
      </c>
      <c r="DJ65" t="str">
        <f>AND(#REF!,"AAAAAH/v93E=")</f>
        <v>#REF!</v>
      </c>
      <c r="DK65" t="str">
        <f>AND(#REF!,"AAAAAH/v93I=")</f>
        <v>#REF!</v>
      </c>
      <c r="DL65" t="str">
        <f>AND(#REF!,"AAAAAH/v93M=")</f>
        <v>#REF!</v>
      </c>
      <c r="DM65" t="str">
        <f>AND(#REF!,"AAAAAH/v93Q=")</f>
        <v>#REF!</v>
      </c>
      <c r="DN65" t="str">
        <f>AND(#REF!,"AAAAAH/v93U=")</f>
        <v>#REF!</v>
      </c>
      <c r="DO65" t="str">
        <f>AND(#REF!,"AAAAAH/v93Y=")</f>
        <v>#REF!</v>
      </c>
      <c r="DP65" t="str">
        <f>AND(#REF!,"AAAAAH/v93c=")</f>
        <v>#REF!</v>
      </c>
      <c r="DQ65" t="str">
        <f>AND(#REF!,"AAAAAH/v93g=")</f>
        <v>#REF!</v>
      </c>
      <c r="DR65" t="str">
        <f>AND(#REF!,"AAAAAH/v93k=")</f>
        <v>#REF!</v>
      </c>
      <c r="DS65" t="str">
        <f>AND(#REF!,"AAAAAH/v93o=")</f>
        <v>#REF!</v>
      </c>
      <c r="DT65" t="str">
        <f>AND(#REF!,"AAAAAH/v93s=")</f>
        <v>#REF!</v>
      </c>
      <c r="DU65" t="str">
        <f>AND(#REF!,"AAAAAH/v93w=")</f>
        <v>#REF!</v>
      </c>
      <c r="DV65" t="str">
        <f>AND(#REF!,"AAAAAH/v930=")</f>
        <v>#REF!</v>
      </c>
      <c r="DW65" t="str">
        <f>AND(#REF!,"AAAAAH/v934=")</f>
        <v>#REF!</v>
      </c>
      <c r="DX65" t="str">
        <f>AND(#REF!,"AAAAAH/v938=")</f>
        <v>#REF!</v>
      </c>
      <c r="DY65" t="str">
        <f>AND(#REF!,"AAAAAH/v94A=")</f>
        <v>#REF!</v>
      </c>
      <c r="DZ65" t="str">
        <f>AND(#REF!,"AAAAAH/v94E=")</f>
        <v>#REF!</v>
      </c>
      <c r="EA65" t="str">
        <f>AND(#REF!,"AAAAAH/v94I=")</f>
        <v>#REF!</v>
      </c>
      <c r="EB65" t="str">
        <f>AND(#REF!,"AAAAAH/v94M=")</f>
        <v>#REF!</v>
      </c>
      <c r="EC65" t="str">
        <f>AND(#REF!,"AAAAAH/v94Q=")</f>
        <v>#REF!</v>
      </c>
      <c r="ED65" t="str">
        <f>AND(#REF!,"AAAAAH/v94U=")</f>
        <v>#REF!</v>
      </c>
      <c r="EE65" t="str">
        <f>AND(#REF!,"AAAAAH/v94Y=")</f>
        <v>#REF!</v>
      </c>
      <c r="EF65" t="str">
        <f>AND(#REF!,"AAAAAH/v94c=")</f>
        <v>#REF!</v>
      </c>
      <c r="EG65" t="str">
        <f>AND(#REF!,"AAAAAH/v94g=")</f>
        <v>#REF!</v>
      </c>
      <c r="EH65" t="str">
        <f>AND(#REF!,"AAAAAH/v94k=")</f>
        <v>#REF!</v>
      </c>
      <c r="EI65" t="str">
        <f>AND(#REF!,"AAAAAH/v94o=")</f>
        <v>#REF!</v>
      </c>
      <c r="EJ65" t="str">
        <f>AND(#REF!,"AAAAAH/v94s=")</f>
        <v>#REF!</v>
      </c>
      <c r="EK65" t="str">
        <f>AND(#REF!,"AAAAAH/v94w=")</f>
        <v>#REF!</v>
      </c>
      <c r="EL65" t="str">
        <f>AND(#REF!,"AAAAAH/v940=")</f>
        <v>#REF!</v>
      </c>
      <c r="EM65" t="str">
        <f>AND(#REF!,"AAAAAH/v944=")</f>
        <v>#REF!</v>
      </c>
      <c r="EN65" t="str">
        <f>AND(#REF!,"AAAAAH/v948=")</f>
        <v>#REF!</v>
      </c>
      <c r="EO65" t="str">
        <f>AND(#REF!,"AAAAAH/v95A=")</f>
        <v>#REF!</v>
      </c>
      <c r="EP65" t="str">
        <f>AND(#REF!,"AAAAAH/v95E=")</f>
        <v>#REF!</v>
      </c>
      <c r="EQ65" t="str">
        <f>AND(#REF!,"AAAAAH/v95I=")</f>
        <v>#REF!</v>
      </c>
      <c r="ER65" t="str">
        <f>AND(#REF!,"AAAAAH/v95M=")</f>
        <v>#REF!</v>
      </c>
      <c r="ES65" t="str">
        <f>AND(#REF!,"AAAAAH/v95Q=")</f>
        <v>#REF!</v>
      </c>
      <c r="ET65" t="str">
        <f>AND(#REF!,"AAAAAH/v95U=")</f>
        <v>#REF!</v>
      </c>
      <c r="EU65" t="str">
        <f>AND(#REF!,"AAAAAH/v95Y=")</f>
        <v>#REF!</v>
      </c>
      <c r="EV65" t="str">
        <f>AND(#REF!,"AAAAAH/v95c=")</f>
        <v>#REF!</v>
      </c>
      <c r="EW65" t="str">
        <f>AND(#REF!,"AAAAAH/v95g=")</f>
        <v>#REF!</v>
      </c>
      <c r="EX65" t="str">
        <f>AND(#REF!,"AAAAAH/v95k=")</f>
        <v>#REF!</v>
      </c>
      <c r="EY65" t="str">
        <f>AND(#REF!,"AAAAAH/v95o=")</f>
        <v>#REF!</v>
      </c>
      <c r="EZ65" t="str">
        <f>IF(#REF!,"AAAAAH/v95s=",0)</f>
        <v>#REF!</v>
      </c>
      <c r="FA65" t="str">
        <f>AND(#REF!,"AAAAAH/v95w=")</f>
        <v>#REF!</v>
      </c>
      <c r="FB65" t="str">
        <f>AND(#REF!,"AAAAAH/v950=")</f>
        <v>#REF!</v>
      </c>
      <c r="FC65" t="str">
        <f>AND(#REF!,"AAAAAH/v954=")</f>
        <v>#REF!</v>
      </c>
      <c r="FD65" t="str">
        <f>AND(#REF!,"AAAAAH/v958=")</f>
        <v>#REF!</v>
      </c>
      <c r="FE65" t="str">
        <f>AND(#REF!,"AAAAAH/v96A=")</f>
        <v>#REF!</v>
      </c>
      <c r="FF65" t="str">
        <f>AND(#REF!,"AAAAAH/v96E=")</f>
        <v>#REF!</v>
      </c>
      <c r="FG65" t="str">
        <f>AND(#REF!,"AAAAAH/v96I=")</f>
        <v>#REF!</v>
      </c>
      <c r="FH65" t="str">
        <f>AND(#REF!,"AAAAAH/v96M=")</f>
        <v>#REF!</v>
      </c>
      <c r="FI65" t="str">
        <f>AND(#REF!,"AAAAAH/v96Q=")</f>
        <v>#REF!</v>
      </c>
      <c r="FJ65" t="str">
        <f>AND(#REF!,"AAAAAH/v96U=")</f>
        <v>#REF!</v>
      </c>
      <c r="FK65" t="str">
        <f>AND(#REF!,"AAAAAH/v96Y=")</f>
        <v>#REF!</v>
      </c>
      <c r="FL65" t="str">
        <f>AND(#REF!,"AAAAAH/v96c=")</f>
        <v>#REF!</v>
      </c>
      <c r="FM65" t="str">
        <f>AND(#REF!,"AAAAAH/v96g=")</f>
        <v>#REF!</v>
      </c>
      <c r="FN65" t="str">
        <f>AND(#REF!,"AAAAAH/v96k=")</f>
        <v>#REF!</v>
      </c>
      <c r="FO65" t="str">
        <f>AND(#REF!,"AAAAAH/v96o=")</f>
        <v>#REF!</v>
      </c>
      <c r="FP65" t="str">
        <f>AND(#REF!,"AAAAAH/v96s=")</f>
        <v>#REF!</v>
      </c>
      <c r="FQ65" t="str">
        <f>AND(#REF!,"AAAAAH/v96w=")</f>
        <v>#REF!</v>
      </c>
      <c r="FR65" t="str">
        <f>AND(#REF!,"AAAAAH/v960=")</f>
        <v>#REF!</v>
      </c>
      <c r="FS65" t="str">
        <f>AND(#REF!,"AAAAAH/v964=")</f>
        <v>#REF!</v>
      </c>
      <c r="FT65" t="str">
        <f>AND(#REF!,"AAAAAH/v968=")</f>
        <v>#REF!</v>
      </c>
      <c r="FU65" t="str">
        <f>AND(#REF!,"AAAAAH/v97A=")</f>
        <v>#REF!</v>
      </c>
      <c r="FV65" t="str">
        <f>AND(#REF!,"AAAAAH/v97E=")</f>
        <v>#REF!</v>
      </c>
      <c r="FW65" t="str">
        <f>AND(#REF!,"AAAAAH/v97I=")</f>
        <v>#REF!</v>
      </c>
      <c r="FX65" t="str">
        <f>AND(#REF!,"AAAAAH/v97M=")</f>
        <v>#REF!</v>
      </c>
      <c r="FY65" t="str">
        <f>AND(#REF!,"AAAAAH/v97Q=")</f>
        <v>#REF!</v>
      </c>
      <c r="FZ65" t="str">
        <f>AND(#REF!,"AAAAAH/v97U=")</f>
        <v>#REF!</v>
      </c>
      <c r="GA65" t="str">
        <f>AND(#REF!,"AAAAAH/v97Y=")</f>
        <v>#REF!</v>
      </c>
      <c r="GB65" t="str">
        <f>AND(#REF!,"AAAAAH/v97c=")</f>
        <v>#REF!</v>
      </c>
      <c r="GC65" t="str">
        <f>AND(#REF!,"AAAAAH/v97g=")</f>
        <v>#REF!</v>
      </c>
      <c r="GD65" t="str">
        <f>AND(#REF!,"AAAAAH/v97k=")</f>
        <v>#REF!</v>
      </c>
      <c r="GE65" t="str">
        <f>AND(#REF!,"AAAAAH/v97o=")</f>
        <v>#REF!</v>
      </c>
      <c r="GF65" t="str">
        <f>AND(#REF!,"AAAAAH/v97s=")</f>
        <v>#REF!</v>
      </c>
      <c r="GG65" t="str">
        <f>AND(#REF!,"AAAAAH/v97w=")</f>
        <v>#REF!</v>
      </c>
      <c r="GH65" t="str">
        <f>AND(#REF!,"AAAAAH/v970=")</f>
        <v>#REF!</v>
      </c>
      <c r="GI65" t="str">
        <f>AND(#REF!,"AAAAAH/v974=")</f>
        <v>#REF!</v>
      </c>
      <c r="GJ65" t="str">
        <f>AND(#REF!,"AAAAAH/v978=")</f>
        <v>#REF!</v>
      </c>
      <c r="GK65" t="str">
        <f>AND(#REF!,"AAAAAH/v98A=")</f>
        <v>#REF!</v>
      </c>
      <c r="GL65" t="str">
        <f>AND(#REF!,"AAAAAH/v98E=")</f>
        <v>#REF!</v>
      </c>
      <c r="GM65" t="str">
        <f>AND(#REF!,"AAAAAH/v98I=")</f>
        <v>#REF!</v>
      </c>
      <c r="GN65" t="str">
        <f>AND(#REF!,"AAAAAH/v98M=")</f>
        <v>#REF!</v>
      </c>
      <c r="GO65" t="str">
        <f>AND(#REF!,"AAAAAH/v98Q=")</f>
        <v>#REF!</v>
      </c>
      <c r="GP65" t="str">
        <f>AND(#REF!,"AAAAAH/v98U=")</f>
        <v>#REF!</v>
      </c>
      <c r="GQ65" t="str">
        <f>AND(#REF!,"AAAAAH/v98Y=")</f>
        <v>#REF!</v>
      </c>
      <c r="GR65" t="str">
        <f>AND(#REF!,"AAAAAH/v98c=")</f>
        <v>#REF!</v>
      </c>
      <c r="GS65" t="str">
        <f>AND(#REF!,"AAAAAH/v98g=")</f>
        <v>#REF!</v>
      </c>
      <c r="GT65" t="str">
        <f>AND(#REF!,"AAAAAH/v98k=")</f>
        <v>#REF!</v>
      </c>
      <c r="GU65" t="str">
        <f>AND(#REF!,"AAAAAH/v98o=")</f>
        <v>#REF!</v>
      </c>
      <c r="GV65" t="str">
        <f>AND(#REF!,"AAAAAH/v98s=")</f>
        <v>#REF!</v>
      </c>
      <c r="GW65" t="str">
        <f>AND(#REF!,"AAAAAH/v98w=")</f>
        <v>#REF!</v>
      </c>
      <c r="GX65" t="str">
        <f>AND(#REF!,"AAAAAH/v980=")</f>
        <v>#REF!</v>
      </c>
      <c r="GY65" t="str">
        <f>AND(#REF!,"AAAAAH/v984=")</f>
        <v>#REF!</v>
      </c>
      <c r="GZ65" t="str">
        <f>AND(#REF!,"AAAAAH/v988=")</f>
        <v>#REF!</v>
      </c>
      <c r="HA65" t="str">
        <f>AND(#REF!,"AAAAAH/v99A=")</f>
        <v>#REF!</v>
      </c>
      <c r="HB65" t="str">
        <f>AND(#REF!,"AAAAAH/v99E=")</f>
        <v>#REF!</v>
      </c>
      <c r="HC65" t="str">
        <f>AND(#REF!,"AAAAAH/v99I=")</f>
        <v>#REF!</v>
      </c>
      <c r="HD65" t="str">
        <f>AND(#REF!,"AAAAAH/v99M=")</f>
        <v>#REF!</v>
      </c>
      <c r="HE65" t="str">
        <f>AND(#REF!,"AAAAAH/v99Q=")</f>
        <v>#REF!</v>
      </c>
      <c r="HF65" t="str">
        <f>AND(#REF!,"AAAAAH/v99U=")</f>
        <v>#REF!</v>
      </c>
      <c r="HG65" t="str">
        <f>AND(#REF!,"AAAAAH/v99Y=")</f>
        <v>#REF!</v>
      </c>
      <c r="HH65" t="str">
        <f>AND(#REF!,"AAAAAH/v99c=")</f>
        <v>#REF!</v>
      </c>
      <c r="HI65" t="str">
        <f>AND(#REF!,"AAAAAH/v99g=")</f>
        <v>#REF!</v>
      </c>
      <c r="HJ65" t="str">
        <f>AND(#REF!,"AAAAAH/v99k=")</f>
        <v>#REF!</v>
      </c>
      <c r="HK65" t="str">
        <f>AND(#REF!,"AAAAAH/v99o=")</f>
        <v>#REF!</v>
      </c>
      <c r="HL65" t="str">
        <f>AND(#REF!,"AAAAAH/v99s=")</f>
        <v>#REF!</v>
      </c>
      <c r="HM65" t="str">
        <f>AND(#REF!,"AAAAAH/v99w=")</f>
        <v>#REF!</v>
      </c>
      <c r="HN65" t="str">
        <f>AND(#REF!,"AAAAAH/v990=")</f>
        <v>#REF!</v>
      </c>
      <c r="HO65" t="str">
        <f>AND(#REF!,"AAAAAH/v994=")</f>
        <v>#REF!</v>
      </c>
      <c r="HP65" t="str">
        <f>AND(#REF!,"AAAAAH/v998=")</f>
        <v>#REF!</v>
      </c>
      <c r="HQ65" t="str">
        <f>AND(#REF!,"AAAAAH/v9+A=")</f>
        <v>#REF!</v>
      </c>
      <c r="HR65" t="str">
        <f>AND(#REF!,"AAAAAH/v9+E=")</f>
        <v>#REF!</v>
      </c>
      <c r="HS65" t="str">
        <f>AND(#REF!,"AAAAAH/v9+I=")</f>
        <v>#REF!</v>
      </c>
      <c r="HT65" t="str">
        <f>AND(#REF!,"AAAAAH/v9+M=")</f>
        <v>#REF!</v>
      </c>
      <c r="HU65" t="str">
        <f>AND(#REF!,"AAAAAH/v9+Q=")</f>
        <v>#REF!</v>
      </c>
      <c r="HV65" t="str">
        <f>AND(#REF!,"AAAAAH/v9+U=")</f>
        <v>#REF!</v>
      </c>
      <c r="HW65" t="str">
        <f>AND(#REF!,"AAAAAH/v9+Y=")</f>
        <v>#REF!</v>
      </c>
      <c r="HX65" t="str">
        <f>IF(#REF!,"AAAAAH/v9+c=",0)</f>
        <v>#REF!</v>
      </c>
      <c r="HY65" t="str">
        <f>AND(#REF!,"AAAAAH/v9+g=")</f>
        <v>#REF!</v>
      </c>
      <c r="HZ65" t="str">
        <f>AND(#REF!,"AAAAAH/v9+k=")</f>
        <v>#REF!</v>
      </c>
      <c r="IA65" t="str">
        <f>AND(#REF!,"AAAAAH/v9+o=")</f>
        <v>#REF!</v>
      </c>
      <c r="IB65" t="str">
        <f>AND(#REF!,"AAAAAH/v9+s=")</f>
        <v>#REF!</v>
      </c>
      <c r="IC65" t="str">
        <f>AND(#REF!,"AAAAAH/v9+w=")</f>
        <v>#REF!</v>
      </c>
      <c r="ID65" t="str">
        <f>AND(#REF!,"AAAAAH/v9+0=")</f>
        <v>#REF!</v>
      </c>
      <c r="IE65" t="str">
        <f>AND(#REF!,"AAAAAH/v9+4=")</f>
        <v>#REF!</v>
      </c>
      <c r="IF65" t="str">
        <f>AND(#REF!,"AAAAAH/v9+8=")</f>
        <v>#REF!</v>
      </c>
      <c r="IG65" t="str">
        <f>AND(#REF!,"AAAAAH/v9/A=")</f>
        <v>#REF!</v>
      </c>
      <c r="IH65" t="str">
        <f>AND(#REF!,"AAAAAH/v9/E=")</f>
        <v>#REF!</v>
      </c>
      <c r="II65" t="str">
        <f>AND(#REF!,"AAAAAH/v9/I=")</f>
        <v>#REF!</v>
      </c>
      <c r="IJ65" t="str">
        <f>AND(#REF!,"AAAAAH/v9/M=")</f>
        <v>#REF!</v>
      </c>
      <c r="IK65" t="str">
        <f>AND(#REF!,"AAAAAH/v9/Q=")</f>
        <v>#REF!</v>
      </c>
      <c r="IL65" t="str">
        <f>AND(#REF!,"AAAAAH/v9/U=")</f>
        <v>#REF!</v>
      </c>
      <c r="IM65" t="str">
        <f>AND(#REF!,"AAAAAH/v9/Y=")</f>
        <v>#REF!</v>
      </c>
      <c r="IN65" t="str">
        <f>AND(#REF!,"AAAAAH/v9/c=")</f>
        <v>#REF!</v>
      </c>
      <c r="IO65" t="str">
        <f>AND(#REF!,"AAAAAH/v9/g=")</f>
        <v>#REF!</v>
      </c>
      <c r="IP65" t="str">
        <f>AND(#REF!,"AAAAAH/v9/k=")</f>
        <v>#REF!</v>
      </c>
      <c r="IQ65" t="str">
        <f>AND(#REF!,"AAAAAH/v9/o=")</f>
        <v>#REF!</v>
      </c>
      <c r="IR65" t="str">
        <f>AND(#REF!,"AAAAAH/v9/s=")</f>
        <v>#REF!</v>
      </c>
      <c r="IS65" t="str">
        <f>AND(#REF!,"AAAAAH/v9/w=")</f>
        <v>#REF!</v>
      </c>
      <c r="IT65" t="str">
        <f>AND(#REF!,"AAAAAH/v9/0=")</f>
        <v>#REF!</v>
      </c>
      <c r="IU65" t="str">
        <f>AND(#REF!,"AAAAAH/v9/4=")</f>
        <v>#REF!</v>
      </c>
      <c r="IV65" t="str">
        <f>AND(#REF!,"AAAAAH/v9/8=")</f>
        <v>#REF!</v>
      </c>
    </row>
    <row r="66" ht="15.75" customHeight="1">
      <c r="A66" t="str">
        <f>AND(#REF!,"AAAAAH/f3QA=")</f>
        <v>#REF!</v>
      </c>
      <c r="B66" t="str">
        <f>AND(#REF!,"AAAAAH/f3QE=")</f>
        <v>#REF!</v>
      </c>
      <c r="C66" t="str">
        <f>AND(#REF!,"AAAAAH/f3QI=")</f>
        <v>#REF!</v>
      </c>
      <c r="D66" t="str">
        <f>AND(#REF!,"AAAAAH/f3QM=")</f>
        <v>#REF!</v>
      </c>
      <c r="E66" t="str">
        <f>AND(#REF!,"AAAAAH/f3QQ=")</f>
        <v>#REF!</v>
      </c>
      <c r="F66" t="str">
        <f>AND(#REF!,"AAAAAH/f3QU=")</f>
        <v>#REF!</v>
      </c>
      <c r="G66" t="str">
        <f>AND(#REF!,"AAAAAH/f3QY=")</f>
        <v>#REF!</v>
      </c>
      <c r="H66" t="str">
        <f>AND(#REF!,"AAAAAH/f3Qc=")</f>
        <v>#REF!</v>
      </c>
      <c r="I66" t="str">
        <f>AND(#REF!,"AAAAAH/f3Qg=")</f>
        <v>#REF!</v>
      </c>
      <c r="J66" t="str">
        <f>AND(#REF!,"AAAAAH/f3Qk=")</f>
        <v>#REF!</v>
      </c>
      <c r="K66" t="str">
        <f>AND(#REF!,"AAAAAH/f3Qo=")</f>
        <v>#REF!</v>
      </c>
      <c r="L66" t="str">
        <f>AND(#REF!,"AAAAAH/f3Qs=")</f>
        <v>#REF!</v>
      </c>
      <c r="M66" t="str">
        <f>AND(#REF!,"AAAAAH/f3Qw=")</f>
        <v>#REF!</v>
      </c>
      <c r="N66" t="str">
        <f>AND(#REF!,"AAAAAH/f3Q0=")</f>
        <v>#REF!</v>
      </c>
      <c r="O66" t="str">
        <f>AND(#REF!,"AAAAAH/f3Q4=")</f>
        <v>#REF!</v>
      </c>
      <c r="P66" t="str">
        <f>AND(#REF!,"AAAAAH/f3Q8=")</f>
        <v>#REF!</v>
      </c>
      <c r="Q66" t="str">
        <f>AND(#REF!,"AAAAAH/f3RA=")</f>
        <v>#REF!</v>
      </c>
      <c r="R66" t="str">
        <f>AND(#REF!,"AAAAAH/f3RE=")</f>
        <v>#REF!</v>
      </c>
      <c r="S66" t="str">
        <f>AND(#REF!,"AAAAAH/f3RI=")</f>
        <v>#REF!</v>
      </c>
      <c r="T66" t="str">
        <f>AND(#REF!,"AAAAAH/f3RM=")</f>
        <v>#REF!</v>
      </c>
      <c r="U66" t="str">
        <f>AND(#REF!,"AAAAAH/f3RQ=")</f>
        <v>#REF!</v>
      </c>
      <c r="V66" t="str">
        <f>AND(#REF!,"AAAAAH/f3RU=")</f>
        <v>#REF!</v>
      </c>
      <c r="W66" t="str">
        <f>AND(#REF!,"AAAAAH/f3RY=")</f>
        <v>#REF!</v>
      </c>
      <c r="X66" t="str">
        <f>AND(#REF!,"AAAAAH/f3Rc=")</f>
        <v>#REF!</v>
      </c>
      <c r="Y66" t="str">
        <f>AND(#REF!,"AAAAAH/f3Rg=")</f>
        <v>#REF!</v>
      </c>
      <c r="Z66" t="str">
        <f>AND(#REF!,"AAAAAH/f3Rk=")</f>
        <v>#REF!</v>
      </c>
      <c r="AA66" t="str">
        <f>AND(#REF!,"AAAAAH/f3Ro=")</f>
        <v>#REF!</v>
      </c>
      <c r="AB66" t="str">
        <f>AND(#REF!,"AAAAAH/f3Rs=")</f>
        <v>#REF!</v>
      </c>
      <c r="AC66" t="str">
        <f>AND(#REF!,"AAAAAH/f3Rw=")</f>
        <v>#REF!</v>
      </c>
      <c r="AD66" t="str">
        <f>AND(#REF!,"AAAAAH/f3R0=")</f>
        <v>#REF!</v>
      </c>
      <c r="AE66" t="str">
        <f>AND(#REF!,"AAAAAH/f3R4=")</f>
        <v>#REF!</v>
      </c>
      <c r="AF66" t="str">
        <f>AND(#REF!,"AAAAAH/f3R8=")</f>
        <v>#REF!</v>
      </c>
      <c r="AG66" t="str">
        <f>AND(#REF!,"AAAAAH/f3SA=")</f>
        <v>#REF!</v>
      </c>
      <c r="AH66" t="str">
        <f>AND(#REF!,"AAAAAH/f3SE=")</f>
        <v>#REF!</v>
      </c>
      <c r="AI66" t="str">
        <f>AND(#REF!,"AAAAAH/f3SI=")</f>
        <v>#REF!</v>
      </c>
      <c r="AJ66" t="str">
        <f>AND(#REF!,"AAAAAH/f3SM=")</f>
        <v>#REF!</v>
      </c>
      <c r="AK66" t="str">
        <f>AND(#REF!,"AAAAAH/f3SQ=")</f>
        <v>#REF!</v>
      </c>
      <c r="AL66" t="str">
        <f>AND(#REF!,"AAAAAH/f3SU=")</f>
        <v>#REF!</v>
      </c>
      <c r="AM66" t="str">
        <f>AND(#REF!,"AAAAAH/f3SY=")</f>
        <v>#REF!</v>
      </c>
      <c r="AN66" t="str">
        <f>AND(#REF!,"AAAAAH/f3Sc=")</f>
        <v>#REF!</v>
      </c>
      <c r="AO66" t="str">
        <f>AND(#REF!,"AAAAAH/f3Sg=")</f>
        <v>#REF!</v>
      </c>
      <c r="AP66" t="str">
        <f>AND(#REF!,"AAAAAH/f3Sk=")</f>
        <v>#REF!</v>
      </c>
      <c r="AQ66" t="str">
        <f>AND(#REF!,"AAAAAH/f3So=")</f>
        <v>#REF!</v>
      </c>
      <c r="AR66" t="str">
        <f>AND(#REF!,"AAAAAH/f3Ss=")</f>
        <v>#REF!</v>
      </c>
      <c r="AS66" t="str">
        <f>AND(#REF!,"AAAAAH/f3Sw=")</f>
        <v>#REF!</v>
      </c>
      <c r="AT66" t="str">
        <f>AND(#REF!,"AAAAAH/f3S0=")</f>
        <v>#REF!</v>
      </c>
      <c r="AU66" t="str">
        <f>AND(#REF!,"AAAAAH/f3S4=")</f>
        <v>#REF!</v>
      </c>
      <c r="AV66" t="str">
        <f>AND(#REF!,"AAAAAH/f3S8=")</f>
        <v>#REF!</v>
      </c>
      <c r="AW66" t="str">
        <f>AND(#REF!,"AAAAAH/f3TA=")</f>
        <v>#REF!</v>
      </c>
      <c r="AX66" t="str">
        <f>AND(#REF!,"AAAAAH/f3TE=")</f>
        <v>#REF!</v>
      </c>
      <c r="AY66" t="str">
        <f>AND(#REF!,"AAAAAH/f3TI=")</f>
        <v>#REF!</v>
      </c>
      <c r="AZ66" t="str">
        <f>IF(#REF!,"AAAAAH/f3TM=",0)</f>
        <v>#REF!</v>
      </c>
      <c r="BA66" t="str">
        <f>AND(#REF!,"AAAAAH/f3TQ=")</f>
        <v>#REF!</v>
      </c>
      <c r="BB66" t="str">
        <f>AND(#REF!,"AAAAAH/f3TU=")</f>
        <v>#REF!</v>
      </c>
      <c r="BC66" t="str">
        <f>AND(#REF!,"AAAAAH/f3TY=")</f>
        <v>#REF!</v>
      </c>
      <c r="BD66" t="str">
        <f>AND(#REF!,"AAAAAH/f3Tc=")</f>
        <v>#REF!</v>
      </c>
      <c r="BE66" t="str">
        <f>AND(#REF!,"AAAAAH/f3Tg=")</f>
        <v>#REF!</v>
      </c>
      <c r="BF66" t="str">
        <f>AND(#REF!,"AAAAAH/f3Tk=")</f>
        <v>#REF!</v>
      </c>
      <c r="BG66" t="str">
        <f>AND(#REF!,"AAAAAH/f3To=")</f>
        <v>#REF!</v>
      </c>
      <c r="BH66" t="str">
        <f>AND(#REF!,"AAAAAH/f3Ts=")</f>
        <v>#REF!</v>
      </c>
      <c r="BI66" t="str">
        <f>AND(#REF!,"AAAAAH/f3Tw=")</f>
        <v>#REF!</v>
      </c>
      <c r="BJ66" t="str">
        <f>AND(#REF!,"AAAAAH/f3T0=")</f>
        <v>#REF!</v>
      </c>
      <c r="BK66" t="str">
        <f>AND(#REF!,"AAAAAH/f3T4=")</f>
        <v>#REF!</v>
      </c>
      <c r="BL66" t="str">
        <f>AND(#REF!,"AAAAAH/f3T8=")</f>
        <v>#REF!</v>
      </c>
      <c r="BM66" t="str">
        <f>AND(#REF!,"AAAAAH/f3UA=")</f>
        <v>#REF!</v>
      </c>
      <c r="BN66" t="str">
        <f>AND(#REF!,"AAAAAH/f3UE=")</f>
        <v>#REF!</v>
      </c>
      <c r="BO66" t="str">
        <f>AND(#REF!,"AAAAAH/f3UI=")</f>
        <v>#REF!</v>
      </c>
      <c r="BP66" t="str">
        <f>AND(#REF!,"AAAAAH/f3UM=")</f>
        <v>#REF!</v>
      </c>
      <c r="BQ66" t="str">
        <f>AND(#REF!,"AAAAAH/f3UQ=")</f>
        <v>#REF!</v>
      </c>
      <c r="BR66" t="str">
        <f>AND(#REF!,"AAAAAH/f3UU=")</f>
        <v>#REF!</v>
      </c>
      <c r="BS66" t="str">
        <f>AND(#REF!,"AAAAAH/f3UY=")</f>
        <v>#REF!</v>
      </c>
      <c r="BT66" t="str">
        <f>AND(#REF!,"AAAAAH/f3Uc=")</f>
        <v>#REF!</v>
      </c>
      <c r="BU66" t="str">
        <f>AND(#REF!,"AAAAAH/f3Ug=")</f>
        <v>#REF!</v>
      </c>
      <c r="BV66" t="str">
        <f>AND(#REF!,"AAAAAH/f3Uk=")</f>
        <v>#REF!</v>
      </c>
      <c r="BW66" t="str">
        <f>AND(#REF!,"AAAAAH/f3Uo=")</f>
        <v>#REF!</v>
      </c>
      <c r="BX66" t="str">
        <f>AND(#REF!,"AAAAAH/f3Us=")</f>
        <v>#REF!</v>
      </c>
      <c r="BY66" t="str">
        <f>AND(#REF!,"AAAAAH/f3Uw=")</f>
        <v>#REF!</v>
      </c>
      <c r="BZ66" t="str">
        <f>AND(#REF!,"AAAAAH/f3U0=")</f>
        <v>#REF!</v>
      </c>
      <c r="CA66" t="str">
        <f>AND(#REF!,"AAAAAH/f3U4=")</f>
        <v>#REF!</v>
      </c>
      <c r="CB66" t="str">
        <f>AND(#REF!,"AAAAAH/f3U8=")</f>
        <v>#REF!</v>
      </c>
      <c r="CC66" t="str">
        <f>AND(#REF!,"AAAAAH/f3VA=")</f>
        <v>#REF!</v>
      </c>
      <c r="CD66" t="str">
        <f>AND(#REF!,"AAAAAH/f3VE=")</f>
        <v>#REF!</v>
      </c>
      <c r="CE66" t="str">
        <f>AND(#REF!,"AAAAAH/f3VI=")</f>
        <v>#REF!</v>
      </c>
      <c r="CF66" t="str">
        <f>AND(#REF!,"AAAAAH/f3VM=")</f>
        <v>#REF!</v>
      </c>
      <c r="CG66" t="str">
        <f>AND(#REF!,"AAAAAH/f3VQ=")</f>
        <v>#REF!</v>
      </c>
      <c r="CH66" t="str">
        <f>AND(#REF!,"AAAAAH/f3VU=")</f>
        <v>#REF!</v>
      </c>
      <c r="CI66" t="str">
        <f>AND(#REF!,"AAAAAH/f3VY=")</f>
        <v>#REF!</v>
      </c>
      <c r="CJ66" t="str">
        <f>AND(#REF!,"AAAAAH/f3Vc=")</f>
        <v>#REF!</v>
      </c>
      <c r="CK66" t="str">
        <f>AND(#REF!,"AAAAAH/f3Vg=")</f>
        <v>#REF!</v>
      </c>
      <c r="CL66" t="str">
        <f>AND(#REF!,"AAAAAH/f3Vk=")</f>
        <v>#REF!</v>
      </c>
      <c r="CM66" t="str">
        <f>AND(#REF!,"AAAAAH/f3Vo=")</f>
        <v>#REF!</v>
      </c>
      <c r="CN66" t="str">
        <f>AND(#REF!,"AAAAAH/f3Vs=")</f>
        <v>#REF!</v>
      </c>
      <c r="CO66" t="str">
        <f>AND(#REF!,"AAAAAH/f3Vw=")</f>
        <v>#REF!</v>
      </c>
      <c r="CP66" t="str">
        <f>AND(#REF!,"AAAAAH/f3V0=")</f>
        <v>#REF!</v>
      </c>
      <c r="CQ66" t="str">
        <f>AND(#REF!,"AAAAAH/f3V4=")</f>
        <v>#REF!</v>
      </c>
      <c r="CR66" t="str">
        <f>AND(#REF!,"AAAAAH/f3V8=")</f>
        <v>#REF!</v>
      </c>
      <c r="CS66" t="str">
        <f>AND(#REF!,"AAAAAH/f3WA=")</f>
        <v>#REF!</v>
      </c>
      <c r="CT66" t="str">
        <f>AND(#REF!,"AAAAAH/f3WE=")</f>
        <v>#REF!</v>
      </c>
      <c r="CU66" t="str">
        <f>AND(#REF!,"AAAAAH/f3WI=")</f>
        <v>#REF!</v>
      </c>
      <c r="CV66" t="str">
        <f>AND(#REF!,"AAAAAH/f3WM=")</f>
        <v>#REF!</v>
      </c>
      <c r="CW66" t="str">
        <f>AND(#REF!,"AAAAAH/f3WQ=")</f>
        <v>#REF!</v>
      </c>
      <c r="CX66" t="str">
        <f>AND(#REF!,"AAAAAH/f3WU=")</f>
        <v>#REF!</v>
      </c>
      <c r="CY66" t="str">
        <f>AND(#REF!,"AAAAAH/f3WY=")</f>
        <v>#REF!</v>
      </c>
      <c r="CZ66" t="str">
        <f>AND(#REF!,"AAAAAH/f3Wc=")</f>
        <v>#REF!</v>
      </c>
      <c r="DA66" t="str">
        <f>AND(#REF!,"AAAAAH/f3Wg=")</f>
        <v>#REF!</v>
      </c>
      <c r="DB66" t="str">
        <f>AND(#REF!,"AAAAAH/f3Wk=")</f>
        <v>#REF!</v>
      </c>
      <c r="DC66" t="str">
        <f>AND(#REF!,"AAAAAH/f3Wo=")</f>
        <v>#REF!</v>
      </c>
      <c r="DD66" t="str">
        <f>AND(#REF!,"AAAAAH/f3Ws=")</f>
        <v>#REF!</v>
      </c>
      <c r="DE66" t="str">
        <f>AND(#REF!,"AAAAAH/f3Ww=")</f>
        <v>#REF!</v>
      </c>
      <c r="DF66" t="str">
        <f>AND(#REF!,"AAAAAH/f3W0=")</f>
        <v>#REF!</v>
      </c>
      <c r="DG66" t="str">
        <f>AND(#REF!,"AAAAAH/f3W4=")</f>
        <v>#REF!</v>
      </c>
      <c r="DH66" t="str">
        <f>AND(#REF!,"AAAAAH/f3W8=")</f>
        <v>#REF!</v>
      </c>
      <c r="DI66" t="str">
        <f>AND(#REF!,"AAAAAH/f3XA=")</f>
        <v>#REF!</v>
      </c>
      <c r="DJ66" t="str">
        <f>AND(#REF!,"AAAAAH/f3XE=")</f>
        <v>#REF!</v>
      </c>
      <c r="DK66" t="str">
        <f>AND(#REF!,"AAAAAH/f3XI=")</f>
        <v>#REF!</v>
      </c>
      <c r="DL66" t="str">
        <f>AND(#REF!,"AAAAAH/f3XM=")</f>
        <v>#REF!</v>
      </c>
      <c r="DM66" t="str">
        <f>AND(#REF!,"AAAAAH/f3XQ=")</f>
        <v>#REF!</v>
      </c>
      <c r="DN66" t="str">
        <f>AND(#REF!,"AAAAAH/f3XU=")</f>
        <v>#REF!</v>
      </c>
      <c r="DO66" t="str">
        <f>AND(#REF!,"AAAAAH/f3XY=")</f>
        <v>#REF!</v>
      </c>
      <c r="DP66" t="str">
        <f>AND(#REF!,"AAAAAH/f3Xc=")</f>
        <v>#REF!</v>
      </c>
      <c r="DQ66" t="str">
        <f>AND(#REF!,"AAAAAH/f3Xg=")</f>
        <v>#REF!</v>
      </c>
      <c r="DR66" t="str">
        <f>AND(#REF!,"AAAAAH/f3Xk=")</f>
        <v>#REF!</v>
      </c>
      <c r="DS66" t="str">
        <f>AND(#REF!,"AAAAAH/f3Xo=")</f>
        <v>#REF!</v>
      </c>
      <c r="DT66" t="str">
        <f>AND(#REF!,"AAAAAH/f3Xs=")</f>
        <v>#REF!</v>
      </c>
      <c r="DU66" t="str">
        <f>AND(#REF!,"AAAAAH/f3Xw=")</f>
        <v>#REF!</v>
      </c>
      <c r="DV66" t="str">
        <f>AND(#REF!,"AAAAAH/f3X0=")</f>
        <v>#REF!</v>
      </c>
      <c r="DW66" t="str">
        <f>AND(#REF!,"AAAAAH/f3X4=")</f>
        <v>#REF!</v>
      </c>
      <c r="DX66" t="str">
        <f>IF(#REF!,"AAAAAH/f3X8=",0)</f>
        <v>#REF!</v>
      </c>
      <c r="DY66" t="str">
        <f>AND(#REF!,"AAAAAH/f3YA=")</f>
        <v>#REF!</v>
      </c>
      <c r="DZ66" t="str">
        <f>AND(#REF!,"AAAAAH/f3YE=")</f>
        <v>#REF!</v>
      </c>
      <c r="EA66" t="str">
        <f>AND(#REF!,"AAAAAH/f3YI=")</f>
        <v>#REF!</v>
      </c>
      <c r="EB66" t="str">
        <f>AND(#REF!,"AAAAAH/f3YM=")</f>
        <v>#REF!</v>
      </c>
      <c r="EC66" t="str">
        <f>AND(#REF!,"AAAAAH/f3YQ=")</f>
        <v>#REF!</v>
      </c>
      <c r="ED66" t="str">
        <f>AND(#REF!,"AAAAAH/f3YU=")</f>
        <v>#REF!</v>
      </c>
      <c r="EE66" t="str">
        <f>AND(#REF!,"AAAAAH/f3YY=")</f>
        <v>#REF!</v>
      </c>
      <c r="EF66" t="str">
        <f>AND(#REF!,"AAAAAH/f3Yc=")</f>
        <v>#REF!</v>
      </c>
      <c r="EG66" t="str">
        <f>AND(#REF!,"AAAAAH/f3Yg=")</f>
        <v>#REF!</v>
      </c>
      <c r="EH66" t="str">
        <f>AND(#REF!,"AAAAAH/f3Yk=")</f>
        <v>#REF!</v>
      </c>
      <c r="EI66" t="str">
        <f>AND(#REF!,"AAAAAH/f3Yo=")</f>
        <v>#REF!</v>
      </c>
      <c r="EJ66" t="str">
        <f>AND(#REF!,"AAAAAH/f3Ys=")</f>
        <v>#REF!</v>
      </c>
      <c r="EK66" t="str">
        <f>AND(#REF!,"AAAAAH/f3Yw=")</f>
        <v>#REF!</v>
      </c>
      <c r="EL66" t="str">
        <f>AND(#REF!,"AAAAAH/f3Y0=")</f>
        <v>#REF!</v>
      </c>
      <c r="EM66" t="str">
        <f>AND(#REF!,"AAAAAH/f3Y4=")</f>
        <v>#REF!</v>
      </c>
      <c r="EN66" t="str">
        <f>AND(#REF!,"AAAAAH/f3Y8=")</f>
        <v>#REF!</v>
      </c>
      <c r="EO66" t="str">
        <f>AND(#REF!,"AAAAAH/f3ZA=")</f>
        <v>#REF!</v>
      </c>
      <c r="EP66" t="str">
        <f>AND(#REF!,"AAAAAH/f3ZE=")</f>
        <v>#REF!</v>
      </c>
      <c r="EQ66" t="str">
        <f>AND(#REF!,"AAAAAH/f3ZI=")</f>
        <v>#REF!</v>
      </c>
      <c r="ER66" t="str">
        <f>AND(#REF!,"AAAAAH/f3ZM=")</f>
        <v>#REF!</v>
      </c>
      <c r="ES66" t="str">
        <f>AND(#REF!,"AAAAAH/f3ZQ=")</f>
        <v>#REF!</v>
      </c>
      <c r="ET66" t="str">
        <f>AND(#REF!,"AAAAAH/f3ZU=")</f>
        <v>#REF!</v>
      </c>
      <c r="EU66" t="str">
        <f>AND(#REF!,"AAAAAH/f3ZY=")</f>
        <v>#REF!</v>
      </c>
      <c r="EV66" t="str">
        <f>AND(#REF!,"AAAAAH/f3Zc=")</f>
        <v>#REF!</v>
      </c>
      <c r="EW66" t="str">
        <f>AND(#REF!,"AAAAAH/f3Zg=")</f>
        <v>#REF!</v>
      </c>
      <c r="EX66" t="str">
        <f>AND(#REF!,"AAAAAH/f3Zk=")</f>
        <v>#REF!</v>
      </c>
      <c r="EY66" t="str">
        <f>AND(#REF!,"AAAAAH/f3Zo=")</f>
        <v>#REF!</v>
      </c>
      <c r="EZ66" t="str">
        <f>AND(#REF!,"AAAAAH/f3Zs=")</f>
        <v>#REF!</v>
      </c>
      <c r="FA66" t="str">
        <f>AND(#REF!,"AAAAAH/f3Zw=")</f>
        <v>#REF!</v>
      </c>
      <c r="FB66" t="str">
        <f>AND(#REF!,"AAAAAH/f3Z0=")</f>
        <v>#REF!</v>
      </c>
      <c r="FC66" t="str">
        <f>AND(#REF!,"AAAAAH/f3Z4=")</f>
        <v>#REF!</v>
      </c>
      <c r="FD66" t="str">
        <f>AND(#REF!,"AAAAAH/f3Z8=")</f>
        <v>#REF!</v>
      </c>
      <c r="FE66" t="str">
        <f>AND(#REF!,"AAAAAH/f3aA=")</f>
        <v>#REF!</v>
      </c>
      <c r="FF66" t="str">
        <f>AND(#REF!,"AAAAAH/f3aE=")</f>
        <v>#REF!</v>
      </c>
      <c r="FG66" t="str">
        <f>AND(#REF!,"AAAAAH/f3aI=")</f>
        <v>#REF!</v>
      </c>
      <c r="FH66" t="str">
        <f>AND(#REF!,"AAAAAH/f3aM=")</f>
        <v>#REF!</v>
      </c>
      <c r="FI66" t="str">
        <f>AND(#REF!,"AAAAAH/f3aQ=")</f>
        <v>#REF!</v>
      </c>
      <c r="FJ66" t="str">
        <f>AND(#REF!,"AAAAAH/f3aU=")</f>
        <v>#REF!</v>
      </c>
      <c r="FK66" t="str">
        <f>AND(#REF!,"AAAAAH/f3aY=")</f>
        <v>#REF!</v>
      </c>
      <c r="FL66" t="str">
        <f>AND(#REF!,"AAAAAH/f3ac=")</f>
        <v>#REF!</v>
      </c>
      <c r="FM66" t="str">
        <f>AND(#REF!,"AAAAAH/f3ag=")</f>
        <v>#REF!</v>
      </c>
      <c r="FN66" t="str">
        <f>AND(#REF!,"AAAAAH/f3ak=")</f>
        <v>#REF!</v>
      </c>
      <c r="FO66" t="str">
        <f>AND(#REF!,"AAAAAH/f3ao=")</f>
        <v>#REF!</v>
      </c>
      <c r="FP66" t="str">
        <f>AND(#REF!,"AAAAAH/f3as=")</f>
        <v>#REF!</v>
      </c>
      <c r="FQ66" t="str">
        <f>AND(#REF!,"AAAAAH/f3aw=")</f>
        <v>#REF!</v>
      </c>
      <c r="FR66" t="str">
        <f>AND(#REF!,"AAAAAH/f3a0=")</f>
        <v>#REF!</v>
      </c>
      <c r="FS66" t="str">
        <f>AND(#REF!,"AAAAAH/f3a4=")</f>
        <v>#REF!</v>
      </c>
      <c r="FT66" t="str">
        <f>AND(#REF!,"AAAAAH/f3a8=")</f>
        <v>#REF!</v>
      </c>
      <c r="FU66" t="str">
        <f>AND(#REF!,"AAAAAH/f3bA=")</f>
        <v>#REF!</v>
      </c>
      <c r="FV66" t="str">
        <f>AND(#REF!,"AAAAAH/f3bE=")</f>
        <v>#REF!</v>
      </c>
      <c r="FW66" t="str">
        <f>AND(#REF!,"AAAAAH/f3bI=")</f>
        <v>#REF!</v>
      </c>
      <c r="FX66" t="str">
        <f>AND(#REF!,"AAAAAH/f3bM=")</f>
        <v>#REF!</v>
      </c>
      <c r="FY66" t="str">
        <f>AND(#REF!,"AAAAAH/f3bQ=")</f>
        <v>#REF!</v>
      </c>
      <c r="FZ66" t="str">
        <f>AND(#REF!,"AAAAAH/f3bU=")</f>
        <v>#REF!</v>
      </c>
      <c r="GA66" t="str">
        <f>AND(#REF!,"AAAAAH/f3bY=")</f>
        <v>#REF!</v>
      </c>
      <c r="GB66" t="str">
        <f>AND(#REF!,"AAAAAH/f3bc=")</f>
        <v>#REF!</v>
      </c>
      <c r="GC66" t="str">
        <f>AND(#REF!,"AAAAAH/f3bg=")</f>
        <v>#REF!</v>
      </c>
      <c r="GD66" t="str">
        <f>AND(#REF!,"AAAAAH/f3bk=")</f>
        <v>#REF!</v>
      </c>
      <c r="GE66" t="str">
        <f>AND(#REF!,"AAAAAH/f3bo=")</f>
        <v>#REF!</v>
      </c>
      <c r="GF66" t="str">
        <f>AND(#REF!,"AAAAAH/f3bs=")</f>
        <v>#REF!</v>
      </c>
      <c r="GG66" t="str">
        <f>AND(#REF!,"AAAAAH/f3bw=")</f>
        <v>#REF!</v>
      </c>
      <c r="GH66" t="str">
        <f>AND(#REF!,"AAAAAH/f3b0=")</f>
        <v>#REF!</v>
      </c>
      <c r="GI66" t="str">
        <f>AND(#REF!,"AAAAAH/f3b4=")</f>
        <v>#REF!</v>
      </c>
      <c r="GJ66" t="str">
        <f>AND(#REF!,"AAAAAH/f3b8=")</f>
        <v>#REF!</v>
      </c>
      <c r="GK66" t="str">
        <f>AND(#REF!,"AAAAAH/f3cA=")</f>
        <v>#REF!</v>
      </c>
      <c r="GL66" t="str">
        <f>AND(#REF!,"AAAAAH/f3cE=")</f>
        <v>#REF!</v>
      </c>
      <c r="GM66" t="str">
        <f>AND(#REF!,"AAAAAH/f3cI=")</f>
        <v>#REF!</v>
      </c>
      <c r="GN66" t="str">
        <f>AND(#REF!,"AAAAAH/f3cM=")</f>
        <v>#REF!</v>
      </c>
      <c r="GO66" t="str">
        <f>AND(#REF!,"AAAAAH/f3cQ=")</f>
        <v>#REF!</v>
      </c>
      <c r="GP66" t="str">
        <f>AND(#REF!,"AAAAAH/f3cU=")</f>
        <v>#REF!</v>
      </c>
      <c r="GQ66" t="str">
        <f>AND(#REF!,"AAAAAH/f3cY=")</f>
        <v>#REF!</v>
      </c>
      <c r="GR66" t="str">
        <f>AND(#REF!,"AAAAAH/f3cc=")</f>
        <v>#REF!</v>
      </c>
      <c r="GS66" t="str">
        <f>AND(#REF!,"AAAAAH/f3cg=")</f>
        <v>#REF!</v>
      </c>
      <c r="GT66" t="str">
        <f>AND(#REF!,"AAAAAH/f3ck=")</f>
        <v>#REF!</v>
      </c>
      <c r="GU66" t="str">
        <f>AND(#REF!,"AAAAAH/f3co=")</f>
        <v>#REF!</v>
      </c>
      <c r="GV66" t="str">
        <f>IF(#REF!,"AAAAAH/f3cs=",0)</f>
        <v>#REF!</v>
      </c>
      <c r="GW66" t="str">
        <f>AND(#REF!,"AAAAAH/f3cw=")</f>
        <v>#REF!</v>
      </c>
      <c r="GX66" t="str">
        <f>AND(#REF!,"AAAAAH/f3c0=")</f>
        <v>#REF!</v>
      </c>
      <c r="GY66" t="str">
        <f>AND(#REF!,"AAAAAH/f3c4=")</f>
        <v>#REF!</v>
      </c>
      <c r="GZ66" t="str">
        <f>AND(#REF!,"AAAAAH/f3c8=")</f>
        <v>#REF!</v>
      </c>
      <c r="HA66" t="str">
        <f>AND(#REF!,"AAAAAH/f3dA=")</f>
        <v>#REF!</v>
      </c>
      <c r="HB66" t="str">
        <f>AND(#REF!,"AAAAAH/f3dE=")</f>
        <v>#REF!</v>
      </c>
      <c r="HC66" t="str">
        <f>AND(#REF!,"AAAAAH/f3dI=")</f>
        <v>#REF!</v>
      </c>
      <c r="HD66" t="str">
        <f>AND(#REF!,"AAAAAH/f3dM=")</f>
        <v>#REF!</v>
      </c>
      <c r="HE66" t="str">
        <f>AND(#REF!,"AAAAAH/f3dQ=")</f>
        <v>#REF!</v>
      </c>
      <c r="HF66" t="str">
        <f>AND(#REF!,"AAAAAH/f3dU=")</f>
        <v>#REF!</v>
      </c>
      <c r="HG66" t="str">
        <f>AND(#REF!,"AAAAAH/f3dY=")</f>
        <v>#REF!</v>
      </c>
      <c r="HH66" t="str">
        <f>AND(#REF!,"AAAAAH/f3dc=")</f>
        <v>#REF!</v>
      </c>
      <c r="HI66" t="str">
        <f>AND(#REF!,"AAAAAH/f3dg=")</f>
        <v>#REF!</v>
      </c>
      <c r="HJ66" t="str">
        <f>AND(#REF!,"AAAAAH/f3dk=")</f>
        <v>#REF!</v>
      </c>
      <c r="HK66" t="str">
        <f>AND(#REF!,"AAAAAH/f3do=")</f>
        <v>#REF!</v>
      </c>
      <c r="HL66" t="str">
        <f>AND(#REF!,"AAAAAH/f3ds=")</f>
        <v>#REF!</v>
      </c>
      <c r="HM66" t="str">
        <f>AND(#REF!,"AAAAAH/f3dw=")</f>
        <v>#REF!</v>
      </c>
      <c r="HN66" t="str">
        <f>AND(#REF!,"AAAAAH/f3d0=")</f>
        <v>#REF!</v>
      </c>
      <c r="HO66" t="str">
        <f>AND(#REF!,"AAAAAH/f3d4=")</f>
        <v>#REF!</v>
      </c>
      <c r="HP66" t="str">
        <f>AND(#REF!,"AAAAAH/f3d8=")</f>
        <v>#REF!</v>
      </c>
      <c r="HQ66" t="str">
        <f>AND(#REF!,"AAAAAH/f3eA=")</f>
        <v>#REF!</v>
      </c>
      <c r="HR66" t="str">
        <f>AND(#REF!,"AAAAAH/f3eE=")</f>
        <v>#REF!</v>
      </c>
      <c r="HS66" t="str">
        <f>AND(#REF!,"AAAAAH/f3eI=")</f>
        <v>#REF!</v>
      </c>
      <c r="HT66" t="str">
        <f>AND(#REF!,"AAAAAH/f3eM=")</f>
        <v>#REF!</v>
      </c>
      <c r="HU66" t="str">
        <f>AND(#REF!,"AAAAAH/f3eQ=")</f>
        <v>#REF!</v>
      </c>
      <c r="HV66" t="str">
        <f>AND(#REF!,"AAAAAH/f3eU=")</f>
        <v>#REF!</v>
      </c>
      <c r="HW66" t="str">
        <f>AND(#REF!,"AAAAAH/f3eY=")</f>
        <v>#REF!</v>
      </c>
      <c r="HX66" t="str">
        <f>AND(#REF!,"AAAAAH/f3ec=")</f>
        <v>#REF!</v>
      </c>
      <c r="HY66" t="str">
        <f>AND(#REF!,"AAAAAH/f3eg=")</f>
        <v>#REF!</v>
      </c>
      <c r="HZ66" t="str">
        <f>AND(#REF!,"AAAAAH/f3ek=")</f>
        <v>#REF!</v>
      </c>
      <c r="IA66" t="str">
        <f>AND(#REF!,"AAAAAH/f3eo=")</f>
        <v>#REF!</v>
      </c>
      <c r="IB66" t="str">
        <f>AND(#REF!,"AAAAAH/f3es=")</f>
        <v>#REF!</v>
      </c>
      <c r="IC66" t="str">
        <f>AND(#REF!,"AAAAAH/f3ew=")</f>
        <v>#REF!</v>
      </c>
      <c r="ID66" t="str">
        <f>AND(#REF!,"AAAAAH/f3e0=")</f>
        <v>#REF!</v>
      </c>
      <c r="IE66" t="str">
        <f>AND(#REF!,"AAAAAH/f3e4=")</f>
        <v>#REF!</v>
      </c>
      <c r="IF66" t="str">
        <f>AND(#REF!,"AAAAAH/f3e8=")</f>
        <v>#REF!</v>
      </c>
      <c r="IG66" t="str">
        <f>AND(#REF!,"AAAAAH/f3fA=")</f>
        <v>#REF!</v>
      </c>
      <c r="IH66" t="str">
        <f>AND(#REF!,"AAAAAH/f3fE=")</f>
        <v>#REF!</v>
      </c>
      <c r="II66" t="str">
        <f>AND(#REF!,"AAAAAH/f3fI=")</f>
        <v>#REF!</v>
      </c>
      <c r="IJ66" t="str">
        <f>AND(#REF!,"AAAAAH/f3fM=")</f>
        <v>#REF!</v>
      </c>
      <c r="IK66" t="str">
        <f>AND(#REF!,"AAAAAH/f3fQ=")</f>
        <v>#REF!</v>
      </c>
      <c r="IL66" t="str">
        <f>AND(#REF!,"AAAAAH/f3fU=")</f>
        <v>#REF!</v>
      </c>
      <c r="IM66" t="str">
        <f>AND(#REF!,"AAAAAH/f3fY=")</f>
        <v>#REF!</v>
      </c>
      <c r="IN66" t="str">
        <f>AND(#REF!,"AAAAAH/f3fc=")</f>
        <v>#REF!</v>
      </c>
      <c r="IO66" t="str">
        <f>AND(#REF!,"AAAAAH/f3fg=")</f>
        <v>#REF!</v>
      </c>
      <c r="IP66" t="str">
        <f>AND(#REF!,"AAAAAH/f3fk=")</f>
        <v>#REF!</v>
      </c>
      <c r="IQ66" t="str">
        <f>AND(#REF!,"AAAAAH/f3fo=")</f>
        <v>#REF!</v>
      </c>
      <c r="IR66" t="str">
        <f>AND(#REF!,"AAAAAH/f3fs=")</f>
        <v>#REF!</v>
      </c>
      <c r="IS66" t="str">
        <f>AND(#REF!,"AAAAAH/f3fw=")</f>
        <v>#REF!</v>
      </c>
      <c r="IT66" t="str">
        <f>AND(#REF!,"AAAAAH/f3f0=")</f>
        <v>#REF!</v>
      </c>
      <c r="IU66" t="str">
        <f>AND(#REF!,"AAAAAH/f3f4=")</f>
        <v>#REF!</v>
      </c>
      <c r="IV66" t="str">
        <f>AND(#REF!,"AAAAAH/f3f8=")</f>
        <v>#REF!</v>
      </c>
    </row>
    <row r="67" ht="15.75" customHeight="1">
      <c r="A67" t="str">
        <f>AND(#REF!,"AAAAAA/+sQA=")</f>
        <v>#REF!</v>
      </c>
      <c r="B67" t="str">
        <f>AND(#REF!,"AAAAAA/+sQE=")</f>
        <v>#REF!</v>
      </c>
      <c r="C67" t="str">
        <f>AND(#REF!,"AAAAAA/+sQI=")</f>
        <v>#REF!</v>
      </c>
      <c r="D67" t="str">
        <f>AND(#REF!,"AAAAAA/+sQM=")</f>
        <v>#REF!</v>
      </c>
      <c r="E67" t="str">
        <f>AND(#REF!,"AAAAAA/+sQQ=")</f>
        <v>#REF!</v>
      </c>
      <c r="F67" t="str">
        <f>AND(#REF!,"AAAAAA/+sQU=")</f>
        <v>#REF!</v>
      </c>
      <c r="G67" t="str">
        <f>AND(#REF!,"AAAAAA/+sQY=")</f>
        <v>#REF!</v>
      </c>
      <c r="H67" t="str">
        <f>AND(#REF!,"AAAAAA/+sQc=")</f>
        <v>#REF!</v>
      </c>
      <c r="I67" t="str">
        <f>AND(#REF!,"AAAAAA/+sQg=")</f>
        <v>#REF!</v>
      </c>
      <c r="J67" t="str">
        <f>AND(#REF!,"AAAAAA/+sQk=")</f>
        <v>#REF!</v>
      </c>
      <c r="K67" t="str">
        <f>AND(#REF!,"AAAAAA/+sQo=")</f>
        <v>#REF!</v>
      </c>
      <c r="L67" t="str">
        <f>AND(#REF!,"AAAAAA/+sQs=")</f>
        <v>#REF!</v>
      </c>
      <c r="M67" t="str">
        <f>AND(#REF!,"AAAAAA/+sQw=")</f>
        <v>#REF!</v>
      </c>
      <c r="N67" t="str">
        <f>AND(#REF!,"AAAAAA/+sQ0=")</f>
        <v>#REF!</v>
      </c>
      <c r="O67" t="str">
        <f>AND(#REF!,"AAAAAA/+sQ4=")</f>
        <v>#REF!</v>
      </c>
      <c r="P67" t="str">
        <f>AND(#REF!,"AAAAAA/+sQ8=")</f>
        <v>#REF!</v>
      </c>
      <c r="Q67" t="str">
        <f>AND(#REF!,"AAAAAA/+sRA=")</f>
        <v>#REF!</v>
      </c>
      <c r="R67" t="str">
        <f>AND(#REF!,"AAAAAA/+sRE=")</f>
        <v>#REF!</v>
      </c>
      <c r="S67" t="str">
        <f>AND(#REF!,"AAAAAA/+sRI=")</f>
        <v>#REF!</v>
      </c>
      <c r="T67" t="str">
        <f>AND(#REF!,"AAAAAA/+sRM=")</f>
        <v>#REF!</v>
      </c>
      <c r="U67" t="str">
        <f>AND(#REF!,"AAAAAA/+sRQ=")</f>
        <v>#REF!</v>
      </c>
      <c r="V67" t="str">
        <f>AND(#REF!,"AAAAAA/+sRU=")</f>
        <v>#REF!</v>
      </c>
      <c r="W67" t="str">
        <f>AND(#REF!,"AAAAAA/+sRY=")</f>
        <v>#REF!</v>
      </c>
      <c r="X67" t="str">
        <f>IF(#REF!,"AAAAAA/+sRc=",0)</f>
        <v>#REF!</v>
      </c>
      <c r="Y67" t="str">
        <f>AND(#REF!,"AAAAAA/+sRg=")</f>
        <v>#REF!</v>
      </c>
      <c r="Z67" t="str">
        <f>AND(#REF!,"AAAAAA/+sRk=")</f>
        <v>#REF!</v>
      </c>
      <c r="AA67" t="str">
        <f>AND(#REF!,"AAAAAA/+sRo=")</f>
        <v>#REF!</v>
      </c>
      <c r="AB67" t="str">
        <f>AND(#REF!,"AAAAAA/+sRs=")</f>
        <v>#REF!</v>
      </c>
      <c r="AC67" t="str">
        <f>AND(#REF!,"AAAAAA/+sRw=")</f>
        <v>#REF!</v>
      </c>
      <c r="AD67" t="str">
        <f>AND(#REF!,"AAAAAA/+sR0=")</f>
        <v>#REF!</v>
      </c>
      <c r="AE67" t="str">
        <f>AND(#REF!,"AAAAAA/+sR4=")</f>
        <v>#REF!</v>
      </c>
      <c r="AF67" t="str">
        <f>AND(#REF!,"AAAAAA/+sR8=")</f>
        <v>#REF!</v>
      </c>
      <c r="AG67" t="str">
        <f>AND(#REF!,"AAAAAA/+sSA=")</f>
        <v>#REF!</v>
      </c>
      <c r="AH67" t="str">
        <f>AND(#REF!,"AAAAAA/+sSE=")</f>
        <v>#REF!</v>
      </c>
      <c r="AI67" t="str">
        <f>AND(#REF!,"AAAAAA/+sSI=")</f>
        <v>#REF!</v>
      </c>
      <c r="AJ67" t="str">
        <f>AND(#REF!,"AAAAAA/+sSM=")</f>
        <v>#REF!</v>
      </c>
      <c r="AK67" t="str">
        <f>AND(#REF!,"AAAAAA/+sSQ=")</f>
        <v>#REF!</v>
      </c>
      <c r="AL67" t="str">
        <f>AND(#REF!,"AAAAAA/+sSU=")</f>
        <v>#REF!</v>
      </c>
      <c r="AM67" t="str">
        <f>AND(#REF!,"AAAAAA/+sSY=")</f>
        <v>#REF!</v>
      </c>
      <c r="AN67" t="str">
        <f>AND(#REF!,"AAAAAA/+sSc=")</f>
        <v>#REF!</v>
      </c>
      <c r="AO67" t="str">
        <f>AND(#REF!,"AAAAAA/+sSg=")</f>
        <v>#REF!</v>
      </c>
      <c r="AP67" t="str">
        <f>AND(#REF!,"AAAAAA/+sSk=")</f>
        <v>#REF!</v>
      </c>
      <c r="AQ67" t="str">
        <f>AND(#REF!,"AAAAAA/+sSo=")</f>
        <v>#REF!</v>
      </c>
      <c r="AR67" t="str">
        <f>AND(#REF!,"AAAAAA/+sSs=")</f>
        <v>#REF!</v>
      </c>
      <c r="AS67" t="str">
        <f>AND(#REF!,"AAAAAA/+sSw=")</f>
        <v>#REF!</v>
      </c>
      <c r="AT67" t="str">
        <f>AND(#REF!,"AAAAAA/+sS0=")</f>
        <v>#REF!</v>
      </c>
      <c r="AU67" t="str">
        <f>AND(#REF!,"AAAAAA/+sS4=")</f>
        <v>#REF!</v>
      </c>
      <c r="AV67" t="str">
        <f>AND(#REF!,"AAAAAA/+sS8=")</f>
        <v>#REF!</v>
      </c>
      <c r="AW67" t="str">
        <f>AND(#REF!,"AAAAAA/+sTA=")</f>
        <v>#REF!</v>
      </c>
      <c r="AX67" t="str">
        <f>AND(#REF!,"AAAAAA/+sTE=")</f>
        <v>#REF!</v>
      </c>
      <c r="AY67" t="str">
        <f>AND(#REF!,"AAAAAA/+sTI=")</f>
        <v>#REF!</v>
      </c>
      <c r="AZ67" t="str">
        <f>AND(#REF!,"AAAAAA/+sTM=")</f>
        <v>#REF!</v>
      </c>
      <c r="BA67" t="str">
        <f>AND(#REF!,"AAAAAA/+sTQ=")</f>
        <v>#REF!</v>
      </c>
      <c r="BB67" t="str">
        <f>AND(#REF!,"AAAAAA/+sTU=")</f>
        <v>#REF!</v>
      </c>
      <c r="BC67" t="str">
        <f>AND(#REF!,"AAAAAA/+sTY=")</f>
        <v>#REF!</v>
      </c>
      <c r="BD67" t="str">
        <f>AND(#REF!,"AAAAAA/+sTc=")</f>
        <v>#REF!</v>
      </c>
      <c r="BE67" t="str">
        <f>AND(#REF!,"AAAAAA/+sTg=")</f>
        <v>#REF!</v>
      </c>
      <c r="BF67" t="str">
        <f>AND(#REF!,"AAAAAA/+sTk=")</f>
        <v>#REF!</v>
      </c>
      <c r="BG67" t="str">
        <f>AND(#REF!,"AAAAAA/+sTo=")</f>
        <v>#REF!</v>
      </c>
      <c r="BH67" t="str">
        <f>AND(#REF!,"AAAAAA/+sTs=")</f>
        <v>#REF!</v>
      </c>
      <c r="BI67" t="str">
        <f>AND(#REF!,"AAAAAA/+sTw=")</f>
        <v>#REF!</v>
      </c>
      <c r="BJ67" t="str">
        <f>AND(#REF!,"AAAAAA/+sT0=")</f>
        <v>#REF!</v>
      </c>
      <c r="BK67" t="str">
        <f>AND(#REF!,"AAAAAA/+sT4=")</f>
        <v>#REF!</v>
      </c>
      <c r="BL67" t="str">
        <f>AND(#REF!,"AAAAAA/+sT8=")</f>
        <v>#REF!</v>
      </c>
      <c r="BM67" t="str">
        <f>AND(#REF!,"AAAAAA/+sUA=")</f>
        <v>#REF!</v>
      </c>
      <c r="BN67" t="str">
        <f>AND(#REF!,"AAAAAA/+sUE=")</f>
        <v>#REF!</v>
      </c>
      <c r="BO67" t="str">
        <f>AND(#REF!,"AAAAAA/+sUI=")</f>
        <v>#REF!</v>
      </c>
      <c r="BP67" t="str">
        <f>AND(#REF!,"AAAAAA/+sUM=")</f>
        <v>#REF!</v>
      </c>
      <c r="BQ67" t="str">
        <f>AND(#REF!,"AAAAAA/+sUQ=")</f>
        <v>#REF!</v>
      </c>
      <c r="BR67" t="str">
        <f>AND(#REF!,"AAAAAA/+sUU=")</f>
        <v>#REF!</v>
      </c>
      <c r="BS67" t="str">
        <f>AND(#REF!,"AAAAAA/+sUY=")</f>
        <v>#REF!</v>
      </c>
      <c r="BT67" t="str">
        <f>AND(#REF!,"AAAAAA/+sUc=")</f>
        <v>#REF!</v>
      </c>
      <c r="BU67" t="str">
        <f>AND(#REF!,"AAAAAA/+sUg=")</f>
        <v>#REF!</v>
      </c>
      <c r="BV67" t="str">
        <f>AND(#REF!,"AAAAAA/+sUk=")</f>
        <v>#REF!</v>
      </c>
      <c r="BW67" t="str">
        <f>AND(#REF!,"AAAAAA/+sUo=")</f>
        <v>#REF!</v>
      </c>
      <c r="BX67" t="str">
        <f>AND(#REF!,"AAAAAA/+sUs=")</f>
        <v>#REF!</v>
      </c>
      <c r="BY67" t="str">
        <f>AND(#REF!,"AAAAAA/+sUw=")</f>
        <v>#REF!</v>
      </c>
      <c r="BZ67" t="str">
        <f>AND(#REF!,"AAAAAA/+sU0=")</f>
        <v>#REF!</v>
      </c>
      <c r="CA67" t="str">
        <f>AND(#REF!,"AAAAAA/+sU4=")</f>
        <v>#REF!</v>
      </c>
      <c r="CB67" t="str">
        <f>AND(#REF!,"AAAAAA/+sU8=")</f>
        <v>#REF!</v>
      </c>
      <c r="CC67" t="str">
        <f>AND(#REF!,"AAAAAA/+sVA=")</f>
        <v>#REF!</v>
      </c>
      <c r="CD67" t="str">
        <f>AND(#REF!,"AAAAAA/+sVE=")</f>
        <v>#REF!</v>
      </c>
      <c r="CE67" t="str">
        <f>AND(#REF!,"AAAAAA/+sVI=")</f>
        <v>#REF!</v>
      </c>
      <c r="CF67" t="str">
        <f>AND(#REF!,"AAAAAA/+sVM=")</f>
        <v>#REF!</v>
      </c>
      <c r="CG67" t="str">
        <f>AND(#REF!,"AAAAAA/+sVQ=")</f>
        <v>#REF!</v>
      </c>
      <c r="CH67" t="str">
        <f>AND(#REF!,"AAAAAA/+sVU=")</f>
        <v>#REF!</v>
      </c>
      <c r="CI67" t="str">
        <f>AND(#REF!,"AAAAAA/+sVY=")</f>
        <v>#REF!</v>
      </c>
      <c r="CJ67" t="str">
        <f>AND(#REF!,"AAAAAA/+sVc=")</f>
        <v>#REF!</v>
      </c>
      <c r="CK67" t="str">
        <f>AND(#REF!,"AAAAAA/+sVg=")</f>
        <v>#REF!</v>
      </c>
      <c r="CL67" t="str">
        <f>AND(#REF!,"AAAAAA/+sVk=")</f>
        <v>#REF!</v>
      </c>
      <c r="CM67" t="str">
        <f>AND(#REF!,"AAAAAA/+sVo=")</f>
        <v>#REF!</v>
      </c>
      <c r="CN67" t="str">
        <f>AND(#REF!,"AAAAAA/+sVs=")</f>
        <v>#REF!</v>
      </c>
      <c r="CO67" t="str">
        <f>AND(#REF!,"AAAAAA/+sVw=")</f>
        <v>#REF!</v>
      </c>
      <c r="CP67" t="str">
        <f>AND(#REF!,"AAAAAA/+sV0=")</f>
        <v>#REF!</v>
      </c>
      <c r="CQ67" t="str">
        <f>AND(#REF!,"AAAAAA/+sV4=")</f>
        <v>#REF!</v>
      </c>
      <c r="CR67" t="str">
        <f>AND(#REF!,"AAAAAA/+sV8=")</f>
        <v>#REF!</v>
      </c>
      <c r="CS67" t="str">
        <f>AND(#REF!,"AAAAAA/+sWA=")</f>
        <v>#REF!</v>
      </c>
      <c r="CT67" t="str">
        <f>AND(#REF!,"AAAAAA/+sWE=")</f>
        <v>#REF!</v>
      </c>
      <c r="CU67" t="str">
        <f>AND(#REF!,"AAAAAA/+sWI=")</f>
        <v>#REF!</v>
      </c>
      <c r="CV67" t="str">
        <f>IF(#REF!,"AAAAAA/+sWM=",0)</f>
        <v>#REF!</v>
      </c>
      <c r="CW67" t="str">
        <f>AND(#REF!,"AAAAAA/+sWQ=")</f>
        <v>#REF!</v>
      </c>
      <c r="CX67" t="str">
        <f>AND(#REF!,"AAAAAA/+sWU=")</f>
        <v>#REF!</v>
      </c>
      <c r="CY67" t="str">
        <f>AND(#REF!,"AAAAAA/+sWY=")</f>
        <v>#REF!</v>
      </c>
      <c r="CZ67" t="str">
        <f>AND(#REF!,"AAAAAA/+sWc=")</f>
        <v>#REF!</v>
      </c>
      <c r="DA67" t="str">
        <f>AND(#REF!,"AAAAAA/+sWg=")</f>
        <v>#REF!</v>
      </c>
      <c r="DB67" t="str">
        <f>AND(#REF!,"AAAAAA/+sWk=")</f>
        <v>#REF!</v>
      </c>
      <c r="DC67" t="str">
        <f>AND(#REF!,"AAAAAA/+sWo=")</f>
        <v>#REF!</v>
      </c>
      <c r="DD67" t="str">
        <f>AND(#REF!,"AAAAAA/+sWs=")</f>
        <v>#REF!</v>
      </c>
      <c r="DE67" t="str">
        <f>AND(#REF!,"AAAAAA/+sWw=")</f>
        <v>#REF!</v>
      </c>
      <c r="DF67" t="str">
        <f>AND(#REF!,"AAAAAA/+sW0=")</f>
        <v>#REF!</v>
      </c>
      <c r="DG67" t="str">
        <f>AND(#REF!,"AAAAAA/+sW4=")</f>
        <v>#REF!</v>
      </c>
      <c r="DH67" t="str">
        <f>AND(#REF!,"AAAAAA/+sW8=")</f>
        <v>#REF!</v>
      </c>
      <c r="DI67" t="str">
        <f>AND(#REF!,"AAAAAA/+sXA=")</f>
        <v>#REF!</v>
      </c>
      <c r="DJ67" t="str">
        <f>AND(#REF!,"AAAAAA/+sXE=")</f>
        <v>#REF!</v>
      </c>
      <c r="DK67" t="str">
        <f>AND(#REF!,"AAAAAA/+sXI=")</f>
        <v>#REF!</v>
      </c>
      <c r="DL67" t="str">
        <f>AND(#REF!,"AAAAAA/+sXM=")</f>
        <v>#REF!</v>
      </c>
      <c r="DM67" t="str">
        <f>AND(#REF!,"AAAAAA/+sXQ=")</f>
        <v>#REF!</v>
      </c>
      <c r="DN67" t="str">
        <f>AND(#REF!,"AAAAAA/+sXU=")</f>
        <v>#REF!</v>
      </c>
      <c r="DO67" t="str">
        <f>AND(#REF!,"AAAAAA/+sXY=")</f>
        <v>#REF!</v>
      </c>
      <c r="DP67" t="str">
        <f>AND(#REF!,"AAAAAA/+sXc=")</f>
        <v>#REF!</v>
      </c>
      <c r="DQ67" t="str">
        <f>AND(#REF!,"AAAAAA/+sXg=")</f>
        <v>#REF!</v>
      </c>
      <c r="DR67" t="str">
        <f>AND(#REF!,"AAAAAA/+sXk=")</f>
        <v>#REF!</v>
      </c>
      <c r="DS67" t="str">
        <f>AND(#REF!,"AAAAAA/+sXo=")</f>
        <v>#REF!</v>
      </c>
      <c r="DT67" t="str">
        <f>AND(#REF!,"AAAAAA/+sXs=")</f>
        <v>#REF!</v>
      </c>
      <c r="DU67" t="str">
        <f>AND(#REF!,"AAAAAA/+sXw=")</f>
        <v>#REF!</v>
      </c>
      <c r="DV67" t="str">
        <f>AND(#REF!,"AAAAAA/+sX0=")</f>
        <v>#REF!</v>
      </c>
      <c r="DW67" t="str">
        <f>AND(#REF!,"AAAAAA/+sX4=")</f>
        <v>#REF!</v>
      </c>
      <c r="DX67" t="str">
        <f>AND(#REF!,"AAAAAA/+sX8=")</f>
        <v>#REF!</v>
      </c>
      <c r="DY67" t="str">
        <f>AND(#REF!,"AAAAAA/+sYA=")</f>
        <v>#REF!</v>
      </c>
      <c r="DZ67" t="str">
        <f>AND(#REF!,"AAAAAA/+sYE=")</f>
        <v>#REF!</v>
      </c>
      <c r="EA67" t="str">
        <f>AND(#REF!,"AAAAAA/+sYI=")</f>
        <v>#REF!</v>
      </c>
      <c r="EB67" t="str">
        <f>AND(#REF!,"AAAAAA/+sYM=")</f>
        <v>#REF!</v>
      </c>
      <c r="EC67" t="str">
        <f>AND(#REF!,"AAAAAA/+sYQ=")</f>
        <v>#REF!</v>
      </c>
      <c r="ED67" t="str">
        <f>AND(#REF!,"AAAAAA/+sYU=")</f>
        <v>#REF!</v>
      </c>
      <c r="EE67" t="str">
        <f>AND(#REF!,"AAAAAA/+sYY=")</f>
        <v>#REF!</v>
      </c>
      <c r="EF67" t="str">
        <f>AND(#REF!,"AAAAAA/+sYc=")</f>
        <v>#REF!</v>
      </c>
      <c r="EG67" t="str">
        <f>AND(#REF!,"AAAAAA/+sYg=")</f>
        <v>#REF!</v>
      </c>
      <c r="EH67" t="str">
        <f>AND(#REF!,"AAAAAA/+sYk=")</f>
        <v>#REF!</v>
      </c>
      <c r="EI67" t="str">
        <f>AND(#REF!,"AAAAAA/+sYo=")</f>
        <v>#REF!</v>
      </c>
      <c r="EJ67" t="str">
        <f>AND(#REF!,"AAAAAA/+sYs=")</f>
        <v>#REF!</v>
      </c>
      <c r="EK67" t="str">
        <f>AND(#REF!,"AAAAAA/+sYw=")</f>
        <v>#REF!</v>
      </c>
      <c r="EL67" t="str">
        <f>AND(#REF!,"AAAAAA/+sY0=")</f>
        <v>#REF!</v>
      </c>
      <c r="EM67" t="str">
        <f>AND(#REF!,"AAAAAA/+sY4=")</f>
        <v>#REF!</v>
      </c>
      <c r="EN67" t="str">
        <f>AND(#REF!,"AAAAAA/+sY8=")</f>
        <v>#REF!</v>
      </c>
      <c r="EO67" t="str">
        <f>AND(#REF!,"AAAAAA/+sZA=")</f>
        <v>#REF!</v>
      </c>
      <c r="EP67" t="str">
        <f>AND(#REF!,"AAAAAA/+sZE=")</f>
        <v>#REF!</v>
      </c>
      <c r="EQ67" t="str">
        <f>AND(#REF!,"AAAAAA/+sZI=")</f>
        <v>#REF!</v>
      </c>
      <c r="ER67" t="str">
        <f>AND(#REF!,"AAAAAA/+sZM=")</f>
        <v>#REF!</v>
      </c>
      <c r="ES67" t="str">
        <f>AND(#REF!,"AAAAAA/+sZQ=")</f>
        <v>#REF!</v>
      </c>
      <c r="ET67" t="str">
        <f>AND(#REF!,"AAAAAA/+sZU=")</f>
        <v>#REF!</v>
      </c>
      <c r="EU67" t="str">
        <f>AND(#REF!,"AAAAAA/+sZY=")</f>
        <v>#REF!</v>
      </c>
      <c r="EV67" t="str">
        <f>AND(#REF!,"AAAAAA/+sZc=")</f>
        <v>#REF!</v>
      </c>
      <c r="EW67" t="str">
        <f>AND(#REF!,"AAAAAA/+sZg=")</f>
        <v>#REF!</v>
      </c>
      <c r="EX67" t="str">
        <f>AND(#REF!,"AAAAAA/+sZk=")</f>
        <v>#REF!</v>
      </c>
      <c r="EY67" t="str">
        <f>AND(#REF!,"AAAAAA/+sZo=")</f>
        <v>#REF!</v>
      </c>
      <c r="EZ67" t="str">
        <f>AND(#REF!,"AAAAAA/+sZs=")</f>
        <v>#REF!</v>
      </c>
      <c r="FA67" t="str">
        <f>AND(#REF!,"AAAAAA/+sZw=")</f>
        <v>#REF!</v>
      </c>
      <c r="FB67" t="str">
        <f>AND(#REF!,"AAAAAA/+sZ0=")</f>
        <v>#REF!</v>
      </c>
      <c r="FC67" t="str">
        <f>AND(#REF!,"AAAAAA/+sZ4=")</f>
        <v>#REF!</v>
      </c>
      <c r="FD67" t="str">
        <f>AND(#REF!,"AAAAAA/+sZ8=")</f>
        <v>#REF!</v>
      </c>
      <c r="FE67" t="str">
        <f>AND(#REF!,"AAAAAA/+saA=")</f>
        <v>#REF!</v>
      </c>
      <c r="FF67" t="str">
        <f>AND(#REF!,"AAAAAA/+saE=")</f>
        <v>#REF!</v>
      </c>
      <c r="FG67" t="str">
        <f>AND(#REF!,"AAAAAA/+saI=")</f>
        <v>#REF!</v>
      </c>
      <c r="FH67" t="str">
        <f>AND(#REF!,"AAAAAA/+saM=")</f>
        <v>#REF!</v>
      </c>
      <c r="FI67" t="str">
        <f>AND(#REF!,"AAAAAA/+saQ=")</f>
        <v>#REF!</v>
      </c>
      <c r="FJ67" t="str">
        <f>AND(#REF!,"AAAAAA/+saU=")</f>
        <v>#REF!</v>
      </c>
      <c r="FK67" t="str">
        <f>AND(#REF!,"AAAAAA/+saY=")</f>
        <v>#REF!</v>
      </c>
      <c r="FL67" t="str">
        <f>AND(#REF!,"AAAAAA/+sac=")</f>
        <v>#REF!</v>
      </c>
      <c r="FM67" t="str">
        <f>AND(#REF!,"AAAAAA/+sag=")</f>
        <v>#REF!</v>
      </c>
      <c r="FN67" t="str">
        <f>AND(#REF!,"AAAAAA/+sak=")</f>
        <v>#REF!</v>
      </c>
      <c r="FO67" t="str">
        <f>AND(#REF!,"AAAAAA/+sao=")</f>
        <v>#REF!</v>
      </c>
      <c r="FP67" t="str">
        <f>AND(#REF!,"AAAAAA/+sas=")</f>
        <v>#REF!</v>
      </c>
      <c r="FQ67" t="str">
        <f>AND(#REF!,"AAAAAA/+saw=")</f>
        <v>#REF!</v>
      </c>
      <c r="FR67" t="str">
        <f>AND(#REF!,"AAAAAA/+sa0=")</f>
        <v>#REF!</v>
      </c>
      <c r="FS67" t="str">
        <f>AND(#REF!,"AAAAAA/+sa4=")</f>
        <v>#REF!</v>
      </c>
      <c r="FT67" t="str">
        <f>IF(#REF!,"AAAAAA/+sa8=",0)</f>
        <v>#REF!</v>
      </c>
      <c r="FU67" t="str">
        <f>AND(#REF!,"AAAAAA/+sbA=")</f>
        <v>#REF!</v>
      </c>
      <c r="FV67" t="str">
        <f>AND(#REF!,"AAAAAA/+sbE=")</f>
        <v>#REF!</v>
      </c>
      <c r="FW67" t="str">
        <f>AND(#REF!,"AAAAAA/+sbI=")</f>
        <v>#REF!</v>
      </c>
      <c r="FX67" t="str">
        <f>AND(#REF!,"AAAAAA/+sbM=")</f>
        <v>#REF!</v>
      </c>
      <c r="FY67" t="str">
        <f>AND(#REF!,"AAAAAA/+sbQ=")</f>
        <v>#REF!</v>
      </c>
      <c r="FZ67" t="str">
        <f>AND(#REF!,"AAAAAA/+sbU=")</f>
        <v>#REF!</v>
      </c>
      <c r="GA67" t="str">
        <f>AND(#REF!,"AAAAAA/+sbY=")</f>
        <v>#REF!</v>
      </c>
      <c r="GB67" t="str">
        <f>AND(#REF!,"AAAAAA/+sbc=")</f>
        <v>#REF!</v>
      </c>
      <c r="GC67" t="str">
        <f>AND(#REF!,"AAAAAA/+sbg=")</f>
        <v>#REF!</v>
      </c>
      <c r="GD67" t="str">
        <f>AND(#REF!,"AAAAAA/+sbk=")</f>
        <v>#REF!</v>
      </c>
      <c r="GE67" t="str">
        <f>AND(#REF!,"AAAAAA/+sbo=")</f>
        <v>#REF!</v>
      </c>
      <c r="GF67" t="str">
        <f>AND(#REF!,"AAAAAA/+sbs=")</f>
        <v>#REF!</v>
      </c>
      <c r="GG67" t="str">
        <f>AND(#REF!,"AAAAAA/+sbw=")</f>
        <v>#REF!</v>
      </c>
      <c r="GH67" t="str">
        <f>AND(#REF!,"AAAAAA/+sb0=")</f>
        <v>#REF!</v>
      </c>
      <c r="GI67" t="str">
        <f>AND(#REF!,"AAAAAA/+sb4=")</f>
        <v>#REF!</v>
      </c>
      <c r="GJ67" t="str">
        <f>AND(#REF!,"AAAAAA/+sb8=")</f>
        <v>#REF!</v>
      </c>
      <c r="GK67" t="str">
        <f>AND(#REF!,"AAAAAA/+scA=")</f>
        <v>#REF!</v>
      </c>
      <c r="GL67" t="str">
        <f>AND(#REF!,"AAAAAA/+scE=")</f>
        <v>#REF!</v>
      </c>
      <c r="GM67" t="str">
        <f>AND(#REF!,"AAAAAA/+scI=")</f>
        <v>#REF!</v>
      </c>
      <c r="GN67" t="str">
        <f>AND(#REF!,"AAAAAA/+scM=")</f>
        <v>#REF!</v>
      </c>
      <c r="GO67" t="str">
        <f>AND(#REF!,"AAAAAA/+scQ=")</f>
        <v>#REF!</v>
      </c>
      <c r="GP67" t="str">
        <f>AND(#REF!,"AAAAAA/+scU=")</f>
        <v>#REF!</v>
      </c>
      <c r="GQ67" t="str">
        <f>AND(#REF!,"AAAAAA/+scY=")</f>
        <v>#REF!</v>
      </c>
      <c r="GR67" t="str">
        <f>AND(#REF!,"AAAAAA/+scc=")</f>
        <v>#REF!</v>
      </c>
      <c r="GS67" t="str">
        <f>AND(#REF!,"AAAAAA/+scg=")</f>
        <v>#REF!</v>
      </c>
      <c r="GT67" t="str">
        <f>AND(#REF!,"AAAAAA/+sck=")</f>
        <v>#REF!</v>
      </c>
      <c r="GU67" t="str">
        <f>AND(#REF!,"AAAAAA/+sco=")</f>
        <v>#REF!</v>
      </c>
      <c r="GV67" t="str">
        <f>AND(#REF!,"AAAAAA/+scs=")</f>
        <v>#REF!</v>
      </c>
      <c r="GW67" t="str">
        <f>AND(#REF!,"AAAAAA/+scw=")</f>
        <v>#REF!</v>
      </c>
      <c r="GX67" t="str">
        <f>AND(#REF!,"AAAAAA/+sc0=")</f>
        <v>#REF!</v>
      </c>
      <c r="GY67" t="str">
        <f>AND(#REF!,"AAAAAA/+sc4=")</f>
        <v>#REF!</v>
      </c>
      <c r="GZ67" t="str">
        <f>AND(#REF!,"AAAAAA/+sc8=")</f>
        <v>#REF!</v>
      </c>
      <c r="HA67" t="str">
        <f>AND(#REF!,"AAAAAA/+sdA=")</f>
        <v>#REF!</v>
      </c>
      <c r="HB67" t="str">
        <f>AND(#REF!,"AAAAAA/+sdE=")</f>
        <v>#REF!</v>
      </c>
      <c r="HC67" t="str">
        <f>AND(#REF!,"AAAAAA/+sdI=")</f>
        <v>#REF!</v>
      </c>
      <c r="HD67" t="str">
        <f>AND(#REF!,"AAAAAA/+sdM=")</f>
        <v>#REF!</v>
      </c>
      <c r="HE67" t="str">
        <f>AND(#REF!,"AAAAAA/+sdQ=")</f>
        <v>#REF!</v>
      </c>
      <c r="HF67" t="str">
        <f>AND(#REF!,"AAAAAA/+sdU=")</f>
        <v>#REF!</v>
      </c>
      <c r="HG67" t="str">
        <f>AND(#REF!,"AAAAAA/+sdY=")</f>
        <v>#REF!</v>
      </c>
      <c r="HH67" t="str">
        <f>AND(#REF!,"AAAAAA/+sdc=")</f>
        <v>#REF!</v>
      </c>
      <c r="HI67" t="str">
        <f>AND(#REF!,"AAAAAA/+sdg=")</f>
        <v>#REF!</v>
      </c>
      <c r="HJ67" t="str">
        <f>AND(#REF!,"AAAAAA/+sdk=")</f>
        <v>#REF!</v>
      </c>
      <c r="HK67" t="str">
        <f>AND(#REF!,"AAAAAA/+sdo=")</f>
        <v>#REF!</v>
      </c>
      <c r="HL67" t="str">
        <f>AND(#REF!,"AAAAAA/+sds=")</f>
        <v>#REF!</v>
      </c>
      <c r="HM67" t="str">
        <f>AND(#REF!,"AAAAAA/+sdw=")</f>
        <v>#REF!</v>
      </c>
      <c r="HN67" t="str">
        <f>AND(#REF!,"AAAAAA/+sd0=")</f>
        <v>#REF!</v>
      </c>
      <c r="HO67" t="str">
        <f>AND(#REF!,"AAAAAA/+sd4=")</f>
        <v>#REF!</v>
      </c>
      <c r="HP67" t="str">
        <f>AND(#REF!,"AAAAAA/+sd8=")</f>
        <v>#REF!</v>
      </c>
      <c r="HQ67" t="str">
        <f>AND(#REF!,"AAAAAA/+seA=")</f>
        <v>#REF!</v>
      </c>
      <c r="HR67" t="str">
        <f>AND(#REF!,"AAAAAA/+seE=")</f>
        <v>#REF!</v>
      </c>
      <c r="HS67" t="str">
        <f>AND(#REF!,"AAAAAA/+seI=")</f>
        <v>#REF!</v>
      </c>
      <c r="HT67" t="str">
        <f>AND(#REF!,"AAAAAA/+seM=")</f>
        <v>#REF!</v>
      </c>
      <c r="HU67" t="str">
        <f>AND(#REF!,"AAAAAA/+seQ=")</f>
        <v>#REF!</v>
      </c>
      <c r="HV67" t="str">
        <f>AND(#REF!,"AAAAAA/+seU=")</f>
        <v>#REF!</v>
      </c>
      <c r="HW67" t="str">
        <f>AND(#REF!,"AAAAAA/+seY=")</f>
        <v>#REF!</v>
      </c>
      <c r="HX67" t="str">
        <f>AND(#REF!,"AAAAAA/+sec=")</f>
        <v>#REF!</v>
      </c>
      <c r="HY67" t="str">
        <f>AND(#REF!,"AAAAAA/+seg=")</f>
        <v>#REF!</v>
      </c>
      <c r="HZ67" t="str">
        <f>AND(#REF!,"AAAAAA/+sek=")</f>
        <v>#REF!</v>
      </c>
      <c r="IA67" t="str">
        <f>AND(#REF!,"AAAAAA/+seo=")</f>
        <v>#REF!</v>
      </c>
      <c r="IB67" t="str">
        <f>AND(#REF!,"AAAAAA/+ses=")</f>
        <v>#REF!</v>
      </c>
      <c r="IC67" t="str">
        <f>AND(#REF!,"AAAAAA/+sew=")</f>
        <v>#REF!</v>
      </c>
      <c r="ID67" t="str">
        <f>AND(#REF!,"AAAAAA/+se0=")</f>
        <v>#REF!</v>
      </c>
      <c r="IE67" t="str">
        <f>AND(#REF!,"AAAAAA/+se4=")</f>
        <v>#REF!</v>
      </c>
      <c r="IF67" t="str">
        <f>AND(#REF!,"AAAAAA/+se8=")</f>
        <v>#REF!</v>
      </c>
      <c r="IG67" t="str">
        <f>AND(#REF!,"AAAAAA/+sfA=")</f>
        <v>#REF!</v>
      </c>
      <c r="IH67" t="str">
        <f>AND(#REF!,"AAAAAA/+sfE=")</f>
        <v>#REF!</v>
      </c>
      <c r="II67" t="str">
        <f>AND(#REF!,"AAAAAA/+sfI=")</f>
        <v>#REF!</v>
      </c>
      <c r="IJ67" t="str">
        <f>AND(#REF!,"AAAAAA/+sfM=")</f>
        <v>#REF!</v>
      </c>
      <c r="IK67" t="str">
        <f>AND(#REF!,"AAAAAA/+sfQ=")</f>
        <v>#REF!</v>
      </c>
      <c r="IL67" t="str">
        <f>AND(#REF!,"AAAAAA/+sfU=")</f>
        <v>#REF!</v>
      </c>
      <c r="IM67" t="str">
        <f>AND(#REF!,"AAAAAA/+sfY=")</f>
        <v>#REF!</v>
      </c>
      <c r="IN67" t="str">
        <f>AND(#REF!,"AAAAAA/+sfc=")</f>
        <v>#REF!</v>
      </c>
      <c r="IO67" t="str">
        <f>AND(#REF!,"AAAAAA/+sfg=")</f>
        <v>#REF!</v>
      </c>
      <c r="IP67" t="str">
        <f>AND(#REF!,"AAAAAA/+sfk=")</f>
        <v>#REF!</v>
      </c>
      <c r="IQ67" t="str">
        <f>AND(#REF!,"AAAAAA/+sfo=")</f>
        <v>#REF!</v>
      </c>
      <c r="IR67" t="str">
        <f>IF(#REF!,"AAAAAA/+sfs=",0)</f>
        <v>#REF!</v>
      </c>
      <c r="IS67" t="str">
        <f>AND(#REF!,"AAAAAA/+sfw=")</f>
        <v>#REF!</v>
      </c>
      <c r="IT67" t="str">
        <f>AND(#REF!,"AAAAAA/+sf0=")</f>
        <v>#REF!</v>
      </c>
      <c r="IU67" t="str">
        <f>AND(#REF!,"AAAAAA/+sf4=")</f>
        <v>#REF!</v>
      </c>
      <c r="IV67" t="str">
        <f>IF(#REF!,"AAAAAA/+sf8=",0)</f>
        <v>#REF!</v>
      </c>
    </row>
    <row r="68" ht="15.75" customHeight="1">
      <c r="A68" t="str">
        <f>AND(#REF!,"AAAAAFdz2wA=")</f>
        <v>#REF!</v>
      </c>
      <c r="B68" t="str">
        <f>AND(#REF!,"AAAAAFdz2wE=")</f>
        <v>#REF!</v>
      </c>
      <c r="C68" t="str">
        <f>AND(#REF!,"AAAAAFdz2wI=")</f>
        <v>#REF!</v>
      </c>
      <c r="D68" t="str">
        <f>IF(#REF!,"AAAAAFdz2wM=",0)</f>
        <v>#REF!</v>
      </c>
      <c r="E68" t="str">
        <f>AND(#REF!,"AAAAAFdz2wQ=")</f>
        <v>#REF!</v>
      </c>
      <c r="F68" t="str">
        <f>AND(#REF!,"AAAAAFdz2wU=")</f>
        <v>#REF!</v>
      </c>
      <c r="G68" t="str">
        <f>AND(#REF!,"AAAAAFdz2wY=")</f>
        <v>#REF!</v>
      </c>
      <c r="H68" t="str">
        <f>IF(#REF!,"AAAAAFdz2wc=",0)</f>
        <v>#REF!</v>
      </c>
      <c r="I68" t="str">
        <f>AND(#REF!,"AAAAAFdz2wg=")</f>
        <v>#REF!</v>
      </c>
      <c r="J68" t="str">
        <f>AND(#REF!,"AAAAAFdz2wk=")</f>
        <v>#REF!</v>
      </c>
      <c r="K68" t="str">
        <f>AND(#REF!,"AAAAAFdz2wo=")</f>
        <v>#REF!</v>
      </c>
      <c r="L68" t="str">
        <f>IF(#REF!,"AAAAAFdz2ws=",0)</f>
        <v>#REF!</v>
      </c>
      <c r="M68" t="str">
        <f>AND(#REF!,"AAAAAFdz2ww=")</f>
        <v>#REF!</v>
      </c>
      <c r="N68" t="str">
        <f>AND(#REF!,"AAAAAFdz2w0=")</f>
        <v>#REF!</v>
      </c>
      <c r="O68" t="str">
        <f>AND(#REF!,"AAAAAFdz2w4=")</f>
        <v>#REF!</v>
      </c>
      <c r="P68" t="str">
        <f>IF(#REF!,"AAAAAFdz2w8=",0)</f>
        <v>#REF!</v>
      </c>
      <c r="Q68" t="str">
        <f>AND(#REF!,"AAAAAFdz2xA=")</f>
        <v>#REF!</v>
      </c>
      <c r="R68" t="str">
        <f>AND(#REF!,"AAAAAFdz2xE=")</f>
        <v>#REF!</v>
      </c>
      <c r="S68" t="str">
        <f>AND(#REF!,"AAAAAFdz2xI=")</f>
        <v>#REF!</v>
      </c>
      <c r="T68" t="str">
        <f>IF(#REF!,"AAAAAFdz2xM=",0)</f>
        <v>#REF!</v>
      </c>
      <c r="U68" t="str">
        <f>AND(#REF!,"AAAAAFdz2xQ=")</f>
        <v>#REF!</v>
      </c>
      <c r="V68" t="str">
        <f>AND(#REF!,"AAAAAFdz2xU=")</f>
        <v>#REF!</v>
      </c>
      <c r="W68" t="str">
        <f>AND(#REF!,"AAAAAFdz2xY=")</f>
        <v>#REF!</v>
      </c>
      <c r="X68" t="str">
        <f>IF(#REF!,"AAAAAFdz2xc=",0)</f>
        <v>#REF!</v>
      </c>
      <c r="Y68" t="str">
        <f>AND(#REF!,"AAAAAFdz2xg=")</f>
        <v>#REF!</v>
      </c>
      <c r="Z68" t="str">
        <f>AND(#REF!,"AAAAAFdz2xk=")</f>
        <v>#REF!</v>
      </c>
      <c r="AA68" t="str">
        <f>AND(#REF!,"AAAAAFdz2xo=")</f>
        <v>#REF!</v>
      </c>
      <c r="AB68" t="str">
        <f>IF(#REF!,"AAAAAFdz2xs=",0)</f>
        <v>#REF!</v>
      </c>
      <c r="AC68" t="str">
        <f>IF(#REF!,"AAAAAFdz2xw=",0)</f>
        <v>#REF!</v>
      </c>
      <c r="AD68" t="str">
        <f>IF(#REF!,"AAAAAFdz2x0=",0)</f>
        <v>#REF!</v>
      </c>
      <c r="AE68" t="str">
        <f>IF(#REF!,"AAAAAFdz2x4=",0)</f>
        <v>#REF!</v>
      </c>
      <c r="AF68" t="str">
        <f>IF(#REF!,"AAAAAFdz2x8=",0)</f>
        <v>#REF!</v>
      </c>
      <c r="AG68" t="str">
        <f>IF(#REF!,"AAAAAFdz2yA=",0)</f>
        <v>#REF!</v>
      </c>
      <c r="AH68" t="str">
        <f>IF(#REF!,"AAAAAFdz2yE=",0)</f>
        <v>#REF!</v>
      </c>
      <c r="AI68" t="str">
        <f>IF(#REF!,"AAAAAFdz2yI=",0)</f>
        <v>#REF!</v>
      </c>
      <c r="AJ68" t="str">
        <f>IF(#REF!,"AAAAAFdz2yM=",0)</f>
        <v>#REF!</v>
      </c>
      <c r="AK68" t="str">
        <f>IF(#REF!,"AAAAAFdz2yQ=",0)</f>
        <v>#REF!</v>
      </c>
      <c r="AL68" t="str">
        <f>IF(#REF!,"AAAAAFdz2yU=",0)</f>
        <v>#REF!</v>
      </c>
      <c r="AM68" t="str">
        <f>IF(#REF!,"AAAAAFdz2yY=",0)</f>
        <v>#REF!</v>
      </c>
      <c r="AN68" t="str">
        <f>IF(#REF!,"AAAAAFdz2yc=",0)</f>
        <v>#REF!</v>
      </c>
      <c r="AO68" t="str">
        <f>IF(#REF!,"AAAAAFdz2yg=",0)</f>
        <v>#REF!</v>
      </c>
      <c r="AP68" t="str">
        <f>IF(#REF!,"AAAAAFdz2yk=",0)</f>
        <v>#REF!</v>
      </c>
      <c r="AQ68" t="str">
        <f>IF(#REF!,"AAAAAFdz2yo=",0)</f>
        <v>#REF!</v>
      </c>
      <c r="AR68" t="str">
        <f>IF(#REF!,"AAAAAFdz2ys=",0)</f>
        <v>#REF!</v>
      </c>
      <c r="AS68" t="str">
        <f>IF(#REF!,"AAAAAFdz2yw=",0)</f>
        <v>#REF!</v>
      </c>
      <c r="AT68" t="str">
        <f>IF(#REF!,"AAAAAFdz2y0=",0)</f>
        <v>#REF!</v>
      </c>
      <c r="AU68" t="str">
        <f>IF(#REF!,"AAAAAFdz2y4=",0)</f>
        <v>#REF!</v>
      </c>
      <c r="AV68" t="str">
        <f>IF(#REF!,"AAAAAFdz2y8=",0)</f>
        <v>#REF!</v>
      </c>
      <c r="AW68" t="str">
        <f>IF(#REF!,"AAAAAFdz2zA=",0)</f>
        <v>#REF!</v>
      </c>
      <c r="AX68" t="str">
        <f>IF(#REF!,"AAAAAFdz2zE=",0)</f>
        <v>#REF!</v>
      </c>
      <c r="AY68" t="str">
        <f>IF(#REF!,"AAAAAFdz2zI=",0)</f>
        <v>#REF!</v>
      </c>
      <c r="AZ68" t="str">
        <f>IF(#REF!,"AAAAAFdz2zM=",0)</f>
        <v>#REF!</v>
      </c>
      <c r="BA68" t="str">
        <f>IF(#REF!,"AAAAAFdz2zQ=",0)</f>
        <v>#REF!</v>
      </c>
      <c r="BB68" t="str">
        <f>IF(#REF!,"AAAAAFdz2zU=",0)</f>
        <v>#REF!</v>
      </c>
      <c r="BC68" t="str">
        <f>IF(#REF!,"AAAAAFdz2zY=",0)</f>
        <v>#REF!</v>
      </c>
      <c r="BD68" t="str">
        <f>IF(#REF!,"AAAAAFdz2zc=",0)</f>
        <v>#REF!</v>
      </c>
      <c r="BE68" t="str">
        <f>IF(#REF!,"AAAAAFdz2zg=",0)</f>
        <v>#REF!</v>
      </c>
      <c r="BF68" t="str">
        <f>IF(#REF!,"AAAAAFdz2zk=",0)</f>
        <v>#REF!</v>
      </c>
      <c r="BG68" t="str">
        <f>IF(#REF!,"AAAAAFdz2zo=",0)</f>
        <v>#REF!</v>
      </c>
      <c r="BH68" t="str">
        <f>IF(#REF!,"AAAAAFdz2zs=",0)</f>
        <v>#REF!</v>
      </c>
      <c r="BI68" t="str">
        <f>IF(#REF!,"AAAAAFdz2zw=",0)</f>
        <v>#REF!</v>
      </c>
      <c r="BJ68" t="str">
        <f>IF(#REF!,"AAAAAFdz2z0=",0)</f>
        <v>#REF!</v>
      </c>
      <c r="BK68" t="str">
        <f>IF(#REF!,"AAAAAFdz2z4=",0)</f>
        <v>#REF!</v>
      </c>
      <c r="BL68" t="str">
        <f>IF(#REF!,"AAAAAFdz2z8=",0)</f>
        <v>#REF!</v>
      </c>
      <c r="BM68" t="str">
        <f>IF(#REF!,"AAAAAFdz20A=",0)</f>
        <v>#REF!</v>
      </c>
      <c r="BN68" t="str">
        <f>IF(#REF!,"AAAAAFdz20E=",0)</f>
        <v>#REF!</v>
      </c>
      <c r="BO68" t="str">
        <f>IF(#REF!,"AAAAAFdz20I=",0)</f>
        <v>#REF!</v>
      </c>
      <c r="BP68" t="str">
        <f>IF(#REF!,"AAAAAFdz20M=",0)</f>
        <v>#REF!</v>
      </c>
      <c r="BQ68" t="str">
        <f>IF(#REF!,"AAAAAFdz20Q=",0)</f>
        <v>#REF!</v>
      </c>
      <c r="BR68" t="str">
        <f>IF(#REF!,"AAAAAFdz20U=",0)</f>
        <v>#REF!</v>
      </c>
      <c r="BS68" t="str">
        <f>IF(#REF!,"AAAAAFdz20Y=",0)</f>
        <v>#REF!</v>
      </c>
      <c r="BT68" t="str">
        <f>IF(#REF!,"AAAAAFdz20c=",0)</f>
        <v>#REF!</v>
      </c>
      <c r="BU68" t="str">
        <f>IF(#REF!,"AAAAAFdz20g=",0)</f>
        <v>#REF!</v>
      </c>
      <c r="BV68" t="str">
        <f>IF(#REF!,"AAAAAFdz20k=",0)</f>
        <v>#REF!</v>
      </c>
      <c r="BW68" t="str">
        <f>IF(#REF!,"AAAAAFdz20o=",0)</f>
        <v>#REF!</v>
      </c>
      <c r="BX68" t="str">
        <f>IF(#REF!,"AAAAAFdz20s=",0)</f>
        <v>#REF!</v>
      </c>
      <c r="BY68" t="str">
        <f>IF(#REF!,"AAAAAFdz20w=",0)</f>
        <v>#REF!</v>
      </c>
      <c r="BZ68" t="str">
        <f>IF(#REF!,"AAAAAFdz200=",0)</f>
        <v>#REF!</v>
      </c>
      <c r="CA68" t="str">
        <f>IF(#REF!,"AAAAAFdz204=",0)</f>
        <v>#REF!</v>
      </c>
      <c r="CB68" t="str">
        <f>IF(#REF!,"AAAAAFdz208=",0)</f>
        <v>#REF!</v>
      </c>
      <c r="CC68" t="str">
        <f>IF(#REF!,"AAAAAFdz21A=",0)</f>
        <v>#REF!</v>
      </c>
      <c r="CD68" t="str">
        <f>IF(#REF!,"AAAAAFdz21E=",0)</f>
        <v>#REF!</v>
      </c>
      <c r="CE68" t="str">
        <f>IF(#REF!,"AAAAAFdz21I=",0)</f>
        <v>#REF!</v>
      </c>
      <c r="CF68" t="str">
        <f>IF(#REF!,"AAAAAFdz21M=",0)</f>
        <v>#REF!</v>
      </c>
      <c r="CG68" t="str">
        <f>IF(#REF!,"AAAAAFdz21Q=",0)</f>
        <v>#REF!</v>
      </c>
      <c r="CH68" t="str">
        <f>IF(#REF!,"AAAAAFdz21U=",0)</f>
        <v>#REF!</v>
      </c>
      <c r="CI68" t="str">
        <f>IF(#REF!,"AAAAAFdz21Y=",0)</f>
        <v>#REF!</v>
      </c>
      <c r="CJ68" t="str">
        <f>IF(#REF!,"AAAAAFdz21c=",0)</f>
        <v>#REF!</v>
      </c>
      <c r="CK68" t="str">
        <f>IF(#REF!,"AAAAAFdz21g=",0)</f>
        <v>#REF!</v>
      </c>
      <c r="CL68" t="str">
        <f>IF(#REF!,"AAAAAFdz21k=",0)</f>
        <v>#REF!</v>
      </c>
      <c r="CM68" t="str">
        <f>IF(#REF!,"AAAAAFdz21o=",0)</f>
        <v>#REF!</v>
      </c>
      <c r="CN68" t="str">
        <f>IF(#REF!,"AAAAAFdz21s=",0)</f>
        <v>#REF!</v>
      </c>
      <c r="CO68" t="str">
        <f>IF(#REF!,"AAAAAFdz21w=",0)</f>
        <v>#REF!</v>
      </c>
      <c r="CP68" t="str">
        <f>IF(#REF!,"AAAAAFdz210=",0)</f>
        <v>#REF!</v>
      </c>
      <c r="CQ68" t="str">
        <f>IF(#REF!,"AAAAAFdz214=",0)</f>
        <v>#REF!</v>
      </c>
      <c r="CR68" t="str">
        <f>IF(#REF!,"AAAAAFdz218=",0)</f>
        <v>#REF!</v>
      </c>
      <c r="CS68" t="str">
        <f>IF(#REF!,"AAAAAFdz22A=",0)</f>
        <v>#REF!</v>
      </c>
      <c r="CT68" t="str">
        <f>IF(#REF!,"AAAAAFdz22E=",0)</f>
        <v>#REF!</v>
      </c>
      <c r="CU68" t="str">
        <f>IF(#REF!,"AAAAAFdz22I=",0)</f>
        <v>#REF!</v>
      </c>
      <c r="CV68" t="str">
        <f>IF(#REF!,"AAAAAFdz22M=",0)</f>
        <v>#REF!</v>
      </c>
      <c r="CW68" t="str">
        <f>IF(#REF!,"AAAAAFdz22Q=",0)</f>
        <v>#REF!</v>
      </c>
      <c r="CX68" t="str">
        <f>IF(#REF!,"AAAAAFdz22U=",0)</f>
        <v>#REF!</v>
      </c>
      <c r="CY68" t="str">
        <f>IF(#REF!,"AAAAAFdz22Y=",0)</f>
        <v>#REF!</v>
      </c>
      <c r="CZ68" t="str">
        <f>AND(#REF!,"AAAAAFdz22c=")</f>
        <v>#REF!</v>
      </c>
      <c r="DA68" t="str">
        <f>AND(#REF!,"AAAAAFdz22g=")</f>
        <v>#REF!</v>
      </c>
      <c r="DB68" t="str">
        <f>AND(#REF!,"AAAAAFdz22k=")</f>
        <v>#REF!</v>
      </c>
      <c r="DC68" t="str">
        <f>AND(#REF!,"AAAAAFdz22o=")</f>
        <v>#REF!</v>
      </c>
      <c r="DD68" t="str">
        <f>AND(#REF!,"AAAAAFdz22s=")</f>
        <v>#REF!</v>
      </c>
      <c r="DE68" t="str">
        <f>AND(#REF!,"AAAAAFdz22w=")</f>
        <v>#REF!</v>
      </c>
      <c r="DF68" t="str">
        <f>AND(#REF!,"AAAAAFdz220=")</f>
        <v>#REF!</v>
      </c>
      <c r="DG68" t="str">
        <f>AND(#REF!,"AAAAAFdz224=")</f>
        <v>#REF!</v>
      </c>
      <c r="DH68" t="str">
        <f>AND(#REF!,"AAAAAFdz228=")</f>
        <v>#REF!</v>
      </c>
      <c r="DI68" t="str">
        <f>AND(#REF!,"AAAAAFdz23A=")</f>
        <v>#REF!</v>
      </c>
      <c r="DJ68" t="str">
        <f>AND(#REF!,"AAAAAFdz23E=")</f>
        <v>#REF!</v>
      </c>
      <c r="DK68" t="str">
        <f>AND(#REF!,"AAAAAFdz23I=")</f>
        <v>#REF!</v>
      </c>
      <c r="DL68" t="str">
        <f>AND(#REF!,"AAAAAFdz23M=")</f>
        <v>#REF!</v>
      </c>
      <c r="DM68" t="str">
        <f>AND(#REF!,"AAAAAFdz23Q=")</f>
        <v>#REF!</v>
      </c>
      <c r="DN68" t="str">
        <f>AND(#REF!,"AAAAAFdz23U=")</f>
        <v>#REF!</v>
      </c>
      <c r="DO68" t="str">
        <f>AND(#REF!,"AAAAAFdz23Y=")</f>
        <v>#REF!</v>
      </c>
      <c r="DP68" t="str">
        <f>AND(#REF!,"AAAAAFdz23c=")</f>
        <v>#REF!</v>
      </c>
      <c r="DQ68" t="str">
        <f>AND(#REF!,"AAAAAFdz23g=")</f>
        <v>#REF!</v>
      </c>
      <c r="DR68" t="str">
        <f>AND(#REF!,"AAAAAFdz23k=")</f>
        <v>#REF!</v>
      </c>
      <c r="DS68" t="str">
        <f>AND(#REF!,"AAAAAFdz23o=")</f>
        <v>#REF!</v>
      </c>
      <c r="DT68" t="str">
        <f>AND(#REF!,"AAAAAFdz23s=")</f>
        <v>#REF!</v>
      </c>
      <c r="DU68" t="str">
        <f>AND(#REF!,"AAAAAFdz23w=")</f>
        <v>#REF!</v>
      </c>
      <c r="DV68" t="str">
        <f>AND(#REF!,"AAAAAFdz230=")</f>
        <v>#REF!</v>
      </c>
      <c r="DW68" t="str">
        <f>AND(#REF!,"AAAAAFdz234=")</f>
        <v>#REF!</v>
      </c>
      <c r="DX68" t="str">
        <f>AND(#REF!,"AAAAAFdz238=")</f>
        <v>#REF!</v>
      </c>
      <c r="DY68" t="str">
        <f>AND(#REF!,"AAAAAFdz24A=")</f>
        <v>#REF!</v>
      </c>
      <c r="DZ68" t="str">
        <f>AND(#REF!,"AAAAAFdz24E=")</f>
        <v>#REF!</v>
      </c>
      <c r="EA68" t="str">
        <f>AND(#REF!,"AAAAAFdz24I=")</f>
        <v>#REF!</v>
      </c>
      <c r="EB68" t="str">
        <f>AND(#REF!,"AAAAAFdz24M=")</f>
        <v>#REF!</v>
      </c>
      <c r="EC68" t="str">
        <f>AND(#REF!,"AAAAAFdz24Q=")</f>
        <v>#REF!</v>
      </c>
      <c r="ED68" t="str">
        <f>AND(#REF!,"AAAAAFdz24U=")</f>
        <v>#REF!</v>
      </c>
      <c r="EE68" t="str">
        <f>AND(#REF!,"AAAAAFdz24Y=")</f>
        <v>#REF!</v>
      </c>
      <c r="EF68" t="str">
        <f>AND(#REF!,"AAAAAFdz24c=")</f>
        <v>#REF!</v>
      </c>
      <c r="EG68" t="str">
        <f>AND(#REF!,"AAAAAFdz24g=")</f>
        <v>#REF!</v>
      </c>
      <c r="EH68" t="str">
        <f>AND(#REF!,"AAAAAFdz24k=")</f>
        <v>#REF!</v>
      </c>
      <c r="EI68" t="str">
        <f>AND(#REF!,"AAAAAFdz24o=")</f>
        <v>#REF!</v>
      </c>
      <c r="EJ68" t="str">
        <f>AND(#REF!,"AAAAAFdz24s=")</f>
        <v>#REF!</v>
      </c>
      <c r="EK68" t="str">
        <f>AND(#REF!,"AAAAAFdz24w=")</f>
        <v>#REF!</v>
      </c>
      <c r="EL68" t="str">
        <f>AND(#REF!,"AAAAAFdz240=")</f>
        <v>#REF!</v>
      </c>
      <c r="EM68" t="str">
        <f>AND(#REF!,"AAAAAFdz244=")</f>
        <v>#REF!</v>
      </c>
      <c r="EN68" t="str">
        <f>AND(#REF!,"AAAAAFdz248=")</f>
        <v>#REF!</v>
      </c>
      <c r="EO68" t="str">
        <f>AND(#REF!,"AAAAAFdz25A=")</f>
        <v>#REF!</v>
      </c>
      <c r="EP68" t="str">
        <f>AND(#REF!,"AAAAAFdz25E=")</f>
        <v>#REF!</v>
      </c>
      <c r="EQ68" t="str">
        <f>AND(#REF!,"AAAAAFdz25I=")</f>
        <v>#REF!</v>
      </c>
      <c r="ER68" t="str">
        <f>AND(#REF!,"AAAAAFdz25M=")</f>
        <v>#REF!</v>
      </c>
      <c r="ES68" t="str">
        <f>AND(#REF!,"AAAAAFdz25Q=")</f>
        <v>#REF!</v>
      </c>
      <c r="ET68" t="str">
        <f>AND(#REF!,"AAAAAFdz25U=")</f>
        <v>#REF!</v>
      </c>
      <c r="EU68" t="str">
        <f>AND(#REF!,"AAAAAFdz25Y=")</f>
        <v>#REF!</v>
      </c>
      <c r="EV68" t="str">
        <f>AND(#REF!,"AAAAAFdz25c=")</f>
        <v>#REF!</v>
      </c>
      <c r="EW68" t="str">
        <f>AND(#REF!,"AAAAAFdz25g=")</f>
        <v>#REF!</v>
      </c>
      <c r="EX68" t="str">
        <f>AND(#REF!,"AAAAAFdz25k=")</f>
        <v>#REF!</v>
      </c>
      <c r="EY68" t="str">
        <f>AND(#REF!,"AAAAAFdz25o=")</f>
        <v>#REF!</v>
      </c>
      <c r="EZ68" t="str">
        <f>AND(#REF!,"AAAAAFdz25s=")</f>
        <v>#REF!</v>
      </c>
      <c r="FA68" t="str">
        <f>AND(#REF!,"AAAAAFdz25w=")</f>
        <v>#REF!</v>
      </c>
      <c r="FB68" t="str">
        <f>AND(#REF!,"AAAAAFdz250=")</f>
        <v>#REF!</v>
      </c>
      <c r="FC68" t="str">
        <f>AND(#REF!,"AAAAAFdz254=")</f>
        <v>#REF!</v>
      </c>
      <c r="FD68" t="str">
        <f>AND(#REF!,"AAAAAFdz258=")</f>
        <v>#REF!</v>
      </c>
      <c r="FE68" t="str">
        <f>AND(#REF!,"AAAAAFdz26A=")</f>
        <v>#REF!</v>
      </c>
      <c r="FF68" t="str">
        <f>AND(#REF!,"AAAAAFdz26E=")</f>
        <v>#REF!</v>
      </c>
      <c r="FG68" t="str">
        <f>AND(#REF!,"AAAAAFdz26I=")</f>
        <v>#REF!</v>
      </c>
      <c r="FH68" t="str">
        <f>AND(#REF!,"AAAAAFdz26M=")</f>
        <v>#REF!</v>
      </c>
      <c r="FI68" t="str">
        <f>AND(#REF!,"AAAAAFdz26Q=")</f>
        <v>#REF!</v>
      </c>
      <c r="FJ68" t="str">
        <f>AND(#REF!,"AAAAAFdz26U=")</f>
        <v>#REF!</v>
      </c>
      <c r="FK68" t="str">
        <f>AND(#REF!,"AAAAAFdz26Y=")</f>
        <v>#REF!</v>
      </c>
      <c r="FL68" t="str">
        <f>AND(#REF!,"AAAAAFdz26c=")</f>
        <v>#REF!</v>
      </c>
      <c r="FM68" t="str">
        <f>AND(#REF!,"AAAAAFdz26g=")</f>
        <v>#REF!</v>
      </c>
      <c r="FN68" t="str">
        <f>AND(#REF!,"AAAAAFdz26k=")</f>
        <v>#REF!</v>
      </c>
      <c r="FO68" t="str">
        <f>AND(#REF!,"AAAAAFdz26o=")</f>
        <v>#REF!</v>
      </c>
      <c r="FP68" t="str">
        <f>AND(#REF!,"AAAAAFdz26s=")</f>
        <v>#REF!</v>
      </c>
      <c r="FQ68" t="str">
        <f>AND(#REF!,"AAAAAFdz26w=")</f>
        <v>#REF!</v>
      </c>
      <c r="FR68" t="str">
        <f>AND(#REF!,"AAAAAFdz260=")</f>
        <v>#REF!</v>
      </c>
      <c r="FS68" t="str">
        <f>AND(#REF!,"AAAAAFdz264=")</f>
        <v>#REF!</v>
      </c>
      <c r="FT68" t="str">
        <f>AND(#REF!,"AAAAAFdz268=")</f>
        <v>#REF!</v>
      </c>
      <c r="FU68" t="str">
        <f>AND(#REF!,"AAAAAFdz27A=")</f>
        <v>#REF!</v>
      </c>
      <c r="FV68" t="str">
        <f>AND(#REF!,"AAAAAFdz27E=")</f>
        <v>#REF!</v>
      </c>
      <c r="FW68" t="str">
        <f>IF(#REF!,"AAAAAFdz27I=",0)</f>
        <v>#REF!</v>
      </c>
      <c r="FX68" t="str">
        <f>AND(#REF!,"AAAAAFdz27M=")</f>
        <v>#REF!</v>
      </c>
      <c r="FY68" t="str">
        <f>AND(#REF!,"AAAAAFdz27Q=")</f>
        <v>#REF!</v>
      </c>
      <c r="FZ68" t="str">
        <f>AND(#REF!,"AAAAAFdz27U=")</f>
        <v>#REF!</v>
      </c>
      <c r="GA68" t="str">
        <f>AND(#REF!,"AAAAAFdz27Y=")</f>
        <v>#REF!</v>
      </c>
      <c r="GB68" t="str">
        <f>AND(#REF!,"AAAAAFdz27c=")</f>
        <v>#REF!</v>
      </c>
      <c r="GC68" t="str">
        <f>AND(#REF!,"AAAAAFdz27g=")</f>
        <v>#REF!</v>
      </c>
      <c r="GD68" t="str">
        <f>AND(#REF!,"AAAAAFdz27k=")</f>
        <v>#REF!</v>
      </c>
      <c r="GE68" t="str">
        <f>AND(#REF!,"AAAAAFdz27o=")</f>
        <v>#REF!</v>
      </c>
      <c r="GF68" t="str">
        <f>AND(#REF!,"AAAAAFdz27s=")</f>
        <v>#REF!</v>
      </c>
      <c r="GG68" t="str">
        <f>AND(#REF!,"AAAAAFdz27w=")</f>
        <v>#REF!</v>
      </c>
      <c r="GH68" t="str">
        <f>AND(#REF!,"AAAAAFdz270=")</f>
        <v>#REF!</v>
      </c>
      <c r="GI68" t="str">
        <f>AND(#REF!,"AAAAAFdz274=")</f>
        <v>#REF!</v>
      </c>
      <c r="GJ68" t="str">
        <f>AND(#REF!,"AAAAAFdz278=")</f>
        <v>#REF!</v>
      </c>
      <c r="GK68" t="str">
        <f>AND(#REF!,"AAAAAFdz28A=")</f>
        <v>#REF!</v>
      </c>
      <c r="GL68" t="str">
        <f>AND(#REF!,"AAAAAFdz28E=")</f>
        <v>#REF!</v>
      </c>
      <c r="GM68" t="str">
        <f>AND(#REF!,"AAAAAFdz28I=")</f>
        <v>#REF!</v>
      </c>
      <c r="GN68" t="str">
        <f>AND(#REF!,"AAAAAFdz28M=")</f>
        <v>#REF!</v>
      </c>
      <c r="GO68" t="str">
        <f>AND(#REF!,"AAAAAFdz28Q=")</f>
        <v>#REF!</v>
      </c>
      <c r="GP68" t="str">
        <f>AND(#REF!,"AAAAAFdz28U=")</f>
        <v>#REF!</v>
      </c>
      <c r="GQ68" t="str">
        <f>AND(#REF!,"AAAAAFdz28Y=")</f>
        <v>#REF!</v>
      </c>
      <c r="GR68" t="str">
        <f>AND(#REF!,"AAAAAFdz28c=")</f>
        <v>#REF!</v>
      </c>
      <c r="GS68" t="str">
        <f>AND(#REF!,"AAAAAFdz28g=")</f>
        <v>#REF!</v>
      </c>
      <c r="GT68" t="str">
        <f>AND(#REF!,"AAAAAFdz28k=")</f>
        <v>#REF!</v>
      </c>
      <c r="GU68" t="str">
        <f>AND(#REF!,"AAAAAFdz28o=")</f>
        <v>#REF!</v>
      </c>
      <c r="GV68" t="str">
        <f>AND(#REF!,"AAAAAFdz28s=")</f>
        <v>#REF!</v>
      </c>
      <c r="GW68" t="str">
        <f>AND(#REF!,"AAAAAFdz28w=")</f>
        <v>#REF!</v>
      </c>
      <c r="GX68" t="str">
        <f>AND(#REF!,"AAAAAFdz280=")</f>
        <v>#REF!</v>
      </c>
      <c r="GY68" t="str">
        <f>AND(#REF!,"AAAAAFdz284=")</f>
        <v>#REF!</v>
      </c>
      <c r="GZ68" t="str">
        <f>AND(#REF!,"AAAAAFdz288=")</f>
        <v>#REF!</v>
      </c>
      <c r="HA68" t="str">
        <f>AND(#REF!,"AAAAAFdz29A=")</f>
        <v>#REF!</v>
      </c>
      <c r="HB68" t="str">
        <f>AND(#REF!,"AAAAAFdz29E=")</f>
        <v>#REF!</v>
      </c>
      <c r="HC68" t="str">
        <f>AND(#REF!,"AAAAAFdz29I=")</f>
        <v>#REF!</v>
      </c>
      <c r="HD68" t="str">
        <f>AND(#REF!,"AAAAAFdz29M=")</f>
        <v>#REF!</v>
      </c>
      <c r="HE68" t="str">
        <f>AND(#REF!,"AAAAAFdz29Q=")</f>
        <v>#REF!</v>
      </c>
      <c r="HF68" t="str">
        <f>AND(#REF!,"AAAAAFdz29U=")</f>
        <v>#REF!</v>
      </c>
      <c r="HG68" t="str">
        <f>AND(#REF!,"AAAAAFdz29Y=")</f>
        <v>#REF!</v>
      </c>
      <c r="HH68" t="str">
        <f>AND(#REF!,"AAAAAFdz29c=")</f>
        <v>#REF!</v>
      </c>
      <c r="HI68" t="str">
        <f>AND(#REF!,"AAAAAFdz29g=")</f>
        <v>#REF!</v>
      </c>
      <c r="HJ68" t="str">
        <f>AND(#REF!,"AAAAAFdz29k=")</f>
        <v>#REF!</v>
      </c>
      <c r="HK68" t="str">
        <f>AND(#REF!,"AAAAAFdz29o=")</f>
        <v>#REF!</v>
      </c>
      <c r="HL68" t="str">
        <f>AND(#REF!,"AAAAAFdz29s=")</f>
        <v>#REF!</v>
      </c>
      <c r="HM68" t="str">
        <f>AND(#REF!,"AAAAAFdz29w=")</f>
        <v>#REF!</v>
      </c>
      <c r="HN68" t="str">
        <f>AND(#REF!,"AAAAAFdz290=")</f>
        <v>#REF!</v>
      </c>
      <c r="HO68" t="str">
        <f>AND(#REF!,"AAAAAFdz294=")</f>
        <v>#REF!</v>
      </c>
      <c r="HP68" t="str">
        <f>AND(#REF!,"AAAAAFdz298=")</f>
        <v>#REF!</v>
      </c>
      <c r="HQ68" t="str">
        <f>AND(#REF!,"AAAAAFdz2+A=")</f>
        <v>#REF!</v>
      </c>
      <c r="HR68" t="str">
        <f>AND(#REF!,"AAAAAFdz2+E=")</f>
        <v>#REF!</v>
      </c>
      <c r="HS68" t="str">
        <f>AND(#REF!,"AAAAAFdz2+I=")</f>
        <v>#REF!</v>
      </c>
      <c r="HT68" t="str">
        <f>AND(#REF!,"AAAAAFdz2+M=")</f>
        <v>#REF!</v>
      </c>
      <c r="HU68" t="str">
        <f>AND(#REF!,"AAAAAFdz2+Q=")</f>
        <v>#REF!</v>
      </c>
      <c r="HV68" t="str">
        <f>AND(#REF!,"AAAAAFdz2+U=")</f>
        <v>#REF!</v>
      </c>
      <c r="HW68" t="str">
        <f>AND(#REF!,"AAAAAFdz2+Y=")</f>
        <v>#REF!</v>
      </c>
      <c r="HX68" t="str">
        <f>AND(#REF!,"AAAAAFdz2+c=")</f>
        <v>#REF!</v>
      </c>
      <c r="HY68" t="str">
        <f>AND(#REF!,"AAAAAFdz2+g=")</f>
        <v>#REF!</v>
      </c>
      <c r="HZ68" t="str">
        <f>AND(#REF!,"AAAAAFdz2+k=")</f>
        <v>#REF!</v>
      </c>
      <c r="IA68" t="str">
        <f>AND(#REF!,"AAAAAFdz2+o=")</f>
        <v>#REF!</v>
      </c>
      <c r="IB68" t="str">
        <f>AND(#REF!,"AAAAAFdz2+s=")</f>
        <v>#REF!</v>
      </c>
      <c r="IC68" t="str">
        <f>AND(#REF!,"AAAAAFdz2+w=")</f>
        <v>#REF!</v>
      </c>
      <c r="ID68" t="str">
        <f>AND(#REF!,"AAAAAFdz2+0=")</f>
        <v>#REF!</v>
      </c>
      <c r="IE68" t="str">
        <f>AND(#REF!,"AAAAAFdz2+4=")</f>
        <v>#REF!</v>
      </c>
      <c r="IF68" t="str">
        <f>AND(#REF!,"AAAAAFdz2+8=")</f>
        <v>#REF!</v>
      </c>
      <c r="IG68" t="str">
        <f>AND(#REF!,"AAAAAFdz2/A=")</f>
        <v>#REF!</v>
      </c>
      <c r="IH68" t="str">
        <f>AND(#REF!,"AAAAAFdz2/E=")</f>
        <v>#REF!</v>
      </c>
      <c r="II68" t="str">
        <f>AND(#REF!,"AAAAAFdz2/I=")</f>
        <v>#REF!</v>
      </c>
      <c r="IJ68" t="str">
        <f>AND(#REF!,"AAAAAFdz2/M=")</f>
        <v>#REF!</v>
      </c>
      <c r="IK68" t="str">
        <f>AND(#REF!,"AAAAAFdz2/Q=")</f>
        <v>#REF!</v>
      </c>
      <c r="IL68" t="str">
        <f>AND(#REF!,"AAAAAFdz2/U=")</f>
        <v>#REF!</v>
      </c>
      <c r="IM68" t="str">
        <f>AND(#REF!,"AAAAAFdz2/Y=")</f>
        <v>#REF!</v>
      </c>
      <c r="IN68" t="str">
        <f>AND(#REF!,"AAAAAFdz2/c=")</f>
        <v>#REF!</v>
      </c>
      <c r="IO68" t="str">
        <f>AND(#REF!,"AAAAAFdz2/g=")</f>
        <v>#REF!</v>
      </c>
      <c r="IP68" t="str">
        <f>AND(#REF!,"AAAAAFdz2/k=")</f>
        <v>#REF!</v>
      </c>
      <c r="IQ68" t="str">
        <f>AND(#REF!,"AAAAAFdz2/o=")</f>
        <v>#REF!</v>
      </c>
      <c r="IR68" t="str">
        <f>AND(#REF!,"AAAAAFdz2/s=")</f>
        <v>#REF!</v>
      </c>
      <c r="IS68" t="str">
        <f>AND(#REF!,"AAAAAFdz2/w=")</f>
        <v>#REF!</v>
      </c>
      <c r="IT68" t="str">
        <f>AND(#REF!,"AAAAAFdz2/0=")</f>
        <v>#REF!</v>
      </c>
      <c r="IU68" t="str">
        <f>IF(#REF!,"AAAAAFdz2/4=",0)</f>
        <v>#REF!</v>
      </c>
      <c r="IV68" t="str">
        <f>AND(#REF!,"AAAAAFdz2/8=")</f>
        <v>#REF!</v>
      </c>
    </row>
    <row r="69" ht="15.75" customHeight="1">
      <c r="A69" t="str">
        <f>AND(#REF!,"AAAAAFf82wA=")</f>
        <v>#REF!</v>
      </c>
      <c r="B69" t="str">
        <f>AND(#REF!,"AAAAAFf82wE=")</f>
        <v>#REF!</v>
      </c>
      <c r="C69" t="str">
        <f>AND(#REF!,"AAAAAFf82wI=")</f>
        <v>#REF!</v>
      </c>
      <c r="D69" t="str">
        <f>AND(#REF!,"AAAAAFf82wM=")</f>
        <v>#REF!</v>
      </c>
      <c r="E69" t="str">
        <f>AND(#REF!,"AAAAAFf82wQ=")</f>
        <v>#REF!</v>
      </c>
      <c r="F69" t="str">
        <f>AND(#REF!,"AAAAAFf82wU=")</f>
        <v>#REF!</v>
      </c>
      <c r="G69" t="str">
        <f>AND(#REF!,"AAAAAFf82wY=")</f>
        <v>#REF!</v>
      </c>
      <c r="H69" t="str">
        <f>AND(#REF!,"AAAAAFf82wc=")</f>
        <v>#REF!</v>
      </c>
      <c r="I69" t="str">
        <f>AND(#REF!,"AAAAAFf82wg=")</f>
        <v>#REF!</v>
      </c>
      <c r="J69" t="str">
        <f>AND(#REF!,"AAAAAFf82wk=")</f>
        <v>#REF!</v>
      </c>
      <c r="K69" t="str">
        <f>AND(#REF!,"AAAAAFf82wo=")</f>
        <v>#REF!</v>
      </c>
      <c r="L69" t="str">
        <f>AND(#REF!,"AAAAAFf82ws=")</f>
        <v>#REF!</v>
      </c>
      <c r="M69" t="str">
        <f>AND(#REF!,"AAAAAFf82ww=")</f>
        <v>#REF!</v>
      </c>
      <c r="N69" t="str">
        <f>AND(#REF!,"AAAAAFf82w0=")</f>
        <v>#REF!</v>
      </c>
      <c r="O69" t="str">
        <f>AND(#REF!,"AAAAAFf82w4=")</f>
        <v>#REF!</v>
      </c>
      <c r="P69" t="str">
        <f>AND(#REF!,"AAAAAFf82w8=")</f>
        <v>#REF!</v>
      </c>
      <c r="Q69" t="str">
        <f>AND(#REF!,"AAAAAFf82xA=")</f>
        <v>#REF!</v>
      </c>
      <c r="R69" t="str">
        <f>AND(#REF!,"AAAAAFf82xE=")</f>
        <v>#REF!</v>
      </c>
      <c r="S69" t="str">
        <f>AND(#REF!,"AAAAAFf82xI=")</f>
        <v>#REF!</v>
      </c>
      <c r="T69" t="str">
        <f>AND(#REF!,"AAAAAFf82xM=")</f>
        <v>#REF!</v>
      </c>
      <c r="U69" t="str">
        <f>AND(#REF!,"AAAAAFf82xQ=")</f>
        <v>#REF!</v>
      </c>
      <c r="V69" t="str">
        <f>AND(#REF!,"AAAAAFf82xU=")</f>
        <v>#REF!</v>
      </c>
      <c r="W69" t="str">
        <f>AND(#REF!,"AAAAAFf82xY=")</f>
        <v>#REF!</v>
      </c>
      <c r="X69" t="str">
        <f>AND(#REF!,"AAAAAFf82xc=")</f>
        <v>#REF!</v>
      </c>
      <c r="Y69" t="str">
        <f>AND(#REF!,"AAAAAFf82xg=")</f>
        <v>#REF!</v>
      </c>
      <c r="Z69" t="str">
        <f>AND(#REF!,"AAAAAFf82xk=")</f>
        <v>#REF!</v>
      </c>
      <c r="AA69" t="str">
        <f>AND(#REF!,"AAAAAFf82xo=")</f>
        <v>#REF!</v>
      </c>
      <c r="AB69" t="str">
        <f>AND(#REF!,"AAAAAFf82xs=")</f>
        <v>#REF!</v>
      </c>
      <c r="AC69" t="str">
        <f>AND(#REF!,"AAAAAFf82xw=")</f>
        <v>#REF!</v>
      </c>
      <c r="AD69" t="str">
        <f>AND(#REF!,"AAAAAFf82x0=")</f>
        <v>#REF!</v>
      </c>
      <c r="AE69" t="str">
        <f>AND(#REF!,"AAAAAFf82x4=")</f>
        <v>#REF!</v>
      </c>
      <c r="AF69" t="str">
        <f>AND(#REF!,"AAAAAFf82x8=")</f>
        <v>#REF!</v>
      </c>
      <c r="AG69" t="str">
        <f>AND(#REF!,"AAAAAFf82yA=")</f>
        <v>#REF!</v>
      </c>
      <c r="AH69" t="str">
        <f>AND(#REF!,"AAAAAFf82yE=")</f>
        <v>#REF!</v>
      </c>
      <c r="AI69" t="str">
        <f>AND(#REF!,"AAAAAFf82yI=")</f>
        <v>#REF!</v>
      </c>
      <c r="AJ69" t="str">
        <f>AND(#REF!,"AAAAAFf82yM=")</f>
        <v>#REF!</v>
      </c>
      <c r="AK69" t="str">
        <f>AND(#REF!,"AAAAAFf82yQ=")</f>
        <v>#REF!</v>
      </c>
      <c r="AL69" t="str">
        <f>AND(#REF!,"AAAAAFf82yU=")</f>
        <v>#REF!</v>
      </c>
      <c r="AM69" t="str">
        <f>AND(#REF!,"AAAAAFf82yY=")</f>
        <v>#REF!</v>
      </c>
      <c r="AN69" t="str">
        <f>AND(#REF!,"AAAAAFf82yc=")</f>
        <v>#REF!</v>
      </c>
      <c r="AO69" t="str">
        <f>AND(#REF!,"AAAAAFf82yg=")</f>
        <v>#REF!</v>
      </c>
      <c r="AP69" t="str">
        <f>AND(#REF!,"AAAAAFf82yk=")</f>
        <v>#REF!</v>
      </c>
      <c r="AQ69" t="str">
        <f>AND(#REF!,"AAAAAFf82yo=")</f>
        <v>#REF!</v>
      </c>
      <c r="AR69" t="str">
        <f>AND(#REF!,"AAAAAFf82ys=")</f>
        <v>#REF!</v>
      </c>
      <c r="AS69" t="str">
        <f>AND(#REF!,"AAAAAFf82yw=")</f>
        <v>#REF!</v>
      </c>
      <c r="AT69" t="str">
        <f>AND(#REF!,"AAAAAFf82y0=")</f>
        <v>#REF!</v>
      </c>
      <c r="AU69" t="str">
        <f>AND(#REF!,"AAAAAFf82y4=")</f>
        <v>#REF!</v>
      </c>
      <c r="AV69" t="str">
        <f>AND(#REF!,"AAAAAFf82y8=")</f>
        <v>#REF!</v>
      </c>
      <c r="AW69" t="str">
        <f>AND(#REF!,"AAAAAFf82zA=")</f>
        <v>#REF!</v>
      </c>
      <c r="AX69" t="str">
        <f>AND(#REF!,"AAAAAFf82zE=")</f>
        <v>#REF!</v>
      </c>
      <c r="AY69" t="str">
        <f>AND(#REF!,"AAAAAFf82zI=")</f>
        <v>#REF!</v>
      </c>
      <c r="AZ69" t="str">
        <f>AND(#REF!,"AAAAAFf82zM=")</f>
        <v>#REF!</v>
      </c>
      <c r="BA69" t="str">
        <f>AND(#REF!,"AAAAAFf82zQ=")</f>
        <v>#REF!</v>
      </c>
      <c r="BB69" t="str">
        <f>AND(#REF!,"AAAAAFf82zU=")</f>
        <v>#REF!</v>
      </c>
      <c r="BC69" t="str">
        <f>AND(#REF!,"AAAAAFf82zY=")</f>
        <v>#REF!</v>
      </c>
      <c r="BD69" t="str">
        <f>AND(#REF!,"AAAAAFf82zc=")</f>
        <v>#REF!</v>
      </c>
      <c r="BE69" t="str">
        <f>AND(#REF!,"AAAAAFf82zg=")</f>
        <v>#REF!</v>
      </c>
      <c r="BF69" t="str">
        <f>AND(#REF!,"AAAAAFf82zk=")</f>
        <v>#REF!</v>
      </c>
      <c r="BG69" t="str">
        <f>AND(#REF!,"AAAAAFf82zo=")</f>
        <v>#REF!</v>
      </c>
      <c r="BH69" t="str">
        <f>AND(#REF!,"AAAAAFf82zs=")</f>
        <v>#REF!</v>
      </c>
      <c r="BI69" t="str">
        <f>AND(#REF!,"AAAAAFf82zw=")</f>
        <v>#REF!</v>
      </c>
      <c r="BJ69" t="str">
        <f>AND(#REF!,"AAAAAFf82z0=")</f>
        <v>#REF!</v>
      </c>
      <c r="BK69" t="str">
        <f>AND(#REF!,"AAAAAFf82z4=")</f>
        <v>#REF!</v>
      </c>
      <c r="BL69" t="str">
        <f>AND(#REF!,"AAAAAFf82z8=")</f>
        <v>#REF!</v>
      </c>
      <c r="BM69" t="str">
        <f>AND(#REF!,"AAAAAFf820A=")</f>
        <v>#REF!</v>
      </c>
      <c r="BN69" t="str">
        <f>AND(#REF!,"AAAAAFf820E=")</f>
        <v>#REF!</v>
      </c>
      <c r="BO69" t="str">
        <f>AND(#REF!,"AAAAAFf820I=")</f>
        <v>#REF!</v>
      </c>
      <c r="BP69" t="str">
        <f>AND(#REF!,"AAAAAFf820M=")</f>
        <v>#REF!</v>
      </c>
      <c r="BQ69" t="str">
        <f>AND(#REF!,"AAAAAFf820Q=")</f>
        <v>#REF!</v>
      </c>
      <c r="BR69" t="str">
        <f>AND(#REF!,"AAAAAFf820U=")</f>
        <v>#REF!</v>
      </c>
      <c r="BS69" t="str">
        <f>AND(#REF!,"AAAAAFf820Y=")</f>
        <v>#REF!</v>
      </c>
      <c r="BT69" t="str">
        <f>AND(#REF!,"AAAAAFf820c=")</f>
        <v>#REF!</v>
      </c>
      <c r="BU69" t="str">
        <f>AND(#REF!,"AAAAAFf820g=")</f>
        <v>#REF!</v>
      </c>
      <c r="BV69" t="str">
        <f>AND(#REF!,"AAAAAFf820k=")</f>
        <v>#REF!</v>
      </c>
      <c r="BW69" t="str">
        <f>IF(#REF!,"AAAAAFf820o=",0)</f>
        <v>#REF!</v>
      </c>
      <c r="BX69" t="str">
        <f>AND(#REF!,"AAAAAFf820s=")</f>
        <v>#REF!</v>
      </c>
      <c r="BY69" t="str">
        <f>AND(#REF!,"AAAAAFf820w=")</f>
        <v>#REF!</v>
      </c>
      <c r="BZ69" t="str">
        <f>AND(#REF!,"AAAAAFf8200=")</f>
        <v>#REF!</v>
      </c>
      <c r="CA69" t="str">
        <f>AND(#REF!,"AAAAAFf8204=")</f>
        <v>#REF!</v>
      </c>
      <c r="CB69" t="str">
        <f>AND(#REF!,"AAAAAFf8208=")</f>
        <v>#REF!</v>
      </c>
      <c r="CC69" t="str">
        <f>AND(#REF!,"AAAAAFf821A=")</f>
        <v>#REF!</v>
      </c>
      <c r="CD69" t="str">
        <f>AND(#REF!,"AAAAAFf821E=")</f>
        <v>#REF!</v>
      </c>
      <c r="CE69" t="str">
        <f>AND(#REF!,"AAAAAFf821I=")</f>
        <v>#REF!</v>
      </c>
      <c r="CF69" t="str">
        <f>AND(#REF!,"AAAAAFf821M=")</f>
        <v>#REF!</v>
      </c>
      <c r="CG69" t="str">
        <f>AND(#REF!,"AAAAAFf821Q=")</f>
        <v>#REF!</v>
      </c>
      <c r="CH69" t="str">
        <f>AND(#REF!,"AAAAAFf821U=")</f>
        <v>#REF!</v>
      </c>
      <c r="CI69" t="str">
        <f>AND(#REF!,"AAAAAFf821Y=")</f>
        <v>#REF!</v>
      </c>
      <c r="CJ69" t="str">
        <f>AND(#REF!,"AAAAAFf821c=")</f>
        <v>#REF!</v>
      </c>
      <c r="CK69" t="str">
        <f>AND(#REF!,"AAAAAFf821g=")</f>
        <v>#REF!</v>
      </c>
      <c r="CL69" t="str">
        <f>AND(#REF!,"AAAAAFf821k=")</f>
        <v>#REF!</v>
      </c>
      <c r="CM69" t="str">
        <f>AND(#REF!,"AAAAAFf821o=")</f>
        <v>#REF!</v>
      </c>
      <c r="CN69" t="str">
        <f>AND(#REF!,"AAAAAFf821s=")</f>
        <v>#REF!</v>
      </c>
      <c r="CO69" t="str">
        <f>AND(#REF!,"AAAAAFf821w=")</f>
        <v>#REF!</v>
      </c>
      <c r="CP69" t="str">
        <f>AND(#REF!,"AAAAAFf8210=")</f>
        <v>#REF!</v>
      </c>
      <c r="CQ69" t="str">
        <f>AND(#REF!,"AAAAAFf8214=")</f>
        <v>#REF!</v>
      </c>
      <c r="CR69" t="str">
        <f>AND(#REF!,"AAAAAFf8218=")</f>
        <v>#REF!</v>
      </c>
      <c r="CS69" t="str">
        <f>AND(#REF!,"AAAAAFf822A=")</f>
        <v>#REF!</v>
      </c>
      <c r="CT69" t="str">
        <f>AND(#REF!,"AAAAAFf822E=")</f>
        <v>#REF!</v>
      </c>
      <c r="CU69" t="str">
        <f>AND(#REF!,"AAAAAFf822I=")</f>
        <v>#REF!</v>
      </c>
      <c r="CV69" t="str">
        <f>AND(#REF!,"AAAAAFf822M=")</f>
        <v>#REF!</v>
      </c>
      <c r="CW69" t="str">
        <f>AND(#REF!,"AAAAAFf822Q=")</f>
        <v>#REF!</v>
      </c>
      <c r="CX69" t="str">
        <f>AND(#REF!,"AAAAAFf822U=")</f>
        <v>#REF!</v>
      </c>
      <c r="CY69" t="str">
        <f>AND(#REF!,"AAAAAFf822Y=")</f>
        <v>#REF!</v>
      </c>
      <c r="CZ69" t="str">
        <f>AND(#REF!,"AAAAAFf822c=")</f>
        <v>#REF!</v>
      </c>
      <c r="DA69" t="str">
        <f>AND(#REF!,"AAAAAFf822g=")</f>
        <v>#REF!</v>
      </c>
      <c r="DB69" t="str">
        <f>AND(#REF!,"AAAAAFf822k=")</f>
        <v>#REF!</v>
      </c>
      <c r="DC69" t="str">
        <f>AND(#REF!,"AAAAAFf822o=")</f>
        <v>#REF!</v>
      </c>
      <c r="DD69" t="str">
        <f>AND(#REF!,"AAAAAFf822s=")</f>
        <v>#REF!</v>
      </c>
      <c r="DE69" t="str">
        <f>AND(#REF!,"AAAAAFf822w=")</f>
        <v>#REF!</v>
      </c>
      <c r="DF69" t="str">
        <f>AND(#REF!,"AAAAAFf8220=")</f>
        <v>#REF!</v>
      </c>
      <c r="DG69" t="str">
        <f>AND(#REF!,"AAAAAFf8224=")</f>
        <v>#REF!</v>
      </c>
      <c r="DH69" t="str">
        <f>AND(#REF!,"AAAAAFf8228=")</f>
        <v>#REF!</v>
      </c>
      <c r="DI69" t="str">
        <f>AND(#REF!,"AAAAAFf823A=")</f>
        <v>#REF!</v>
      </c>
      <c r="DJ69" t="str">
        <f>AND(#REF!,"AAAAAFf823E=")</f>
        <v>#REF!</v>
      </c>
      <c r="DK69" t="str">
        <f>AND(#REF!,"AAAAAFf823I=")</f>
        <v>#REF!</v>
      </c>
      <c r="DL69" t="str">
        <f>AND(#REF!,"AAAAAFf823M=")</f>
        <v>#REF!</v>
      </c>
      <c r="DM69" t="str">
        <f>AND(#REF!,"AAAAAFf823Q=")</f>
        <v>#REF!</v>
      </c>
      <c r="DN69" t="str">
        <f>AND(#REF!,"AAAAAFf823U=")</f>
        <v>#REF!</v>
      </c>
      <c r="DO69" t="str">
        <f>AND(#REF!,"AAAAAFf823Y=")</f>
        <v>#REF!</v>
      </c>
      <c r="DP69" t="str">
        <f>AND(#REF!,"AAAAAFf823c=")</f>
        <v>#REF!</v>
      </c>
      <c r="DQ69" t="str">
        <f>AND(#REF!,"AAAAAFf823g=")</f>
        <v>#REF!</v>
      </c>
      <c r="DR69" t="str">
        <f>AND(#REF!,"AAAAAFf823k=")</f>
        <v>#REF!</v>
      </c>
      <c r="DS69" t="str">
        <f>AND(#REF!,"AAAAAFf823o=")</f>
        <v>#REF!</v>
      </c>
      <c r="DT69" t="str">
        <f>AND(#REF!,"AAAAAFf823s=")</f>
        <v>#REF!</v>
      </c>
      <c r="DU69" t="str">
        <f>AND(#REF!,"AAAAAFf823w=")</f>
        <v>#REF!</v>
      </c>
      <c r="DV69" t="str">
        <f>AND(#REF!,"AAAAAFf8230=")</f>
        <v>#REF!</v>
      </c>
      <c r="DW69" t="str">
        <f>AND(#REF!,"AAAAAFf8234=")</f>
        <v>#REF!</v>
      </c>
      <c r="DX69" t="str">
        <f>AND(#REF!,"AAAAAFf8238=")</f>
        <v>#REF!</v>
      </c>
      <c r="DY69" t="str">
        <f>AND(#REF!,"AAAAAFf824A=")</f>
        <v>#REF!</v>
      </c>
      <c r="DZ69" t="str">
        <f>AND(#REF!,"AAAAAFf824E=")</f>
        <v>#REF!</v>
      </c>
      <c r="EA69" t="str">
        <f>AND(#REF!,"AAAAAFf824I=")</f>
        <v>#REF!</v>
      </c>
      <c r="EB69" t="str">
        <f>AND(#REF!,"AAAAAFf824M=")</f>
        <v>#REF!</v>
      </c>
      <c r="EC69" t="str">
        <f>AND(#REF!,"AAAAAFf824Q=")</f>
        <v>#REF!</v>
      </c>
      <c r="ED69" t="str">
        <f>AND(#REF!,"AAAAAFf824U=")</f>
        <v>#REF!</v>
      </c>
      <c r="EE69" t="str">
        <f>AND(#REF!,"AAAAAFf824Y=")</f>
        <v>#REF!</v>
      </c>
      <c r="EF69" t="str">
        <f>AND(#REF!,"AAAAAFf824c=")</f>
        <v>#REF!</v>
      </c>
      <c r="EG69" t="str">
        <f>AND(#REF!,"AAAAAFf824g=")</f>
        <v>#REF!</v>
      </c>
      <c r="EH69" t="str">
        <f>AND(#REF!,"AAAAAFf824k=")</f>
        <v>#REF!</v>
      </c>
      <c r="EI69" t="str">
        <f>AND(#REF!,"AAAAAFf824o=")</f>
        <v>#REF!</v>
      </c>
      <c r="EJ69" t="str">
        <f>AND(#REF!,"AAAAAFf824s=")</f>
        <v>#REF!</v>
      </c>
      <c r="EK69" t="str">
        <f>AND(#REF!,"AAAAAFf824w=")</f>
        <v>#REF!</v>
      </c>
      <c r="EL69" t="str">
        <f>AND(#REF!,"AAAAAFf8240=")</f>
        <v>#REF!</v>
      </c>
      <c r="EM69" t="str">
        <f>AND(#REF!,"AAAAAFf8244=")</f>
        <v>#REF!</v>
      </c>
      <c r="EN69" t="str">
        <f>AND(#REF!,"AAAAAFf8248=")</f>
        <v>#REF!</v>
      </c>
      <c r="EO69" t="str">
        <f>AND(#REF!,"AAAAAFf825A=")</f>
        <v>#REF!</v>
      </c>
      <c r="EP69" t="str">
        <f>AND(#REF!,"AAAAAFf825E=")</f>
        <v>#REF!</v>
      </c>
      <c r="EQ69" t="str">
        <f>AND(#REF!,"AAAAAFf825I=")</f>
        <v>#REF!</v>
      </c>
      <c r="ER69" t="str">
        <f>AND(#REF!,"AAAAAFf825M=")</f>
        <v>#REF!</v>
      </c>
      <c r="ES69" t="str">
        <f>AND(#REF!,"AAAAAFf825Q=")</f>
        <v>#REF!</v>
      </c>
      <c r="ET69" t="str">
        <f>AND(#REF!,"AAAAAFf825U=")</f>
        <v>#REF!</v>
      </c>
      <c r="EU69" t="str">
        <f>IF(#REF!,"AAAAAFf825Y=",0)</f>
        <v>#REF!</v>
      </c>
      <c r="EV69" t="str">
        <f>AND(#REF!,"AAAAAFf825c=")</f>
        <v>#REF!</v>
      </c>
      <c r="EW69" t="str">
        <f>AND(#REF!,"AAAAAFf825g=")</f>
        <v>#REF!</v>
      </c>
      <c r="EX69" t="str">
        <f>AND(#REF!,"AAAAAFf825k=")</f>
        <v>#REF!</v>
      </c>
      <c r="EY69" t="str">
        <f>AND(#REF!,"AAAAAFf825o=")</f>
        <v>#REF!</v>
      </c>
      <c r="EZ69" t="str">
        <f>AND(#REF!,"AAAAAFf825s=")</f>
        <v>#REF!</v>
      </c>
      <c r="FA69" t="str">
        <f>AND(#REF!,"AAAAAFf825w=")</f>
        <v>#REF!</v>
      </c>
      <c r="FB69" t="str">
        <f>AND(#REF!,"AAAAAFf8250=")</f>
        <v>#REF!</v>
      </c>
      <c r="FC69" t="str">
        <f>AND(#REF!,"AAAAAFf8254=")</f>
        <v>#REF!</v>
      </c>
      <c r="FD69" t="str">
        <f>AND(#REF!,"AAAAAFf8258=")</f>
        <v>#REF!</v>
      </c>
      <c r="FE69" t="str">
        <f>AND(#REF!,"AAAAAFf826A=")</f>
        <v>#REF!</v>
      </c>
      <c r="FF69" t="str">
        <f>AND(#REF!,"AAAAAFf826E=")</f>
        <v>#REF!</v>
      </c>
      <c r="FG69" t="str">
        <f>AND(#REF!,"AAAAAFf826I=")</f>
        <v>#REF!</v>
      </c>
      <c r="FH69" t="str">
        <f>AND(#REF!,"AAAAAFf826M=")</f>
        <v>#REF!</v>
      </c>
      <c r="FI69" t="str">
        <f>AND(#REF!,"AAAAAFf826Q=")</f>
        <v>#REF!</v>
      </c>
      <c r="FJ69" t="str">
        <f>AND(#REF!,"AAAAAFf826U=")</f>
        <v>#REF!</v>
      </c>
      <c r="FK69" t="str">
        <f>AND(#REF!,"AAAAAFf826Y=")</f>
        <v>#REF!</v>
      </c>
      <c r="FL69" t="str">
        <f>AND(#REF!,"AAAAAFf826c=")</f>
        <v>#REF!</v>
      </c>
      <c r="FM69" t="str">
        <f>AND(#REF!,"AAAAAFf826g=")</f>
        <v>#REF!</v>
      </c>
      <c r="FN69" t="str">
        <f>AND(#REF!,"AAAAAFf826k=")</f>
        <v>#REF!</v>
      </c>
      <c r="FO69" t="str">
        <f>AND(#REF!,"AAAAAFf826o=")</f>
        <v>#REF!</v>
      </c>
      <c r="FP69" t="str">
        <f>AND(#REF!,"AAAAAFf826s=")</f>
        <v>#REF!</v>
      </c>
      <c r="FQ69" t="str">
        <f>AND(#REF!,"AAAAAFf826w=")</f>
        <v>#REF!</v>
      </c>
      <c r="FR69" t="str">
        <f>AND(#REF!,"AAAAAFf8260=")</f>
        <v>#REF!</v>
      </c>
      <c r="FS69" t="str">
        <f>AND(#REF!,"AAAAAFf8264=")</f>
        <v>#REF!</v>
      </c>
      <c r="FT69" t="str">
        <f>AND(#REF!,"AAAAAFf8268=")</f>
        <v>#REF!</v>
      </c>
      <c r="FU69" t="str">
        <f>AND(#REF!,"AAAAAFf827A=")</f>
        <v>#REF!</v>
      </c>
      <c r="FV69" t="str">
        <f>AND(#REF!,"AAAAAFf827E=")</f>
        <v>#REF!</v>
      </c>
      <c r="FW69" t="str">
        <f>AND(#REF!,"AAAAAFf827I=")</f>
        <v>#REF!</v>
      </c>
      <c r="FX69" t="str">
        <f>AND(#REF!,"AAAAAFf827M=")</f>
        <v>#REF!</v>
      </c>
      <c r="FY69" t="str">
        <f>AND(#REF!,"AAAAAFf827Q=")</f>
        <v>#REF!</v>
      </c>
      <c r="FZ69" t="str">
        <f>AND(#REF!,"AAAAAFf827U=")</f>
        <v>#REF!</v>
      </c>
      <c r="GA69" t="str">
        <f>AND(#REF!,"AAAAAFf827Y=")</f>
        <v>#REF!</v>
      </c>
      <c r="GB69" t="str">
        <f>AND(#REF!,"AAAAAFf827c=")</f>
        <v>#REF!</v>
      </c>
      <c r="GC69" t="str">
        <f>AND(#REF!,"AAAAAFf827g=")</f>
        <v>#REF!</v>
      </c>
      <c r="GD69" t="str">
        <f>AND(#REF!,"AAAAAFf827k=")</f>
        <v>#REF!</v>
      </c>
      <c r="GE69" t="str">
        <f>AND(#REF!,"AAAAAFf827o=")</f>
        <v>#REF!</v>
      </c>
      <c r="GF69" t="str">
        <f>AND(#REF!,"AAAAAFf827s=")</f>
        <v>#REF!</v>
      </c>
      <c r="GG69" t="str">
        <f>AND(#REF!,"AAAAAFf827w=")</f>
        <v>#REF!</v>
      </c>
      <c r="GH69" t="str">
        <f>AND(#REF!,"AAAAAFf8270=")</f>
        <v>#REF!</v>
      </c>
      <c r="GI69" t="str">
        <f>AND(#REF!,"AAAAAFf8274=")</f>
        <v>#REF!</v>
      </c>
      <c r="GJ69" t="str">
        <f>AND(#REF!,"AAAAAFf8278=")</f>
        <v>#REF!</v>
      </c>
      <c r="GK69" t="str">
        <f>AND(#REF!,"AAAAAFf828A=")</f>
        <v>#REF!</v>
      </c>
      <c r="GL69" t="str">
        <f>AND(#REF!,"AAAAAFf828E=")</f>
        <v>#REF!</v>
      </c>
      <c r="GM69" t="str">
        <f>AND(#REF!,"AAAAAFf828I=")</f>
        <v>#REF!</v>
      </c>
      <c r="GN69" t="str">
        <f>AND(#REF!,"AAAAAFf828M=")</f>
        <v>#REF!</v>
      </c>
      <c r="GO69" t="str">
        <f>AND(#REF!,"AAAAAFf828Q=")</f>
        <v>#REF!</v>
      </c>
      <c r="GP69" t="str">
        <f>AND(#REF!,"AAAAAFf828U=")</f>
        <v>#REF!</v>
      </c>
      <c r="GQ69" t="str">
        <f>AND(#REF!,"AAAAAFf828Y=")</f>
        <v>#REF!</v>
      </c>
      <c r="GR69" t="str">
        <f>AND(#REF!,"AAAAAFf828c=")</f>
        <v>#REF!</v>
      </c>
      <c r="GS69" t="str">
        <f>AND(#REF!,"AAAAAFf828g=")</f>
        <v>#REF!</v>
      </c>
      <c r="GT69" t="str">
        <f>AND(#REF!,"AAAAAFf828k=")</f>
        <v>#REF!</v>
      </c>
      <c r="GU69" t="str">
        <f>AND(#REF!,"AAAAAFf828o=")</f>
        <v>#REF!</v>
      </c>
      <c r="GV69" t="str">
        <f>AND(#REF!,"AAAAAFf828s=")</f>
        <v>#REF!</v>
      </c>
      <c r="GW69" t="str">
        <f>AND(#REF!,"AAAAAFf828w=")</f>
        <v>#REF!</v>
      </c>
      <c r="GX69" t="str">
        <f>AND(#REF!,"AAAAAFf8280=")</f>
        <v>#REF!</v>
      </c>
      <c r="GY69" t="str">
        <f>AND(#REF!,"AAAAAFf8284=")</f>
        <v>#REF!</v>
      </c>
      <c r="GZ69" t="str">
        <f>AND(#REF!,"AAAAAFf8288=")</f>
        <v>#REF!</v>
      </c>
      <c r="HA69" t="str">
        <f>AND(#REF!,"AAAAAFf829A=")</f>
        <v>#REF!</v>
      </c>
      <c r="HB69" t="str">
        <f>AND(#REF!,"AAAAAFf829E=")</f>
        <v>#REF!</v>
      </c>
      <c r="HC69" t="str">
        <f>AND(#REF!,"AAAAAFf829I=")</f>
        <v>#REF!</v>
      </c>
      <c r="HD69" t="str">
        <f>AND(#REF!,"AAAAAFf829M=")</f>
        <v>#REF!</v>
      </c>
      <c r="HE69" t="str">
        <f>AND(#REF!,"AAAAAFf829Q=")</f>
        <v>#REF!</v>
      </c>
      <c r="HF69" t="str">
        <f>AND(#REF!,"AAAAAFf829U=")</f>
        <v>#REF!</v>
      </c>
      <c r="HG69" t="str">
        <f>AND(#REF!,"AAAAAFf829Y=")</f>
        <v>#REF!</v>
      </c>
      <c r="HH69" t="str">
        <f>AND(#REF!,"AAAAAFf829c=")</f>
        <v>#REF!</v>
      </c>
      <c r="HI69" t="str">
        <f>AND(#REF!,"AAAAAFf829g=")</f>
        <v>#REF!</v>
      </c>
      <c r="HJ69" t="str">
        <f>AND(#REF!,"AAAAAFf829k=")</f>
        <v>#REF!</v>
      </c>
      <c r="HK69" t="str">
        <f>AND(#REF!,"AAAAAFf829o=")</f>
        <v>#REF!</v>
      </c>
      <c r="HL69" t="str">
        <f>AND(#REF!,"AAAAAFf829s=")</f>
        <v>#REF!</v>
      </c>
      <c r="HM69" t="str">
        <f>AND(#REF!,"AAAAAFf829w=")</f>
        <v>#REF!</v>
      </c>
      <c r="HN69" t="str">
        <f>AND(#REF!,"AAAAAFf8290=")</f>
        <v>#REF!</v>
      </c>
      <c r="HO69" t="str">
        <f>AND(#REF!,"AAAAAFf8294=")</f>
        <v>#REF!</v>
      </c>
      <c r="HP69" t="str">
        <f>AND(#REF!,"AAAAAFf8298=")</f>
        <v>#REF!</v>
      </c>
      <c r="HQ69" t="str">
        <f>AND(#REF!,"AAAAAFf82+A=")</f>
        <v>#REF!</v>
      </c>
      <c r="HR69" t="str">
        <f>AND(#REF!,"AAAAAFf82+E=")</f>
        <v>#REF!</v>
      </c>
      <c r="HS69" t="str">
        <f>IF(#REF!,"AAAAAFf82+I=",0)</f>
        <v>#REF!</v>
      </c>
      <c r="HT69" t="str">
        <f>AND(#REF!,"AAAAAFf82+M=")</f>
        <v>#REF!</v>
      </c>
      <c r="HU69" t="str">
        <f>AND(#REF!,"AAAAAFf82+Q=")</f>
        <v>#REF!</v>
      </c>
      <c r="HV69" t="str">
        <f>AND(#REF!,"AAAAAFf82+U=")</f>
        <v>#REF!</v>
      </c>
      <c r="HW69" t="str">
        <f>AND(#REF!,"AAAAAFf82+Y=")</f>
        <v>#REF!</v>
      </c>
      <c r="HX69" t="str">
        <f>AND(#REF!,"AAAAAFf82+c=")</f>
        <v>#REF!</v>
      </c>
      <c r="HY69" t="str">
        <f>AND(#REF!,"AAAAAFf82+g=")</f>
        <v>#REF!</v>
      </c>
      <c r="HZ69" t="str">
        <f>AND(#REF!,"AAAAAFf82+k=")</f>
        <v>#REF!</v>
      </c>
      <c r="IA69" t="str">
        <f>AND(#REF!,"AAAAAFf82+o=")</f>
        <v>#REF!</v>
      </c>
      <c r="IB69" t="str">
        <f>AND(#REF!,"AAAAAFf82+s=")</f>
        <v>#REF!</v>
      </c>
      <c r="IC69" t="str">
        <f>AND(#REF!,"AAAAAFf82+w=")</f>
        <v>#REF!</v>
      </c>
      <c r="ID69" t="str">
        <f>AND(#REF!,"AAAAAFf82+0=")</f>
        <v>#REF!</v>
      </c>
      <c r="IE69" t="str">
        <f>AND(#REF!,"AAAAAFf82+4=")</f>
        <v>#REF!</v>
      </c>
      <c r="IF69" t="str">
        <f>AND(#REF!,"AAAAAFf82+8=")</f>
        <v>#REF!</v>
      </c>
      <c r="IG69" t="str">
        <f>AND(#REF!,"AAAAAFf82/A=")</f>
        <v>#REF!</v>
      </c>
      <c r="IH69" t="str">
        <f>AND(#REF!,"AAAAAFf82/E=")</f>
        <v>#REF!</v>
      </c>
      <c r="II69" t="str">
        <f>AND(#REF!,"AAAAAFf82/I=")</f>
        <v>#REF!</v>
      </c>
      <c r="IJ69" t="str">
        <f>AND(#REF!,"AAAAAFf82/M=")</f>
        <v>#REF!</v>
      </c>
      <c r="IK69" t="str">
        <f>AND(#REF!,"AAAAAFf82/Q=")</f>
        <v>#REF!</v>
      </c>
      <c r="IL69" t="str">
        <f>AND(#REF!,"AAAAAFf82/U=")</f>
        <v>#REF!</v>
      </c>
      <c r="IM69" t="str">
        <f>AND(#REF!,"AAAAAFf82/Y=")</f>
        <v>#REF!</v>
      </c>
      <c r="IN69" t="str">
        <f>AND(#REF!,"AAAAAFf82/c=")</f>
        <v>#REF!</v>
      </c>
      <c r="IO69" t="str">
        <f>AND(#REF!,"AAAAAFf82/g=")</f>
        <v>#REF!</v>
      </c>
      <c r="IP69" t="str">
        <f>AND(#REF!,"AAAAAFf82/k=")</f>
        <v>#REF!</v>
      </c>
      <c r="IQ69" t="str">
        <f>AND(#REF!,"AAAAAFf82/o=")</f>
        <v>#REF!</v>
      </c>
      <c r="IR69" t="str">
        <f>AND(#REF!,"AAAAAFf82/s=")</f>
        <v>#REF!</v>
      </c>
      <c r="IS69" t="str">
        <f>AND(#REF!,"AAAAAFf82/w=")</f>
        <v>#REF!</v>
      </c>
      <c r="IT69" t="str">
        <f>AND(#REF!,"AAAAAFf82/0=")</f>
        <v>#REF!</v>
      </c>
      <c r="IU69" t="str">
        <f>AND(#REF!,"AAAAAFf82/4=")</f>
        <v>#REF!</v>
      </c>
      <c r="IV69" t="str">
        <f>AND(#REF!,"AAAAAFf82/8=")</f>
        <v>#REF!</v>
      </c>
    </row>
    <row r="70" ht="15.75" customHeight="1">
      <c r="A70" t="str">
        <f>AND(#REF!,"AAAAADf8PwA=")</f>
        <v>#REF!</v>
      </c>
      <c r="B70" t="str">
        <f>AND(#REF!,"AAAAADf8PwE=")</f>
        <v>#REF!</v>
      </c>
      <c r="C70" t="str">
        <f>AND(#REF!,"AAAAADf8PwI=")</f>
        <v>#REF!</v>
      </c>
      <c r="D70" t="str">
        <f>AND(#REF!,"AAAAADf8PwM=")</f>
        <v>#REF!</v>
      </c>
      <c r="E70" t="str">
        <f>AND(#REF!,"AAAAADf8PwQ=")</f>
        <v>#REF!</v>
      </c>
      <c r="F70" t="str">
        <f>AND(#REF!,"AAAAADf8PwU=")</f>
        <v>#REF!</v>
      </c>
      <c r="G70" t="str">
        <f>AND(#REF!,"AAAAADf8PwY=")</f>
        <v>#REF!</v>
      </c>
      <c r="H70" t="str">
        <f>AND(#REF!,"AAAAADf8Pwc=")</f>
        <v>#REF!</v>
      </c>
      <c r="I70" t="str">
        <f>AND(#REF!,"AAAAADf8Pwg=")</f>
        <v>#REF!</v>
      </c>
      <c r="J70" t="str">
        <f>AND(#REF!,"AAAAADf8Pwk=")</f>
        <v>#REF!</v>
      </c>
      <c r="K70" t="str">
        <f>AND(#REF!,"AAAAADf8Pwo=")</f>
        <v>#REF!</v>
      </c>
      <c r="L70" t="str">
        <f>AND(#REF!,"AAAAADf8Pws=")</f>
        <v>#REF!</v>
      </c>
      <c r="M70" t="str">
        <f>AND(#REF!,"AAAAADf8Pww=")</f>
        <v>#REF!</v>
      </c>
      <c r="N70" t="str">
        <f>AND(#REF!,"AAAAADf8Pw0=")</f>
        <v>#REF!</v>
      </c>
      <c r="O70" t="str">
        <f>AND(#REF!,"AAAAADf8Pw4=")</f>
        <v>#REF!</v>
      </c>
      <c r="P70" t="str">
        <f>AND(#REF!,"AAAAADf8Pw8=")</f>
        <v>#REF!</v>
      </c>
      <c r="Q70" t="str">
        <f>AND(#REF!,"AAAAADf8PxA=")</f>
        <v>#REF!</v>
      </c>
      <c r="R70" t="str">
        <f>AND(#REF!,"AAAAADf8PxE=")</f>
        <v>#REF!</v>
      </c>
      <c r="S70" t="str">
        <f>AND(#REF!,"AAAAADf8PxI=")</f>
        <v>#REF!</v>
      </c>
      <c r="T70" t="str">
        <f>AND(#REF!,"AAAAADf8PxM=")</f>
        <v>#REF!</v>
      </c>
      <c r="U70" t="str">
        <f>AND(#REF!,"AAAAADf8PxQ=")</f>
        <v>#REF!</v>
      </c>
      <c r="V70" t="str">
        <f>AND(#REF!,"AAAAADf8PxU=")</f>
        <v>#REF!</v>
      </c>
      <c r="W70" t="str">
        <f>AND(#REF!,"AAAAADf8PxY=")</f>
        <v>#REF!</v>
      </c>
      <c r="X70" t="str">
        <f>AND(#REF!,"AAAAADf8Pxc=")</f>
        <v>#REF!</v>
      </c>
      <c r="Y70" t="str">
        <f>AND(#REF!,"AAAAADf8Pxg=")</f>
        <v>#REF!</v>
      </c>
      <c r="Z70" t="str">
        <f>AND(#REF!,"AAAAADf8Pxk=")</f>
        <v>#REF!</v>
      </c>
      <c r="AA70" t="str">
        <f>AND(#REF!,"AAAAADf8Pxo=")</f>
        <v>#REF!</v>
      </c>
      <c r="AB70" t="str">
        <f>AND(#REF!,"AAAAADf8Pxs=")</f>
        <v>#REF!</v>
      </c>
      <c r="AC70" t="str">
        <f>AND(#REF!,"AAAAADf8Pxw=")</f>
        <v>#REF!</v>
      </c>
      <c r="AD70" t="str">
        <f>AND(#REF!,"AAAAADf8Px0=")</f>
        <v>#REF!</v>
      </c>
      <c r="AE70" t="str">
        <f>AND(#REF!,"AAAAADf8Px4=")</f>
        <v>#REF!</v>
      </c>
      <c r="AF70" t="str">
        <f>AND(#REF!,"AAAAADf8Px8=")</f>
        <v>#REF!</v>
      </c>
      <c r="AG70" t="str">
        <f>AND(#REF!,"AAAAADf8PyA=")</f>
        <v>#REF!</v>
      </c>
      <c r="AH70" t="str">
        <f>AND(#REF!,"AAAAADf8PyE=")</f>
        <v>#REF!</v>
      </c>
      <c r="AI70" t="str">
        <f>AND(#REF!,"AAAAADf8PyI=")</f>
        <v>#REF!</v>
      </c>
      <c r="AJ70" t="str">
        <f>AND(#REF!,"AAAAADf8PyM=")</f>
        <v>#REF!</v>
      </c>
      <c r="AK70" t="str">
        <f>AND(#REF!,"AAAAADf8PyQ=")</f>
        <v>#REF!</v>
      </c>
      <c r="AL70" t="str">
        <f>AND(#REF!,"AAAAADf8PyU=")</f>
        <v>#REF!</v>
      </c>
      <c r="AM70" t="str">
        <f>AND(#REF!,"AAAAADf8PyY=")</f>
        <v>#REF!</v>
      </c>
      <c r="AN70" t="str">
        <f>AND(#REF!,"AAAAADf8Pyc=")</f>
        <v>#REF!</v>
      </c>
      <c r="AO70" t="str">
        <f>AND(#REF!,"AAAAADf8Pyg=")</f>
        <v>#REF!</v>
      </c>
      <c r="AP70" t="str">
        <f>AND(#REF!,"AAAAADf8Pyk=")</f>
        <v>#REF!</v>
      </c>
      <c r="AQ70" t="str">
        <f>AND(#REF!,"AAAAADf8Pyo=")</f>
        <v>#REF!</v>
      </c>
      <c r="AR70" t="str">
        <f>AND(#REF!,"AAAAADf8Pys=")</f>
        <v>#REF!</v>
      </c>
      <c r="AS70" t="str">
        <f>AND(#REF!,"AAAAADf8Pyw=")</f>
        <v>#REF!</v>
      </c>
      <c r="AT70" t="str">
        <f>AND(#REF!,"AAAAADf8Py0=")</f>
        <v>#REF!</v>
      </c>
      <c r="AU70" t="str">
        <f>IF(#REF!,"AAAAADf8Py4=",0)</f>
        <v>#REF!</v>
      </c>
      <c r="AV70" t="str">
        <f>AND(#REF!,"AAAAADf8Py8=")</f>
        <v>#REF!</v>
      </c>
      <c r="AW70" t="str">
        <f>AND(#REF!,"AAAAADf8PzA=")</f>
        <v>#REF!</v>
      </c>
      <c r="AX70" t="str">
        <f>AND(#REF!,"AAAAADf8PzE=")</f>
        <v>#REF!</v>
      </c>
      <c r="AY70" t="str">
        <f>AND(#REF!,"AAAAADf8PzI=")</f>
        <v>#REF!</v>
      </c>
      <c r="AZ70" t="str">
        <f>AND(#REF!,"AAAAADf8PzM=")</f>
        <v>#REF!</v>
      </c>
      <c r="BA70" t="str">
        <f>AND(#REF!,"AAAAADf8PzQ=")</f>
        <v>#REF!</v>
      </c>
      <c r="BB70" t="str">
        <f>AND(#REF!,"AAAAADf8PzU=")</f>
        <v>#REF!</v>
      </c>
      <c r="BC70" t="str">
        <f>AND(#REF!,"AAAAADf8PzY=")</f>
        <v>#REF!</v>
      </c>
      <c r="BD70" t="str">
        <f>AND(#REF!,"AAAAADf8Pzc=")</f>
        <v>#REF!</v>
      </c>
      <c r="BE70" t="str">
        <f>AND(#REF!,"AAAAADf8Pzg=")</f>
        <v>#REF!</v>
      </c>
      <c r="BF70" t="str">
        <f>AND(#REF!,"AAAAADf8Pzk=")</f>
        <v>#REF!</v>
      </c>
      <c r="BG70" t="str">
        <f>AND(#REF!,"AAAAADf8Pzo=")</f>
        <v>#REF!</v>
      </c>
      <c r="BH70" t="str">
        <f>AND(#REF!,"AAAAADf8Pzs=")</f>
        <v>#REF!</v>
      </c>
      <c r="BI70" t="str">
        <f>AND(#REF!,"AAAAADf8Pzw=")</f>
        <v>#REF!</v>
      </c>
      <c r="BJ70" t="str">
        <f>AND(#REF!,"AAAAADf8Pz0=")</f>
        <v>#REF!</v>
      </c>
      <c r="BK70" t="str">
        <f>AND(#REF!,"AAAAADf8Pz4=")</f>
        <v>#REF!</v>
      </c>
      <c r="BL70" t="str">
        <f>AND(#REF!,"AAAAADf8Pz8=")</f>
        <v>#REF!</v>
      </c>
      <c r="BM70" t="str">
        <f>AND(#REF!,"AAAAADf8P0A=")</f>
        <v>#REF!</v>
      </c>
      <c r="BN70" t="str">
        <f>AND(#REF!,"AAAAADf8P0E=")</f>
        <v>#REF!</v>
      </c>
      <c r="BO70" t="str">
        <f>AND(#REF!,"AAAAADf8P0I=")</f>
        <v>#REF!</v>
      </c>
      <c r="BP70" t="str">
        <f>AND(#REF!,"AAAAADf8P0M=")</f>
        <v>#REF!</v>
      </c>
      <c r="BQ70" t="str">
        <f>AND(#REF!,"AAAAADf8P0Q=")</f>
        <v>#REF!</v>
      </c>
      <c r="BR70" t="str">
        <f>AND(#REF!,"AAAAADf8P0U=")</f>
        <v>#REF!</v>
      </c>
      <c r="BS70" t="str">
        <f>AND(#REF!,"AAAAADf8P0Y=")</f>
        <v>#REF!</v>
      </c>
      <c r="BT70" t="str">
        <f>AND(#REF!,"AAAAADf8P0c=")</f>
        <v>#REF!</v>
      </c>
      <c r="BU70" t="str">
        <f>AND(#REF!,"AAAAADf8P0g=")</f>
        <v>#REF!</v>
      </c>
      <c r="BV70" t="str">
        <f>AND(#REF!,"AAAAADf8P0k=")</f>
        <v>#REF!</v>
      </c>
      <c r="BW70" t="str">
        <f>AND(#REF!,"AAAAADf8P0o=")</f>
        <v>#REF!</v>
      </c>
      <c r="BX70" t="str">
        <f>AND(#REF!,"AAAAADf8P0s=")</f>
        <v>#REF!</v>
      </c>
      <c r="BY70" t="str">
        <f>AND(#REF!,"AAAAADf8P0w=")</f>
        <v>#REF!</v>
      </c>
      <c r="BZ70" t="str">
        <f>AND(#REF!,"AAAAADf8P00=")</f>
        <v>#REF!</v>
      </c>
      <c r="CA70" t="str">
        <f>AND(#REF!,"AAAAADf8P04=")</f>
        <v>#REF!</v>
      </c>
      <c r="CB70" t="str">
        <f>AND(#REF!,"AAAAADf8P08=")</f>
        <v>#REF!</v>
      </c>
      <c r="CC70" t="str">
        <f>AND(#REF!,"AAAAADf8P1A=")</f>
        <v>#REF!</v>
      </c>
      <c r="CD70" t="str">
        <f>AND(#REF!,"AAAAADf8P1E=")</f>
        <v>#REF!</v>
      </c>
      <c r="CE70" t="str">
        <f>AND(#REF!,"AAAAADf8P1I=")</f>
        <v>#REF!</v>
      </c>
      <c r="CF70" t="str">
        <f>AND(#REF!,"AAAAADf8P1M=")</f>
        <v>#REF!</v>
      </c>
      <c r="CG70" t="str">
        <f>AND(#REF!,"AAAAADf8P1Q=")</f>
        <v>#REF!</v>
      </c>
      <c r="CH70" t="str">
        <f>AND(#REF!,"AAAAADf8P1U=")</f>
        <v>#REF!</v>
      </c>
      <c r="CI70" t="str">
        <f>AND(#REF!,"AAAAADf8P1Y=")</f>
        <v>#REF!</v>
      </c>
      <c r="CJ70" t="str">
        <f>AND(#REF!,"AAAAADf8P1c=")</f>
        <v>#REF!</v>
      </c>
      <c r="CK70" t="str">
        <f>AND(#REF!,"AAAAADf8P1g=")</f>
        <v>#REF!</v>
      </c>
      <c r="CL70" t="str">
        <f>AND(#REF!,"AAAAADf8P1k=")</f>
        <v>#REF!</v>
      </c>
      <c r="CM70" t="str">
        <f>AND(#REF!,"AAAAADf8P1o=")</f>
        <v>#REF!</v>
      </c>
      <c r="CN70" t="str">
        <f>AND(#REF!,"AAAAADf8P1s=")</f>
        <v>#REF!</v>
      </c>
      <c r="CO70" t="str">
        <f>AND(#REF!,"AAAAADf8P1w=")</f>
        <v>#REF!</v>
      </c>
      <c r="CP70" t="str">
        <f>AND(#REF!,"AAAAADf8P10=")</f>
        <v>#REF!</v>
      </c>
      <c r="CQ70" t="str">
        <f>AND(#REF!,"AAAAADf8P14=")</f>
        <v>#REF!</v>
      </c>
      <c r="CR70" t="str">
        <f>AND(#REF!,"AAAAADf8P18=")</f>
        <v>#REF!</v>
      </c>
      <c r="CS70" t="str">
        <f>AND(#REF!,"AAAAADf8P2A=")</f>
        <v>#REF!</v>
      </c>
      <c r="CT70" t="str">
        <f>AND(#REF!,"AAAAADf8P2E=")</f>
        <v>#REF!</v>
      </c>
      <c r="CU70" t="str">
        <f>AND(#REF!,"AAAAADf8P2I=")</f>
        <v>#REF!</v>
      </c>
      <c r="CV70" t="str">
        <f>AND(#REF!,"AAAAADf8P2M=")</f>
        <v>#REF!</v>
      </c>
      <c r="CW70" t="str">
        <f>AND(#REF!,"AAAAADf8P2Q=")</f>
        <v>#REF!</v>
      </c>
      <c r="CX70" t="str">
        <f>AND(#REF!,"AAAAADf8P2U=")</f>
        <v>#REF!</v>
      </c>
      <c r="CY70" t="str">
        <f>AND(#REF!,"AAAAADf8P2Y=")</f>
        <v>#REF!</v>
      </c>
      <c r="CZ70" t="str">
        <f>AND(#REF!,"AAAAADf8P2c=")</f>
        <v>#REF!</v>
      </c>
      <c r="DA70" t="str">
        <f>AND(#REF!,"AAAAADf8P2g=")</f>
        <v>#REF!</v>
      </c>
      <c r="DB70" t="str">
        <f>AND(#REF!,"AAAAADf8P2k=")</f>
        <v>#REF!</v>
      </c>
      <c r="DC70" t="str">
        <f>AND(#REF!,"AAAAADf8P2o=")</f>
        <v>#REF!</v>
      </c>
      <c r="DD70" t="str">
        <f>AND(#REF!,"AAAAADf8P2s=")</f>
        <v>#REF!</v>
      </c>
      <c r="DE70" t="str">
        <f>AND(#REF!,"AAAAADf8P2w=")</f>
        <v>#REF!</v>
      </c>
      <c r="DF70" t="str">
        <f>AND(#REF!,"AAAAADf8P20=")</f>
        <v>#REF!</v>
      </c>
      <c r="DG70" t="str">
        <f>AND(#REF!,"AAAAADf8P24=")</f>
        <v>#REF!</v>
      </c>
      <c r="DH70" t="str">
        <f>AND(#REF!,"AAAAADf8P28=")</f>
        <v>#REF!</v>
      </c>
      <c r="DI70" t="str">
        <f>AND(#REF!,"AAAAADf8P3A=")</f>
        <v>#REF!</v>
      </c>
      <c r="DJ70" t="str">
        <f>AND(#REF!,"AAAAADf8P3E=")</f>
        <v>#REF!</v>
      </c>
      <c r="DK70" t="str">
        <f>AND(#REF!,"AAAAADf8P3I=")</f>
        <v>#REF!</v>
      </c>
      <c r="DL70" t="str">
        <f>AND(#REF!,"AAAAADf8P3M=")</f>
        <v>#REF!</v>
      </c>
      <c r="DM70" t="str">
        <f>AND(#REF!,"AAAAADf8P3Q=")</f>
        <v>#REF!</v>
      </c>
      <c r="DN70" t="str">
        <f>AND(#REF!,"AAAAADf8P3U=")</f>
        <v>#REF!</v>
      </c>
      <c r="DO70" t="str">
        <f>AND(#REF!,"AAAAADf8P3Y=")</f>
        <v>#REF!</v>
      </c>
      <c r="DP70" t="str">
        <f>AND(#REF!,"AAAAADf8P3c=")</f>
        <v>#REF!</v>
      </c>
      <c r="DQ70" t="str">
        <f>AND(#REF!,"AAAAADf8P3g=")</f>
        <v>#REF!</v>
      </c>
      <c r="DR70" t="str">
        <f>AND(#REF!,"AAAAADf8P3k=")</f>
        <v>#REF!</v>
      </c>
      <c r="DS70" t="str">
        <f>IF(#REF!,"AAAAADf8P3o=",0)</f>
        <v>#REF!</v>
      </c>
      <c r="DT70" t="str">
        <f>AND(#REF!,"AAAAADf8P3s=")</f>
        <v>#REF!</v>
      </c>
      <c r="DU70" t="str">
        <f>AND(#REF!,"AAAAADf8P3w=")</f>
        <v>#REF!</v>
      </c>
      <c r="DV70" t="str">
        <f>AND(#REF!,"AAAAADf8P30=")</f>
        <v>#REF!</v>
      </c>
      <c r="DW70" t="str">
        <f>AND(#REF!,"AAAAADf8P34=")</f>
        <v>#REF!</v>
      </c>
      <c r="DX70" t="str">
        <f>AND(#REF!,"AAAAADf8P38=")</f>
        <v>#REF!</v>
      </c>
      <c r="DY70" t="str">
        <f>AND(#REF!,"AAAAADf8P4A=")</f>
        <v>#REF!</v>
      </c>
      <c r="DZ70" t="str">
        <f>AND(#REF!,"AAAAADf8P4E=")</f>
        <v>#REF!</v>
      </c>
      <c r="EA70" t="str">
        <f>AND(#REF!,"AAAAADf8P4I=")</f>
        <v>#REF!</v>
      </c>
      <c r="EB70" t="str">
        <f>AND(#REF!,"AAAAADf8P4M=")</f>
        <v>#REF!</v>
      </c>
      <c r="EC70" t="str">
        <f>AND(#REF!,"AAAAADf8P4Q=")</f>
        <v>#REF!</v>
      </c>
      <c r="ED70" t="str">
        <f>AND(#REF!,"AAAAADf8P4U=")</f>
        <v>#REF!</v>
      </c>
      <c r="EE70" t="str">
        <f>AND(#REF!,"AAAAADf8P4Y=")</f>
        <v>#REF!</v>
      </c>
      <c r="EF70" t="str">
        <f>AND(#REF!,"AAAAADf8P4c=")</f>
        <v>#REF!</v>
      </c>
      <c r="EG70" t="str">
        <f>AND(#REF!,"AAAAADf8P4g=")</f>
        <v>#REF!</v>
      </c>
      <c r="EH70" t="str">
        <f>AND(#REF!,"AAAAADf8P4k=")</f>
        <v>#REF!</v>
      </c>
      <c r="EI70" t="str">
        <f>AND(#REF!,"AAAAADf8P4o=")</f>
        <v>#REF!</v>
      </c>
      <c r="EJ70" t="str">
        <f>AND(#REF!,"AAAAADf8P4s=")</f>
        <v>#REF!</v>
      </c>
      <c r="EK70" t="str">
        <f>AND(#REF!,"AAAAADf8P4w=")</f>
        <v>#REF!</v>
      </c>
      <c r="EL70" t="str">
        <f>AND(#REF!,"AAAAADf8P40=")</f>
        <v>#REF!</v>
      </c>
      <c r="EM70" t="str">
        <f>AND(#REF!,"AAAAADf8P44=")</f>
        <v>#REF!</v>
      </c>
      <c r="EN70" t="str">
        <f>AND(#REF!,"AAAAADf8P48=")</f>
        <v>#REF!</v>
      </c>
      <c r="EO70" t="str">
        <f>AND(#REF!,"AAAAADf8P5A=")</f>
        <v>#REF!</v>
      </c>
      <c r="EP70" t="str">
        <f>AND(#REF!,"AAAAADf8P5E=")</f>
        <v>#REF!</v>
      </c>
      <c r="EQ70" t="str">
        <f>AND(#REF!,"AAAAADf8P5I=")</f>
        <v>#REF!</v>
      </c>
      <c r="ER70" t="str">
        <f>AND(#REF!,"AAAAADf8P5M=")</f>
        <v>#REF!</v>
      </c>
      <c r="ES70" t="str">
        <f>AND(#REF!,"AAAAADf8P5Q=")</f>
        <v>#REF!</v>
      </c>
      <c r="ET70" t="str">
        <f>AND(#REF!,"AAAAADf8P5U=")</f>
        <v>#REF!</v>
      </c>
      <c r="EU70" t="str">
        <f>AND(#REF!,"AAAAADf8P5Y=")</f>
        <v>#REF!</v>
      </c>
      <c r="EV70" t="str">
        <f>AND(#REF!,"AAAAADf8P5c=")</f>
        <v>#REF!</v>
      </c>
      <c r="EW70" t="str">
        <f>AND(#REF!,"AAAAADf8P5g=")</f>
        <v>#REF!</v>
      </c>
      <c r="EX70" t="str">
        <f>AND(#REF!,"AAAAADf8P5k=")</f>
        <v>#REF!</v>
      </c>
      <c r="EY70" t="str">
        <f>AND(#REF!,"AAAAADf8P5o=")</f>
        <v>#REF!</v>
      </c>
      <c r="EZ70" t="str">
        <f>AND(#REF!,"AAAAADf8P5s=")</f>
        <v>#REF!</v>
      </c>
      <c r="FA70" t="str">
        <f>AND(#REF!,"AAAAADf8P5w=")</f>
        <v>#REF!</v>
      </c>
      <c r="FB70" t="str">
        <f>AND(#REF!,"AAAAADf8P50=")</f>
        <v>#REF!</v>
      </c>
      <c r="FC70" t="str">
        <f>AND(#REF!,"AAAAADf8P54=")</f>
        <v>#REF!</v>
      </c>
      <c r="FD70" t="str">
        <f>AND(#REF!,"AAAAADf8P58=")</f>
        <v>#REF!</v>
      </c>
      <c r="FE70" t="str">
        <f>AND(#REF!,"AAAAADf8P6A=")</f>
        <v>#REF!</v>
      </c>
      <c r="FF70" t="str">
        <f>AND(#REF!,"AAAAADf8P6E=")</f>
        <v>#REF!</v>
      </c>
      <c r="FG70" t="str">
        <f>AND(#REF!,"AAAAADf8P6I=")</f>
        <v>#REF!</v>
      </c>
      <c r="FH70" t="str">
        <f>AND(#REF!,"AAAAADf8P6M=")</f>
        <v>#REF!</v>
      </c>
      <c r="FI70" t="str">
        <f>AND(#REF!,"AAAAADf8P6Q=")</f>
        <v>#REF!</v>
      </c>
      <c r="FJ70" t="str">
        <f>AND(#REF!,"AAAAADf8P6U=")</f>
        <v>#REF!</v>
      </c>
      <c r="FK70" t="str">
        <f>AND(#REF!,"AAAAADf8P6Y=")</f>
        <v>#REF!</v>
      </c>
      <c r="FL70" t="str">
        <f>AND(#REF!,"AAAAADf8P6c=")</f>
        <v>#REF!</v>
      </c>
      <c r="FM70" t="str">
        <f>AND(#REF!,"AAAAADf8P6g=")</f>
        <v>#REF!</v>
      </c>
      <c r="FN70" t="str">
        <f>AND(#REF!,"AAAAADf8P6k=")</f>
        <v>#REF!</v>
      </c>
      <c r="FO70" t="str">
        <f>AND(#REF!,"AAAAADf8P6o=")</f>
        <v>#REF!</v>
      </c>
      <c r="FP70" t="str">
        <f>AND(#REF!,"AAAAADf8P6s=")</f>
        <v>#REF!</v>
      </c>
      <c r="FQ70" t="str">
        <f>AND(#REF!,"AAAAADf8P6w=")</f>
        <v>#REF!</v>
      </c>
      <c r="FR70" t="str">
        <f>AND(#REF!,"AAAAADf8P60=")</f>
        <v>#REF!</v>
      </c>
      <c r="FS70" t="str">
        <f>AND(#REF!,"AAAAADf8P64=")</f>
        <v>#REF!</v>
      </c>
      <c r="FT70" t="str">
        <f>AND(#REF!,"AAAAADf8P68=")</f>
        <v>#REF!</v>
      </c>
      <c r="FU70" t="str">
        <f>AND(#REF!,"AAAAADf8P7A=")</f>
        <v>#REF!</v>
      </c>
      <c r="FV70" t="str">
        <f>AND(#REF!,"AAAAADf8P7E=")</f>
        <v>#REF!</v>
      </c>
      <c r="FW70" t="str">
        <f>AND(#REF!,"AAAAADf8P7I=")</f>
        <v>#REF!</v>
      </c>
      <c r="FX70" t="str">
        <f>AND(#REF!,"AAAAADf8P7M=")</f>
        <v>#REF!</v>
      </c>
      <c r="FY70" t="str">
        <f>AND(#REF!,"AAAAADf8P7Q=")</f>
        <v>#REF!</v>
      </c>
      <c r="FZ70" t="str">
        <f>AND(#REF!,"AAAAADf8P7U=")</f>
        <v>#REF!</v>
      </c>
      <c r="GA70" t="str">
        <f>AND(#REF!,"AAAAADf8P7Y=")</f>
        <v>#REF!</v>
      </c>
      <c r="GB70" t="str">
        <f>AND(#REF!,"AAAAADf8P7c=")</f>
        <v>#REF!</v>
      </c>
      <c r="GC70" t="str">
        <f>AND(#REF!,"AAAAADf8P7g=")</f>
        <v>#REF!</v>
      </c>
      <c r="GD70" t="str">
        <f>AND(#REF!,"AAAAADf8P7k=")</f>
        <v>#REF!</v>
      </c>
      <c r="GE70" t="str">
        <f>AND(#REF!,"AAAAADf8P7o=")</f>
        <v>#REF!</v>
      </c>
      <c r="GF70" t="str">
        <f>AND(#REF!,"AAAAADf8P7s=")</f>
        <v>#REF!</v>
      </c>
      <c r="GG70" t="str">
        <f>AND(#REF!,"AAAAADf8P7w=")</f>
        <v>#REF!</v>
      </c>
      <c r="GH70" t="str">
        <f>AND(#REF!,"AAAAADf8P70=")</f>
        <v>#REF!</v>
      </c>
      <c r="GI70" t="str">
        <f>AND(#REF!,"AAAAADf8P74=")</f>
        <v>#REF!</v>
      </c>
      <c r="GJ70" t="str">
        <f>AND(#REF!,"AAAAADf8P78=")</f>
        <v>#REF!</v>
      </c>
      <c r="GK70" t="str">
        <f>AND(#REF!,"AAAAADf8P8A=")</f>
        <v>#REF!</v>
      </c>
      <c r="GL70" t="str">
        <f>AND(#REF!,"AAAAADf8P8E=")</f>
        <v>#REF!</v>
      </c>
      <c r="GM70" t="str">
        <f>AND(#REF!,"AAAAADf8P8I=")</f>
        <v>#REF!</v>
      </c>
      <c r="GN70" t="str">
        <f>AND(#REF!,"AAAAADf8P8M=")</f>
        <v>#REF!</v>
      </c>
      <c r="GO70" t="str">
        <f>AND(#REF!,"AAAAADf8P8Q=")</f>
        <v>#REF!</v>
      </c>
      <c r="GP70" t="str">
        <f>AND(#REF!,"AAAAADf8P8U=")</f>
        <v>#REF!</v>
      </c>
      <c r="GQ70" t="str">
        <f>IF(#REF!,"AAAAADf8P8Y=",0)</f>
        <v>#REF!</v>
      </c>
      <c r="GR70" t="str">
        <f>AND(#REF!,"AAAAADf8P8c=")</f>
        <v>#REF!</v>
      </c>
      <c r="GS70" t="str">
        <f>AND(#REF!,"AAAAADf8P8g=")</f>
        <v>#REF!</v>
      </c>
      <c r="GT70" t="str">
        <f>AND(#REF!,"AAAAADf8P8k=")</f>
        <v>#REF!</v>
      </c>
      <c r="GU70" t="str">
        <f>AND(#REF!,"AAAAADf8P8o=")</f>
        <v>#REF!</v>
      </c>
      <c r="GV70" t="str">
        <f>AND(#REF!,"AAAAADf8P8s=")</f>
        <v>#REF!</v>
      </c>
      <c r="GW70" t="str">
        <f>AND(#REF!,"AAAAADf8P8w=")</f>
        <v>#REF!</v>
      </c>
      <c r="GX70" t="str">
        <f>AND(#REF!,"AAAAADf8P80=")</f>
        <v>#REF!</v>
      </c>
      <c r="GY70" t="str">
        <f>AND(#REF!,"AAAAADf8P84=")</f>
        <v>#REF!</v>
      </c>
      <c r="GZ70" t="str">
        <f>AND(#REF!,"AAAAADf8P88=")</f>
        <v>#REF!</v>
      </c>
      <c r="HA70" t="str">
        <f>AND(#REF!,"AAAAADf8P9A=")</f>
        <v>#REF!</v>
      </c>
      <c r="HB70" t="str">
        <f>AND(#REF!,"AAAAADf8P9E=")</f>
        <v>#REF!</v>
      </c>
      <c r="HC70" t="str">
        <f>AND(#REF!,"AAAAADf8P9I=")</f>
        <v>#REF!</v>
      </c>
      <c r="HD70" t="str">
        <f>AND(#REF!,"AAAAADf8P9M=")</f>
        <v>#REF!</v>
      </c>
      <c r="HE70" t="str">
        <f>AND(#REF!,"AAAAADf8P9Q=")</f>
        <v>#REF!</v>
      </c>
      <c r="HF70" t="str">
        <f>AND(#REF!,"AAAAADf8P9U=")</f>
        <v>#REF!</v>
      </c>
      <c r="HG70" t="str">
        <f>AND(#REF!,"AAAAADf8P9Y=")</f>
        <v>#REF!</v>
      </c>
      <c r="HH70" t="str">
        <f>AND(#REF!,"AAAAADf8P9c=")</f>
        <v>#REF!</v>
      </c>
      <c r="HI70" t="str">
        <f>AND(#REF!,"AAAAADf8P9g=")</f>
        <v>#REF!</v>
      </c>
      <c r="HJ70" t="str">
        <f>AND(#REF!,"AAAAADf8P9k=")</f>
        <v>#REF!</v>
      </c>
      <c r="HK70" t="str">
        <f>AND(#REF!,"AAAAADf8P9o=")</f>
        <v>#REF!</v>
      </c>
      <c r="HL70" t="str">
        <f>AND(#REF!,"AAAAADf8P9s=")</f>
        <v>#REF!</v>
      </c>
      <c r="HM70" t="str">
        <f>AND(#REF!,"AAAAADf8P9w=")</f>
        <v>#REF!</v>
      </c>
      <c r="HN70" t="str">
        <f>AND(#REF!,"AAAAADf8P90=")</f>
        <v>#REF!</v>
      </c>
      <c r="HO70" t="str">
        <f>AND(#REF!,"AAAAADf8P94=")</f>
        <v>#REF!</v>
      </c>
      <c r="HP70" t="str">
        <f>AND(#REF!,"AAAAADf8P98=")</f>
        <v>#REF!</v>
      </c>
      <c r="HQ70" t="str">
        <f>AND(#REF!,"AAAAADf8P+A=")</f>
        <v>#REF!</v>
      </c>
      <c r="HR70" t="str">
        <f>AND(#REF!,"AAAAADf8P+E=")</f>
        <v>#REF!</v>
      </c>
      <c r="HS70" t="str">
        <f>AND(#REF!,"AAAAADf8P+I=")</f>
        <v>#REF!</v>
      </c>
      <c r="HT70" t="str">
        <f>AND(#REF!,"AAAAADf8P+M=")</f>
        <v>#REF!</v>
      </c>
      <c r="HU70" t="str">
        <f>AND(#REF!,"AAAAADf8P+Q=")</f>
        <v>#REF!</v>
      </c>
      <c r="HV70" t="str">
        <f>AND(#REF!,"AAAAADf8P+U=")</f>
        <v>#REF!</v>
      </c>
      <c r="HW70" t="str">
        <f>AND(#REF!,"AAAAADf8P+Y=")</f>
        <v>#REF!</v>
      </c>
      <c r="HX70" t="str">
        <f>AND(#REF!,"AAAAADf8P+c=")</f>
        <v>#REF!</v>
      </c>
      <c r="HY70" t="str">
        <f>AND(#REF!,"AAAAADf8P+g=")</f>
        <v>#REF!</v>
      </c>
      <c r="HZ70" t="str">
        <f>AND(#REF!,"AAAAADf8P+k=")</f>
        <v>#REF!</v>
      </c>
      <c r="IA70" t="str">
        <f>AND(#REF!,"AAAAADf8P+o=")</f>
        <v>#REF!</v>
      </c>
      <c r="IB70" t="str">
        <f>AND(#REF!,"AAAAADf8P+s=")</f>
        <v>#REF!</v>
      </c>
      <c r="IC70" t="str">
        <f>AND(#REF!,"AAAAADf8P+w=")</f>
        <v>#REF!</v>
      </c>
      <c r="ID70" t="str">
        <f>AND(#REF!,"AAAAADf8P+0=")</f>
        <v>#REF!</v>
      </c>
      <c r="IE70" t="str">
        <f>AND(#REF!,"AAAAADf8P+4=")</f>
        <v>#REF!</v>
      </c>
      <c r="IF70" t="str">
        <f>AND(#REF!,"AAAAADf8P+8=")</f>
        <v>#REF!</v>
      </c>
      <c r="IG70" t="str">
        <f>AND(#REF!,"AAAAADf8P/A=")</f>
        <v>#REF!</v>
      </c>
      <c r="IH70" t="str">
        <f>AND(#REF!,"AAAAADf8P/E=")</f>
        <v>#REF!</v>
      </c>
      <c r="II70" t="str">
        <f>AND(#REF!,"AAAAADf8P/I=")</f>
        <v>#REF!</v>
      </c>
      <c r="IJ70" t="str">
        <f>AND(#REF!,"AAAAADf8P/M=")</f>
        <v>#REF!</v>
      </c>
      <c r="IK70" t="str">
        <f>AND(#REF!,"AAAAADf8P/Q=")</f>
        <v>#REF!</v>
      </c>
      <c r="IL70" t="str">
        <f>AND(#REF!,"AAAAADf8P/U=")</f>
        <v>#REF!</v>
      </c>
      <c r="IM70" t="str">
        <f>AND(#REF!,"AAAAADf8P/Y=")</f>
        <v>#REF!</v>
      </c>
      <c r="IN70" t="str">
        <f>AND(#REF!,"AAAAADf8P/c=")</f>
        <v>#REF!</v>
      </c>
      <c r="IO70" t="str">
        <f>AND(#REF!,"AAAAADf8P/g=")</f>
        <v>#REF!</v>
      </c>
      <c r="IP70" t="str">
        <f>AND(#REF!,"AAAAADf8P/k=")</f>
        <v>#REF!</v>
      </c>
      <c r="IQ70" t="str">
        <f>AND(#REF!,"AAAAADf8P/o=")</f>
        <v>#REF!</v>
      </c>
      <c r="IR70" t="str">
        <f>AND(#REF!,"AAAAADf8P/s=")</f>
        <v>#REF!</v>
      </c>
      <c r="IS70" t="str">
        <f>AND(#REF!,"AAAAADf8P/w=")</f>
        <v>#REF!</v>
      </c>
      <c r="IT70" t="str">
        <f>AND(#REF!,"AAAAADf8P/0=")</f>
        <v>#REF!</v>
      </c>
      <c r="IU70" t="str">
        <f>AND(#REF!,"AAAAADf8P/4=")</f>
        <v>#REF!</v>
      </c>
      <c r="IV70" t="str">
        <f>AND(#REF!,"AAAAADf8P/8=")</f>
        <v>#REF!</v>
      </c>
    </row>
    <row r="71" ht="15.75" customHeight="1">
      <c r="A71" t="str">
        <f>AND(#REF!,"AAAAAH863wA=")</f>
        <v>#REF!</v>
      </c>
      <c r="B71" t="str">
        <f>AND(#REF!,"AAAAAH863wE=")</f>
        <v>#REF!</v>
      </c>
      <c r="C71" t="str">
        <f>AND(#REF!,"AAAAAH863wI=")</f>
        <v>#REF!</v>
      </c>
      <c r="D71" t="str">
        <f>AND(#REF!,"AAAAAH863wM=")</f>
        <v>#REF!</v>
      </c>
      <c r="E71" t="str">
        <f>AND(#REF!,"AAAAAH863wQ=")</f>
        <v>#REF!</v>
      </c>
      <c r="F71" t="str">
        <f>AND(#REF!,"AAAAAH863wU=")</f>
        <v>#REF!</v>
      </c>
      <c r="G71" t="str">
        <f>AND(#REF!,"AAAAAH863wY=")</f>
        <v>#REF!</v>
      </c>
      <c r="H71" t="str">
        <f>AND(#REF!,"AAAAAH863wc=")</f>
        <v>#REF!</v>
      </c>
      <c r="I71" t="str">
        <f>AND(#REF!,"AAAAAH863wg=")</f>
        <v>#REF!</v>
      </c>
      <c r="J71" t="str">
        <f>AND(#REF!,"AAAAAH863wk=")</f>
        <v>#REF!</v>
      </c>
      <c r="K71" t="str">
        <f>AND(#REF!,"AAAAAH863wo=")</f>
        <v>#REF!</v>
      </c>
      <c r="L71" t="str">
        <f>AND(#REF!,"AAAAAH863ws=")</f>
        <v>#REF!</v>
      </c>
      <c r="M71" t="str">
        <f>AND(#REF!,"AAAAAH863ww=")</f>
        <v>#REF!</v>
      </c>
      <c r="N71" t="str">
        <f>AND(#REF!,"AAAAAH863w0=")</f>
        <v>#REF!</v>
      </c>
      <c r="O71" t="str">
        <f>AND(#REF!,"AAAAAH863w4=")</f>
        <v>#REF!</v>
      </c>
      <c r="P71" t="str">
        <f>AND(#REF!,"AAAAAH863w8=")</f>
        <v>#REF!</v>
      </c>
      <c r="Q71" t="str">
        <f>AND(#REF!,"AAAAAH863xA=")</f>
        <v>#REF!</v>
      </c>
      <c r="R71" t="str">
        <f>AND(#REF!,"AAAAAH863xE=")</f>
        <v>#REF!</v>
      </c>
      <c r="S71" t="str">
        <f>IF(#REF!,"AAAAAH863xI=",0)</f>
        <v>#REF!</v>
      </c>
      <c r="T71" t="str">
        <f>AND(#REF!,"AAAAAH863xM=")</f>
        <v>#REF!</v>
      </c>
      <c r="U71" t="str">
        <f>AND(#REF!,"AAAAAH863xQ=")</f>
        <v>#REF!</v>
      </c>
      <c r="V71" t="str">
        <f>AND(#REF!,"AAAAAH863xU=")</f>
        <v>#REF!</v>
      </c>
      <c r="W71" t="str">
        <f>AND(#REF!,"AAAAAH863xY=")</f>
        <v>#REF!</v>
      </c>
      <c r="X71" t="str">
        <f>AND(#REF!,"AAAAAH863xc=")</f>
        <v>#REF!</v>
      </c>
      <c r="Y71" t="str">
        <f>AND(#REF!,"AAAAAH863xg=")</f>
        <v>#REF!</v>
      </c>
      <c r="Z71" t="str">
        <f>AND(#REF!,"AAAAAH863xk=")</f>
        <v>#REF!</v>
      </c>
      <c r="AA71" t="str">
        <f>AND(#REF!,"AAAAAH863xo=")</f>
        <v>#REF!</v>
      </c>
      <c r="AB71" t="str">
        <f>AND(#REF!,"AAAAAH863xs=")</f>
        <v>#REF!</v>
      </c>
      <c r="AC71" t="str">
        <f>AND(#REF!,"AAAAAH863xw=")</f>
        <v>#REF!</v>
      </c>
      <c r="AD71" t="str">
        <f>AND(#REF!,"AAAAAH863x0=")</f>
        <v>#REF!</v>
      </c>
      <c r="AE71" t="str">
        <f>AND(#REF!,"AAAAAH863x4=")</f>
        <v>#REF!</v>
      </c>
      <c r="AF71" t="str">
        <f>AND(#REF!,"AAAAAH863x8=")</f>
        <v>#REF!</v>
      </c>
      <c r="AG71" t="str">
        <f>AND(#REF!,"AAAAAH863yA=")</f>
        <v>#REF!</v>
      </c>
      <c r="AH71" t="str">
        <f>AND(#REF!,"AAAAAH863yE=")</f>
        <v>#REF!</v>
      </c>
      <c r="AI71" t="str">
        <f>AND(#REF!,"AAAAAH863yI=")</f>
        <v>#REF!</v>
      </c>
      <c r="AJ71" t="str">
        <f>AND(#REF!,"AAAAAH863yM=")</f>
        <v>#REF!</v>
      </c>
      <c r="AK71" t="str">
        <f>AND(#REF!,"AAAAAH863yQ=")</f>
        <v>#REF!</v>
      </c>
      <c r="AL71" t="str">
        <f>AND(#REF!,"AAAAAH863yU=")</f>
        <v>#REF!</v>
      </c>
      <c r="AM71" t="str">
        <f>AND(#REF!,"AAAAAH863yY=")</f>
        <v>#REF!</v>
      </c>
      <c r="AN71" t="str">
        <f>AND(#REF!,"AAAAAH863yc=")</f>
        <v>#REF!</v>
      </c>
      <c r="AO71" t="str">
        <f>AND(#REF!,"AAAAAH863yg=")</f>
        <v>#REF!</v>
      </c>
      <c r="AP71" t="str">
        <f>AND(#REF!,"AAAAAH863yk=")</f>
        <v>#REF!</v>
      </c>
      <c r="AQ71" t="str">
        <f>AND(#REF!,"AAAAAH863yo=")</f>
        <v>#REF!</v>
      </c>
      <c r="AR71" t="str">
        <f>AND(#REF!,"AAAAAH863ys=")</f>
        <v>#REF!</v>
      </c>
      <c r="AS71" t="str">
        <f>AND(#REF!,"AAAAAH863yw=")</f>
        <v>#REF!</v>
      </c>
      <c r="AT71" t="str">
        <f>AND(#REF!,"AAAAAH863y0=")</f>
        <v>#REF!</v>
      </c>
      <c r="AU71" t="str">
        <f>AND(#REF!,"AAAAAH863y4=")</f>
        <v>#REF!</v>
      </c>
      <c r="AV71" t="str">
        <f>AND(#REF!,"AAAAAH863y8=")</f>
        <v>#REF!</v>
      </c>
      <c r="AW71" t="str">
        <f>AND(#REF!,"AAAAAH863zA=")</f>
        <v>#REF!</v>
      </c>
      <c r="AX71" t="str">
        <f>AND(#REF!,"AAAAAH863zE=")</f>
        <v>#REF!</v>
      </c>
      <c r="AY71" t="str">
        <f>AND(#REF!,"AAAAAH863zI=")</f>
        <v>#REF!</v>
      </c>
      <c r="AZ71" t="str">
        <f>AND(#REF!,"AAAAAH863zM=")</f>
        <v>#REF!</v>
      </c>
      <c r="BA71" t="str">
        <f>AND(#REF!,"AAAAAH863zQ=")</f>
        <v>#REF!</v>
      </c>
      <c r="BB71" t="str">
        <f>AND(#REF!,"AAAAAH863zU=")</f>
        <v>#REF!</v>
      </c>
      <c r="BC71" t="str">
        <f>AND(#REF!,"AAAAAH863zY=")</f>
        <v>#REF!</v>
      </c>
      <c r="BD71" t="str">
        <f>AND(#REF!,"AAAAAH863zc=")</f>
        <v>#REF!</v>
      </c>
      <c r="BE71" t="str">
        <f>AND(#REF!,"AAAAAH863zg=")</f>
        <v>#REF!</v>
      </c>
      <c r="BF71" t="str">
        <f>AND(#REF!,"AAAAAH863zk=")</f>
        <v>#REF!</v>
      </c>
      <c r="BG71" t="str">
        <f>AND(#REF!,"AAAAAH863zo=")</f>
        <v>#REF!</v>
      </c>
      <c r="BH71" t="str">
        <f>AND(#REF!,"AAAAAH863zs=")</f>
        <v>#REF!</v>
      </c>
      <c r="BI71" t="str">
        <f>AND(#REF!,"AAAAAH863zw=")</f>
        <v>#REF!</v>
      </c>
      <c r="BJ71" t="str">
        <f>AND(#REF!,"AAAAAH863z0=")</f>
        <v>#REF!</v>
      </c>
      <c r="BK71" t="str">
        <f>AND(#REF!,"AAAAAH863z4=")</f>
        <v>#REF!</v>
      </c>
      <c r="BL71" t="str">
        <f>AND(#REF!,"AAAAAH863z8=")</f>
        <v>#REF!</v>
      </c>
      <c r="BM71" t="str">
        <f>AND(#REF!,"AAAAAH8630A=")</f>
        <v>#REF!</v>
      </c>
      <c r="BN71" t="str">
        <f>AND(#REF!,"AAAAAH8630E=")</f>
        <v>#REF!</v>
      </c>
      <c r="BO71" t="str">
        <f>AND(#REF!,"AAAAAH8630I=")</f>
        <v>#REF!</v>
      </c>
      <c r="BP71" t="str">
        <f>AND(#REF!,"AAAAAH8630M=")</f>
        <v>#REF!</v>
      </c>
      <c r="BQ71" t="str">
        <f>AND(#REF!,"AAAAAH8630Q=")</f>
        <v>#REF!</v>
      </c>
      <c r="BR71" t="str">
        <f>AND(#REF!,"AAAAAH8630U=")</f>
        <v>#REF!</v>
      </c>
      <c r="BS71" t="str">
        <f>AND(#REF!,"AAAAAH8630Y=")</f>
        <v>#REF!</v>
      </c>
      <c r="BT71" t="str">
        <f>AND(#REF!,"AAAAAH8630c=")</f>
        <v>#REF!</v>
      </c>
      <c r="BU71" t="str">
        <f>AND(#REF!,"AAAAAH8630g=")</f>
        <v>#REF!</v>
      </c>
      <c r="BV71" t="str">
        <f>AND(#REF!,"AAAAAH8630k=")</f>
        <v>#REF!</v>
      </c>
      <c r="BW71" t="str">
        <f>AND(#REF!,"AAAAAH8630o=")</f>
        <v>#REF!</v>
      </c>
      <c r="BX71" t="str">
        <f>AND(#REF!,"AAAAAH8630s=")</f>
        <v>#REF!</v>
      </c>
      <c r="BY71" t="str">
        <f>AND(#REF!,"AAAAAH8630w=")</f>
        <v>#REF!</v>
      </c>
      <c r="BZ71" t="str">
        <f>AND(#REF!,"AAAAAH86300=")</f>
        <v>#REF!</v>
      </c>
      <c r="CA71" t="str">
        <f>AND(#REF!,"AAAAAH86304=")</f>
        <v>#REF!</v>
      </c>
      <c r="CB71" t="str">
        <f>AND(#REF!,"AAAAAH86308=")</f>
        <v>#REF!</v>
      </c>
      <c r="CC71" t="str">
        <f>AND(#REF!,"AAAAAH8631A=")</f>
        <v>#REF!</v>
      </c>
      <c r="CD71" t="str">
        <f>AND(#REF!,"AAAAAH8631E=")</f>
        <v>#REF!</v>
      </c>
      <c r="CE71" t="str">
        <f>AND(#REF!,"AAAAAH8631I=")</f>
        <v>#REF!</v>
      </c>
      <c r="CF71" t="str">
        <f>AND(#REF!,"AAAAAH8631M=")</f>
        <v>#REF!</v>
      </c>
      <c r="CG71" t="str">
        <f>AND(#REF!,"AAAAAH8631Q=")</f>
        <v>#REF!</v>
      </c>
      <c r="CH71" t="str">
        <f>AND(#REF!,"AAAAAH8631U=")</f>
        <v>#REF!</v>
      </c>
      <c r="CI71" t="str">
        <f>AND(#REF!,"AAAAAH8631Y=")</f>
        <v>#REF!</v>
      </c>
      <c r="CJ71" t="str">
        <f>AND(#REF!,"AAAAAH8631c=")</f>
        <v>#REF!</v>
      </c>
      <c r="CK71" t="str">
        <f>AND(#REF!,"AAAAAH8631g=")</f>
        <v>#REF!</v>
      </c>
      <c r="CL71" t="str">
        <f>AND(#REF!,"AAAAAH8631k=")</f>
        <v>#REF!</v>
      </c>
      <c r="CM71" t="str">
        <f>AND(#REF!,"AAAAAH8631o=")</f>
        <v>#REF!</v>
      </c>
      <c r="CN71" t="str">
        <f>AND(#REF!,"AAAAAH8631s=")</f>
        <v>#REF!</v>
      </c>
      <c r="CO71" t="str">
        <f>AND(#REF!,"AAAAAH8631w=")</f>
        <v>#REF!</v>
      </c>
      <c r="CP71" t="str">
        <f>AND(#REF!,"AAAAAH86310=")</f>
        <v>#REF!</v>
      </c>
      <c r="CQ71" t="str">
        <f>IF(#REF!,"AAAAAH86314=",0)</f>
        <v>#REF!</v>
      </c>
      <c r="CR71" t="str">
        <f>AND(#REF!,"AAAAAH86318=")</f>
        <v>#REF!</v>
      </c>
      <c r="CS71" t="str">
        <f>AND(#REF!,"AAAAAH8632A=")</f>
        <v>#REF!</v>
      </c>
      <c r="CT71" t="str">
        <f>AND(#REF!,"AAAAAH8632E=")</f>
        <v>#REF!</v>
      </c>
      <c r="CU71" t="str">
        <f>AND(#REF!,"AAAAAH8632I=")</f>
        <v>#REF!</v>
      </c>
      <c r="CV71" t="str">
        <f>AND(#REF!,"AAAAAH8632M=")</f>
        <v>#REF!</v>
      </c>
      <c r="CW71" t="str">
        <f>AND(#REF!,"AAAAAH8632Q=")</f>
        <v>#REF!</v>
      </c>
      <c r="CX71" t="str">
        <f>AND(#REF!,"AAAAAH8632U=")</f>
        <v>#REF!</v>
      </c>
      <c r="CY71" t="str">
        <f>AND(#REF!,"AAAAAH8632Y=")</f>
        <v>#REF!</v>
      </c>
      <c r="CZ71" t="str">
        <f>AND(#REF!,"AAAAAH8632c=")</f>
        <v>#REF!</v>
      </c>
      <c r="DA71" t="str">
        <f>AND(#REF!,"AAAAAH8632g=")</f>
        <v>#REF!</v>
      </c>
      <c r="DB71" t="str">
        <f>AND(#REF!,"AAAAAH8632k=")</f>
        <v>#REF!</v>
      </c>
      <c r="DC71" t="str">
        <f>AND(#REF!,"AAAAAH8632o=")</f>
        <v>#REF!</v>
      </c>
      <c r="DD71" t="str">
        <f>AND(#REF!,"AAAAAH8632s=")</f>
        <v>#REF!</v>
      </c>
      <c r="DE71" t="str">
        <f>AND(#REF!,"AAAAAH8632w=")</f>
        <v>#REF!</v>
      </c>
      <c r="DF71" t="str">
        <f>AND(#REF!,"AAAAAH86320=")</f>
        <v>#REF!</v>
      </c>
      <c r="DG71" t="str">
        <f>AND(#REF!,"AAAAAH86324=")</f>
        <v>#REF!</v>
      </c>
      <c r="DH71" t="str">
        <f>AND(#REF!,"AAAAAH86328=")</f>
        <v>#REF!</v>
      </c>
      <c r="DI71" t="str">
        <f>AND(#REF!,"AAAAAH8633A=")</f>
        <v>#REF!</v>
      </c>
      <c r="DJ71" t="str">
        <f>AND(#REF!,"AAAAAH8633E=")</f>
        <v>#REF!</v>
      </c>
      <c r="DK71" t="str">
        <f>AND(#REF!,"AAAAAH8633I=")</f>
        <v>#REF!</v>
      </c>
      <c r="DL71" t="str">
        <f>AND(#REF!,"AAAAAH8633M=")</f>
        <v>#REF!</v>
      </c>
      <c r="DM71" t="str">
        <f>AND(#REF!,"AAAAAH8633Q=")</f>
        <v>#REF!</v>
      </c>
      <c r="DN71" t="str">
        <f>AND(#REF!,"AAAAAH8633U=")</f>
        <v>#REF!</v>
      </c>
      <c r="DO71" t="str">
        <f>AND(#REF!,"AAAAAH8633Y=")</f>
        <v>#REF!</v>
      </c>
      <c r="DP71" t="str">
        <f>AND(#REF!,"AAAAAH8633c=")</f>
        <v>#REF!</v>
      </c>
      <c r="DQ71" t="str">
        <f>AND(#REF!,"AAAAAH8633g=")</f>
        <v>#REF!</v>
      </c>
      <c r="DR71" t="str">
        <f>AND(#REF!,"AAAAAH8633k=")</f>
        <v>#REF!</v>
      </c>
      <c r="DS71" t="str">
        <f>AND(#REF!,"AAAAAH8633o=")</f>
        <v>#REF!</v>
      </c>
      <c r="DT71" t="str">
        <f>AND(#REF!,"AAAAAH8633s=")</f>
        <v>#REF!</v>
      </c>
      <c r="DU71" t="str">
        <f>AND(#REF!,"AAAAAH8633w=")</f>
        <v>#REF!</v>
      </c>
      <c r="DV71" t="str">
        <f>AND(#REF!,"AAAAAH86330=")</f>
        <v>#REF!</v>
      </c>
      <c r="DW71" t="str">
        <f>AND(#REF!,"AAAAAH86334=")</f>
        <v>#REF!</v>
      </c>
      <c r="DX71" t="str">
        <f>AND(#REF!,"AAAAAH86338=")</f>
        <v>#REF!</v>
      </c>
      <c r="DY71" t="str">
        <f>AND(#REF!,"AAAAAH8634A=")</f>
        <v>#REF!</v>
      </c>
      <c r="DZ71" t="str">
        <f>AND(#REF!,"AAAAAH8634E=")</f>
        <v>#REF!</v>
      </c>
      <c r="EA71" t="str">
        <f>AND(#REF!,"AAAAAH8634I=")</f>
        <v>#REF!</v>
      </c>
      <c r="EB71" t="str">
        <f>AND(#REF!,"AAAAAH8634M=")</f>
        <v>#REF!</v>
      </c>
      <c r="EC71" t="str">
        <f>AND(#REF!,"AAAAAH8634Q=")</f>
        <v>#REF!</v>
      </c>
      <c r="ED71" t="str">
        <f>AND(#REF!,"AAAAAH8634U=")</f>
        <v>#REF!</v>
      </c>
      <c r="EE71" t="str">
        <f>AND(#REF!,"AAAAAH8634Y=")</f>
        <v>#REF!</v>
      </c>
      <c r="EF71" t="str">
        <f>AND(#REF!,"AAAAAH8634c=")</f>
        <v>#REF!</v>
      </c>
      <c r="EG71" t="str">
        <f>AND(#REF!,"AAAAAH8634g=")</f>
        <v>#REF!</v>
      </c>
      <c r="EH71" t="str">
        <f>AND(#REF!,"AAAAAH8634k=")</f>
        <v>#REF!</v>
      </c>
      <c r="EI71" t="str">
        <f>AND(#REF!,"AAAAAH8634o=")</f>
        <v>#REF!</v>
      </c>
      <c r="EJ71" t="str">
        <f>AND(#REF!,"AAAAAH8634s=")</f>
        <v>#REF!</v>
      </c>
      <c r="EK71" t="str">
        <f>AND(#REF!,"AAAAAH8634w=")</f>
        <v>#REF!</v>
      </c>
      <c r="EL71" t="str">
        <f>AND(#REF!,"AAAAAH86340=")</f>
        <v>#REF!</v>
      </c>
      <c r="EM71" t="str">
        <f>AND(#REF!,"AAAAAH86344=")</f>
        <v>#REF!</v>
      </c>
      <c r="EN71" t="str">
        <f>AND(#REF!,"AAAAAH86348=")</f>
        <v>#REF!</v>
      </c>
      <c r="EO71" t="str">
        <f>AND(#REF!,"AAAAAH8635A=")</f>
        <v>#REF!</v>
      </c>
      <c r="EP71" t="str">
        <f>AND(#REF!,"AAAAAH8635E=")</f>
        <v>#REF!</v>
      </c>
      <c r="EQ71" t="str">
        <f>AND(#REF!,"AAAAAH8635I=")</f>
        <v>#REF!</v>
      </c>
      <c r="ER71" t="str">
        <f>AND(#REF!,"AAAAAH8635M=")</f>
        <v>#REF!</v>
      </c>
      <c r="ES71" t="str">
        <f>AND(#REF!,"AAAAAH8635Q=")</f>
        <v>#REF!</v>
      </c>
      <c r="ET71" t="str">
        <f>AND(#REF!,"AAAAAH8635U=")</f>
        <v>#REF!</v>
      </c>
      <c r="EU71" t="str">
        <f>AND(#REF!,"AAAAAH8635Y=")</f>
        <v>#REF!</v>
      </c>
      <c r="EV71" t="str">
        <f>AND(#REF!,"AAAAAH8635c=")</f>
        <v>#REF!</v>
      </c>
      <c r="EW71" t="str">
        <f>AND(#REF!,"AAAAAH8635g=")</f>
        <v>#REF!</v>
      </c>
      <c r="EX71" t="str">
        <f>AND(#REF!,"AAAAAH8635k=")</f>
        <v>#REF!</v>
      </c>
      <c r="EY71" t="str">
        <f>AND(#REF!,"AAAAAH8635o=")</f>
        <v>#REF!</v>
      </c>
      <c r="EZ71" t="str">
        <f>AND(#REF!,"AAAAAH8635s=")</f>
        <v>#REF!</v>
      </c>
      <c r="FA71" t="str">
        <f>AND(#REF!,"AAAAAH8635w=")</f>
        <v>#REF!</v>
      </c>
      <c r="FB71" t="str">
        <f>AND(#REF!,"AAAAAH86350=")</f>
        <v>#REF!</v>
      </c>
      <c r="FC71" t="str">
        <f>AND(#REF!,"AAAAAH86354=")</f>
        <v>#REF!</v>
      </c>
      <c r="FD71" t="str">
        <f>AND(#REF!,"AAAAAH86358=")</f>
        <v>#REF!</v>
      </c>
      <c r="FE71" t="str">
        <f>AND(#REF!,"AAAAAH8636A=")</f>
        <v>#REF!</v>
      </c>
      <c r="FF71" t="str">
        <f>AND(#REF!,"AAAAAH8636E=")</f>
        <v>#REF!</v>
      </c>
      <c r="FG71" t="str">
        <f>AND(#REF!,"AAAAAH8636I=")</f>
        <v>#REF!</v>
      </c>
      <c r="FH71" t="str">
        <f>AND(#REF!,"AAAAAH8636M=")</f>
        <v>#REF!</v>
      </c>
      <c r="FI71" t="str">
        <f>AND(#REF!,"AAAAAH8636Q=")</f>
        <v>#REF!</v>
      </c>
      <c r="FJ71" t="str">
        <f>AND(#REF!,"AAAAAH8636U=")</f>
        <v>#REF!</v>
      </c>
      <c r="FK71" t="str">
        <f>AND(#REF!,"AAAAAH8636Y=")</f>
        <v>#REF!</v>
      </c>
      <c r="FL71" t="str">
        <f>AND(#REF!,"AAAAAH8636c=")</f>
        <v>#REF!</v>
      </c>
      <c r="FM71" t="str">
        <f>AND(#REF!,"AAAAAH8636g=")</f>
        <v>#REF!</v>
      </c>
      <c r="FN71" t="str">
        <f>AND(#REF!,"AAAAAH8636k=")</f>
        <v>#REF!</v>
      </c>
      <c r="FO71" t="str">
        <f>IF(#REF!,"AAAAAH8636o=",0)</f>
        <v>#REF!</v>
      </c>
      <c r="FP71" t="str">
        <f>AND(#REF!,"AAAAAH8636s=")</f>
        <v>#REF!</v>
      </c>
      <c r="FQ71" t="str">
        <f>AND(#REF!,"AAAAAH8636w=")</f>
        <v>#REF!</v>
      </c>
      <c r="FR71" t="str">
        <f>AND(#REF!,"AAAAAH86360=")</f>
        <v>#REF!</v>
      </c>
      <c r="FS71" t="str">
        <f>AND(#REF!,"AAAAAH86364=")</f>
        <v>#REF!</v>
      </c>
      <c r="FT71" t="str">
        <f>AND(#REF!,"AAAAAH86368=")</f>
        <v>#REF!</v>
      </c>
      <c r="FU71" t="str">
        <f>AND(#REF!,"AAAAAH8637A=")</f>
        <v>#REF!</v>
      </c>
      <c r="FV71" t="str">
        <f>AND(#REF!,"AAAAAH8637E=")</f>
        <v>#REF!</v>
      </c>
      <c r="FW71" t="str">
        <f>AND(#REF!,"AAAAAH8637I=")</f>
        <v>#REF!</v>
      </c>
      <c r="FX71" t="str">
        <f>AND(#REF!,"AAAAAH8637M=")</f>
        <v>#REF!</v>
      </c>
      <c r="FY71" t="str">
        <f>AND(#REF!,"AAAAAH8637Q=")</f>
        <v>#REF!</v>
      </c>
      <c r="FZ71" t="str">
        <f>AND(#REF!,"AAAAAH8637U=")</f>
        <v>#REF!</v>
      </c>
      <c r="GA71" t="str">
        <f>AND(#REF!,"AAAAAH8637Y=")</f>
        <v>#REF!</v>
      </c>
      <c r="GB71" t="str">
        <f>AND(#REF!,"AAAAAH8637c=")</f>
        <v>#REF!</v>
      </c>
      <c r="GC71" t="str">
        <f>AND(#REF!,"AAAAAH8637g=")</f>
        <v>#REF!</v>
      </c>
      <c r="GD71" t="str">
        <f>AND(#REF!,"AAAAAH8637k=")</f>
        <v>#REF!</v>
      </c>
      <c r="GE71" t="str">
        <f>AND(#REF!,"AAAAAH8637o=")</f>
        <v>#REF!</v>
      </c>
      <c r="GF71" t="str">
        <f>AND(#REF!,"AAAAAH8637s=")</f>
        <v>#REF!</v>
      </c>
      <c r="GG71" t="str">
        <f>AND(#REF!,"AAAAAH8637w=")</f>
        <v>#REF!</v>
      </c>
      <c r="GH71" t="str">
        <f>AND(#REF!,"AAAAAH86370=")</f>
        <v>#REF!</v>
      </c>
      <c r="GI71" t="str">
        <f>AND(#REF!,"AAAAAH86374=")</f>
        <v>#REF!</v>
      </c>
      <c r="GJ71" t="str">
        <f>AND(#REF!,"AAAAAH86378=")</f>
        <v>#REF!</v>
      </c>
      <c r="GK71" t="str">
        <f>AND(#REF!,"AAAAAH8638A=")</f>
        <v>#REF!</v>
      </c>
      <c r="GL71" t="str">
        <f>AND(#REF!,"AAAAAH8638E=")</f>
        <v>#REF!</v>
      </c>
      <c r="GM71" t="str">
        <f>AND(#REF!,"AAAAAH8638I=")</f>
        <v>#REF!</v>
      </c>
      <c r="GN71" t="str">
        <f>AND(#REF!,"AAAAAH8638M=")</f>
        <v>#REF!</v>
      </c>
      <c r="GO71" t="str">
        <f>AND(#REF!,"AAAAAH8638Q=")</f>
        <v>#REF!</v>
      </c>
      <c r="GP71" t="str">
        <f>AND(#REF!,"AAAAAH8638U=")</f>
        <v>#REF!</v>
      </c>
      <c r="GQ71" t="str">
        <f>AND(#REF!,"AAAAAH8638Y=")</f>
        <v>#REF!</v>
      </c>
      <c r="GR71" t="str">
        <f>AND(#REF!,"AAAAAH8638c=")</f>
        <v>#REF!</v>
      </c>
      <c r="GS71" t="str">
        <f>AND(#REF!,"AAAAAH8638g=")</f>
        <v>#REF!</v>
      </c>
      <c r="GT71" t="str">
        <f>AND(#REF!,"AAAAAH8638k=")</f>
        <v>#REF!</v>
      </c>
      <c r="GU71" t="str">
        <f>AND(#REF!,"AAAAAH8638o=")</f>
        <v>#REF!</v>
      </c>
      <c r="GV71" t="str">
        <f>AND(#REF!,"AAAAAH8638s=")</f>
        <v>#REF!</v>
      </c>
      <c r="GW71" t="str">
        <f>AND(#REF!,"AAAAAH8638w=")</f>
        <v>#REF!</v>
      </c>
      <c r="GX71" t="str">
        <f>AND(#REF!,"AAAAAH86380=")</f>
        <v>#REF!</v>
      </c>
      <c r="GY71" t="str">
        <f>AND(#REF!,"AAAAAH86384=")</f>
        <v>#REF!</v>
      </c>
      <c r="GZ71" t="str">
        <f>AND(#REF!,"AAAAAH86388=")</f>
        <v>#REF!</v>
      </c>
      <c r="HA71" t="str">
        <f>AND(#REF!,"AAAAAH8639A=")</f>
        <v>#REF!</v>
      </c>
      <c r="HB71" t="str">
        <f>AND(#REF!,"AAAAAH8639E=")</f>
        <v>#REF!</v>
      </c>
      <c r="HC71" t="str">
        <f>AND(#REF!,"AAAAAH8639I=")</f>
        <v>#REF!</v>
      </c>
      <c r="HD71" t="str">
        <f>AND(#REF!,"AAAAAH8639M=")</f>
        <v>#REF!</v>
      </c>
      <c r="HE71" t="str">
        <f>AND(#REF!,"AAAAAH8639Q=")</f>
        <v>#REF!</v>
      </c>
      <c r="HF71" t="str">
        <f>AND(#REF!,"AAAAAH8639U=")</f>
        <v>#REF!</v>
      </c>
      <c r="HG71" t="str">
        <f>AND(#REF!,"AAAAAH8639Y=")</f>
        <v>#REF!</v>
      </c>
      <c r="HH71" t="str">
        <f>AND(#REF!,"AAAAAH8639c=")</f>
        <v>#REF!</v>
      </c>
      <c r="HI71" t="str">
        <f>AND(#REF!,"AAAAAH8639g=")</f>
        <v>#REF!</v>
      </c>
      <c r="HJ71" t="str">
        <f>AND(#REF!,"AAAAAH8639k=")</f>
        <v>#REF!</v>
      </c>
      <c r="HK71" t="str">
        <f>AND(#REF!,"AAAAAH8639o=")</f>
        <v>#REF!</v>
      </c>
      <c r="HL71" t="str">
        <f>AND(#REF!,"AAAAAH8639s=")</f>
        <v>#REF!</v>
      </c>
      <c r="HM71" t="str">
        <f>AND(#REF!,"AAAAAH8639w=")</f>
        <v>#REF!</v>
      </c>
      <c r="HN71" t="str">
        <f>AND(#REF!,"AAAAAH86390=")</f>
        <v>#REF!</v>
      </c>
      <c r="HO71" t="str">
        <f>AND(#REF!,"AAAAAH86394=")</f>
        <v>#REF!</v>
      </c>
      <c r="HP71" t="str">
        <f>AND(#REF!,"AAAAAH86398=")</f>
        <v>#REF!</v>
      </c>
      <c r="HQ71" t="str">
        <f>AND(#REF!,"AAAAAH863+A=")</f>
        <v>#REF!</v>
      </c>
      <c r="HR71" t="str">
        <f>AND(#REF!,"AAAAAH863+E=")</f>
        <v>#REF!</v>
      </c>
      <c r="HS71" t="str">
        <f>AND(#REF!,"AAAAAH863+I=")</f>
        <v>#REF!</v>
      </c>
      <c r="HT71" t="str">
        <f>AND(#REF!,"AAAAAH863+M=")</f>
        <v>#REF!</v>
      </c>
      <c r="HU71" t="str">
        <f>AND(#REF!,"AAAAAH863+Q=")</f>
        <v>#REF!</v>
      </c>
      <c r="HV71" t="str">
        <f>AND(#REF!,"AAAAAH863+U=")</f>
        <v>#REF!</v>
      </c>
      <c r="HW71" t="str">
        <f>AND(#REF!,"AAAAAH863+Y=")</f>
        <v>#REF!</v>
      </c>
      <c r="HX71" t="str">
        <f>AND(#REF!,"AAAAAH863+c=")</f>
        <v>#REF!</v>
      </c>
      <c r="HY71" t="str">
        <f>AND(#REF!,"AAAAAH863+g=")</f>
        <v>#REF!</v>
      </c>
      <c r="HZ71" t="str">
        <f>AND(#REF!,"AAAAAH863+k=")</f>
        <v>#REF!</v>
      </c>
      <c r="IA71" t="str">
        <f>AND(#REF!,"AAAAAH863+o=")</f>
        <v>#REF!</v>
      </c>
      <c r="IB71" t="str">
        <f>AND(#REF!,"AAAAAH863+s=")</f>
        <v>#REF!</v>
      </c>
      <c r="IC71" t="str">
        <f>AND(#REF!,"AAAAAH863+w=")</f>
        <v>#REF!</v>
      </c>
      <c r="ID71" t="str">
        <f>AND(#REF!,"AAAAAH863+0=")</f>
        <v>#REF!</v>
      </c>
      <c r="IE71" t="str">
        <f>AND(#REF!,"AAAAAH863+4=")</f>
        <v>#REF!</v>
      </c>
      <c r="IF71" t="str">
        <f>AND(#REF!,"AAAAAH863+8=")</f>
        <v>#REF!</v>
      </c>
      <c r="IG71" t="str">
        <f>AND(#REF!,"AAAAAH863/A=")</f>
        <v>#REF!</v>
      </c>
      <c r="IH71" t="str">
        <f>AND(#REF!,"AAAAAH863/E=")</f>
        <v>#REF!</v>
      </c>
      <c r="II71" t="str">
        <f>AND(#REF!,"AAAAAH863/I=")</f>
        <v>#REF!</v>
      </c>
      <c r="IJ71" t="str">
        <f>AND(#REF!,"AAAAAH863/M=")</f>
        <v>#REF!</v>
      </c>
      <c r="IK71" t="str">
        <f>AND(#REF!,"AAAAAH863/Q=")</f>
        <v>#REF!</v>
      </c>
      <c r="IL71" t="str">
        <f>AND(#REF!,"AAAAAH863/U=")</f>
        <v>#REF!</v>
      </c>
      <c r="IM71" t="str">
        <f>IF(#REF!,"AAAAAH863/Y=",0)</f>
        <v>#REF!</v>
      </c>
      <c r="IN71" t="str">
        <f>AND(#REF!,"AAAAAH863/c=")</f>
        <v>#REF!</v>
      </c>
      <c r="IO71" t="str">
        <f>AND(#REF!,"AAAAAH863/g=")</f>
        <v>#REF!</v>
      </c>
      <c r="IP71" t="str">
        <f>AND(#REF!,"AAAAAH863/k=")</f>
        <v>#REF!</v>
      </c>
      <c r="IQ71" t="str">
        <f>AND(#REF!,"AAAAAH863/o=")</f>
        <v>#REF!</v>
      </c>
      <c r="IR71" t="str">
        <f>AND(#REF!,"AAAAAH863/s=")</f>
        <v>#REF!</v>
      </c>
      <c r="IS71" t="str">
        <f>AND(#REF!,"AAAAAH863/w=")</f>
        <v>#REF!</v>
      </c>
      <c r="IT71" t="str">
        <f>AND(#REF!,"AAAAAH863/0=")</f>
        <v>#REF!</v>
      </c>
      <c r="IU71" t="str">
        <f>AND(#REF!,"AAAAAH863/4=")</f>
        <v>#REF!</v>
      </c>
      <c r="IV71" t="str">
        <f>AND(#REF!,"AAAAAH863/8=")</f>
        <v>#REF!</v>
      </c>
    </row>
    <row r="72" ht="15.75" customHeight="1">
      <c r="A72" t="str">
        <f>AND(#REF!,"AAAAAHb9TwA=")</f>
        <v>#REF!</v>
      </c>
      <c r="B72" t="str">
        <f>AND(#REF!,"AAAAAHb9TwE=")</f>
        <v>#REF!</v>
      </c>
      <c r="C72" t="str">
        <f>AND(#REF!,"AAAAAHb9TwI=")</f>
        <v>#REF!</v>
      </c>
      <c r="D72" t="str">
        <f>AND(#REF!,"AAAAAHb9TwM=")</f>
        <v>#REF!</v>
      </c>
      <c r="E72" t="str">
        <f>AND(#REF!,"AAAAAHb9TwQ=")</f>
        <v>#REF!</v>
      </c>
      <c r="F72" t="str">
        <f>AND(#REF!,"AAAAAHb9TwU=")</f>
        <v>#REF!</v>
      </c>
      <c r="G72" t="str">
        <f>AND(#REF!,"AAAAAHb9TwY=")</f>
        <v>#REF!</v>
      </c>
      <c r="H72" t="str">
        <f>AND(#REF!,"AAAAAHb9Twc=")</f>
        <v>#REF!</v>
      </c>
      <c r="I72" t="str">
        <f>AND(#REF!,"AAAAAHb9Twg=")</f>
        <v>#REF!</v>
      </c>
      <c r="J72" t="str">
        <f>AND(#REF!,"AAAAAHb9Twk=")</f>
        <v>#REF!</v>
      </c>
      <c r="K72" t="str">
        <f>AND(#REF!,"AAAAAHb9Two=")</f>
        <v>#REF!</v>
      </c>
      <c r="L72" t="str">
        <f>AND(#REF!,"AAAAAHb9Tws=")</f>
        <v>#REF!</v>
      </c>
      <c r="M72" t="str">
        <f>AND(#REF!,"AAAAAHb9Tww=")</f>
        <v>#REF!</v>
      </c>
      <c r="N72" t="str">
        <f>AND(#REF!,"AAAAAHb9Tw0=")</f>
        <v>#REF!</v>
      </c>
      <c r="O72" t="str">
        <f>AND(#REF!,"AAAAAHb9Tw4=")</f>
        <v>#REF!</v>
      </c>
      <c r="P72" t="str">
        <f>AND(#REF!,"AAAAAHb9Tw8=")</f>
        <v>#REF!</v>
      </c>
      <c r="Q72" t="str">
        <f>AND(#REF!,"AAAAAHb9TxA=")</f>
        <v>#REF!</v>
      </c>
      <c r="R72" t="str">
        <f>AND(#REF!,"AAAAAHb9TxE=")</f>
        <v>#REF!</v>
      </c>
      <c r="S72" t="str">
        <f>AND(#REF!,"AAAAAHb9TxI=")</f>
        <v>#REF!</v>
      </c>
      <c r="T72" t="str">
        <f>AND(#REF!,"AAAAAHb9TxM=")</f>
        <v>#REF!</v>
      </c>
      <c r="U72" t="str">
        <f>AND(#REF!,"AAAAAHb9TxQ=")</f>
        <v>#REF!</v>
      </c>
      <c r="V72" t="str">
        <f>AND(#REF!,"AAAAAHb9TxU=")</f>
        <v>#REF!</v>
      </c>
      <c r="W72" t="str">
        <f>AND(#REF!,"AAAAAHb9TxY=")</f>
        <v>#REF!</v>
      </c>
      <c r="X72" t="str">
        <f>AND(#REF!,"AAAAAHb9Txc=")</f>
        <v>#REF!</v>
      </c>
      <c r="Y72" t="str">
        <f>AND(#REF!,"AAAAAHb9Txg=")</f>
        <v>#REF!</v>
      </c>
      <c r="Z72" t="str">
        <f>AND(#REF!,"AAAAAHb9Txk=")</f>
        <v>#REF!</v>
      </c>
      <c r="AA72" t="str">
        <f>AND(#REF!,"AAAAAHb9Txo=")</f>
        <v>#REF!</v>
      </c>
      <c r="AB72" t="str">
        <f>AND(#REF!,"AAAAAHb9Txs=")</f>
        <v>#REF!</v>
      </c>
      <c r="AC72" t="str">
        <f>AND(#REF!,"AAAAAHb9Txw=")</f>
        <v>#REF!</v>
      </c>
      <c r="AD72" t="str">
        <f>AND(#REF!,"AAAAAHb9Tx0=")</f>
        <v>#REF!</v>
      </c>
      <c r="AE72" t="str">
        <f>AND(#REF!,"AAAAAHb9Tx4=")</f>
        <v>#REF!</v>
      </c>
      <c r="AF72" t="str">
        <f>AND(#REF!,"AAAAAHb9Tx8=")</f>
        <v>#REF!</v>
      </c>
      <c r="AG72" t="str">
        <f>AND(#REF!,"AAAAAHb9TyA=")</f>
        <v>#REF!</v>
      </c>
      <c r="AH72" t="str">
        <f>AND(#REF!,"AAAAAHb9TyE=")</f>
        <v>#REF!</v>
      </c>
      <c r="AI72" t="str">
        <f>AND(#REF!,"AAAAAHb9TyI=")</f>
        <v>#REF!</v>
      </c>
      <c r="AJ72" t="str">
        <f>AND(#REF!,"AAAAAHb9TyM=")</f>
        <v>#REF!</v>
      </c>
      <c r="AK72" t="str">
        <f>AND(#REF!,"AAAAAHb9TyQ=")</f>
        <v>#REF!</v>
      </c>
      <c r="AL72" t="str">
        <f>AND(#REF!,"AAAAAHb9TyU=")</f>
        <v>#REF!</v>
      </c>
      <c r="AM72" t="str">
        <f>AND(#REF!,"AAAAAHb9TyY=")</f>
        <v>#REF!</v>
      </c>
      <c r="AN72" t="str">
        <f>AND(#REF!,"AAAAAHb9Tyc=")</f>
        <v>#REF!</v>
      </c>
      <c r="AO72" t="str">
        <f>AND(#REF!,"AAAAAHb9Tyg=")</f>
        <v>#REF!</v>
      </c>
      <c r="AP72" t="str">
        <f>AND(#REF!,"AAAAAHb9Tyk=")</f>
        <v>#REF!</v>
      </c>
      <c r="AQ72" t="str">
        <f>AND(#REF!,"AAAAAHb9Tyo=")</f>
        <v>#REF!</v>
      </c>
      <c r="AR72" t="str">
        <f>AND(#REF!,"AAAAAHb9Tys=")</f>
        <v>#REF!</v>
      </c>
      <c r="AS72" t="str">
        <f>AND(#REF!,"AAAAAHb9Tyw=")</f>
        <v>#REF!</v>
      </c>
      <c r="AT72" t="str">
        <f>AND(#REF!,"AAAAAHb9Ty0=")</f>
        <v>#REF!</v>
      </c>
      <c r="AU72" t="str">
        <f>AND(#REF!,"AAAAAHb9Ty4=")</f>
        <v>#REF!</v>
      </c>
      <c r="AV72" t="str">
        <f>AND(#REF!,"AAAAAHb9Ty8=")</f>
        <v>#REF!</v>
      </c>
      <c r="AW72" t="str">
        <f>AND(#REF!,"AAAAAHb9TzA=")</f>
        <v>#REF!</v>
      </c>
      <c r="AX72" t="str">
        <f>AND(#REF!,"AAAAAHb9TzE=")</f>
        <v>#REF!</v>
      </c>
      <c r="AY72" t="str">
        <f>AND(#REF!,"AAAAAHb9TzI=")</f>
        <v>#REF!</v>
      </c>
      <c r="AZ72" t="str">
        <f>AND(#REF!,"AAAAAHb9TzM=")</f>
        <v>#REF!</v>
      </c>
      <c r="BA72" t="str">
        <f>AND(#REF!,"AAAAAHb9TzQ=")</f>
        <v>#REF!</v>
      </c>
      <c r="BB72" t="str">
        <f>AND(#REF!,"AAAAAHb9TzU=")</f>
        <v>#REF!</v>
      </c>
      <c r="BC72" t="str">
        <f>AND(#REF!,"AAAAAHb9TzY=")</f>
        <v>#REF!</v>
      </c>
      <c r="BD72" t="str">
        <f>AND(#REF!,"AAAAAHb9Tzc=")</f>
        <v>#REF!</v>
      </c>
      <c r="BE72" t="str">
        <f>AND(#REF!,"AAAAAHb9Tzg=")</f>
        <v>#REF!</v>
      </c>
      <c r="BF72" t="str">
        <f>AND(#REF!,"AAAAAHb9Tzk=")</f>
        <v>#REF!</v>
      </c>
      <c r="BG72" t="str">
        <f>AND(#REF!,"AAAAAHb9Tzo=")</f>
        <v>#REF!</v>
      </c>
      <c r="BH72" t="str">
        <f>AND(#REF!,"AAAAAHb9Tzs=")</f>
        <v>#REF!</v>
      </c>
      <c r="BI72" t="str">
        <f>AND(#REF!,"AAAAAHb9Tzw=")</f>
        <v>#REF!</v>
      </c>
      <c r="BJ72" t="str">
        <f>AND(#REF!,"AAAAAHb9Tz0=")</f>
        <v>#REF!</v>
      </c>
      <c r="BK72" t="str">
        <f>AND(#REF!,"AAAAAHb9Tz4=")</f>
        <v>#REF!</v>
      </c>
      <c r="BL72" t="str">
        <f>AND(#REF!,"AAAAAHb9Tz8=")</f>
        <v>#REF!</v>
      </c>
      <c r="BM72" t="str">
        <f>AND(#REF!,"AAAAAHb9T0A=")</f>
        <v>#REF!</v>
      </c>
      <c r="BN72" t="str">
        <f>AND(#REF!,"AAAAAHb9T0E=")</f>
        <v>#REF!</v>
      </c>
      <c r="BO72" t="str">
        <f>IF(#REF!,"AAAAAHb9T0I=",0)</f>
        <v>#REF!</v>
      </c>
      <c r="BP72" t="str">
        <f>AND(#REF!,"AAAAAHb9T0M=")</f>
        <v>#REF!</v>
      </c>
      <c r="BQ72" t="str">
        <f>AND(#REF!,"AAAAAHb9T0Q=")</f>
        <v>#REF!</v>
      </c>
      <c r="BR72" t="str">
        <f>AND(#REF!,"AAAAAHb9T0U=")</f>
        <v>#REF!</v>
      </c>
      <c r="BS72" t="str">
        <f>AND(#REF!,"AAAAAHb9T0Y=")</f>
        <v>#REF!</v>
      </c>
      <c r="BT72" t="str">
        <f>AND(#REF!,"AAAAAHb9T0c=")</f>
        <v>#REF!</v>
      </c>
      <c r="BU72" t="str">
        <f>AND(#REF!,"AAAAAHb9T0g=")</f>
        <v>#REF!</v>
      </c>
      <c r="BV72" t="str">
        <f>AND(#REF!,"AAAAAHb9T0k=")</f>
        <v>#REF!</v>
      </c>
      <c r="BW72" t="str">
        <f>AND(#REF!,"AAAAAHb9T0o=")</f>
        <v>#REF!</v>
      </c>
      <c r="BX72" t="str">
        <f>AND(#REF!,"AAAAAHb9T0s=")</f>
        <v>#REF!</v>
      </c>
      <c r="BY72" t="str">
        <f>AND(#REF!,"AAAAAHb9T0w=")</f>
        <v>#REF!</v>
      </c>
      <c r="BZ72" t="str">
        <f>AND(#REF!,"AAAAAHb9T00=")</f>
        <v>#REF!</v>
      </c>
      <c r="CA72" t="str">
        <f>AND(#REF!,"AAAAAHb9T04=")</f>
        <v>#REF!</v>
      </c>
      <c r="CB72" t="str">
        <f>AND(#REF!,"AAAAAHb9T08=")</f>
        <v>#REF!</v>
      </c>
      <c r="CC72" t="str">
        <f>AND(#REF!,"AAAAAHb9T1A=")</f>
        <v>#REF!</v>
      </c>
      <c r="CD72" t="str">
        <f>AND(#REF!,"AAAAAHb9T1E=")</f>
        <v>#REF!</v>
      </c>
      <c r="CE72" t="str">
        <f>AND(#REF!,"AAAAAHb9T1I=")</f>
        <v>#REF!</v>
      </c>
      <c r="CF72" t="str">
        <f>AND(#REF!,"AAAAAHb9T1M=")</f>
        <v>#REF!</v>
      </c>
      <c r="CG72" t="str">
        <f>AND(#REF!,"AAAAAHb9T1Q=")</f>
        <v>#REF!</v>
      </c>
      <c r="CH72" t="str">
        <f>AND(#REF!,"AAAAAHb9T1U=")</f>
        <v>#REF!</v>
      </c>
      <c r="CI72" t="str">
        <f>AND(#REF!,"AAAAAHb9T1Y=")</f>
        <v>#REF!</v>
      </c>
      <c r="CJ72" t="str">
        <f>AND(#REF!,"AAAAAHb9T1c=")</f>
        <v>#REF!</v>
      </c>
      <c r="CK72" t="str">
        <f>AND(#REF!,"AAAAAHb9T1g=")</f>
        <v>#REF!</v>
      </c>
      <c r="CL72" t="str">
        <f>AND(#REF!,"AAAAAHb9T1k=")</f>
        <v>#REF!</v>
      </c>
      <c r="CM72" t="str">
        <f>AND(#REF!,"AAAAAHb9T1o=")</f>
        <v>#REF!</v>
      </c>
      <c r="CN72" t="str">
        <f>AND(#REF!,"AAAAAHb9T1s=")</f>
        <v>#REF!</v>
      </c>
      <c r="CO72" t="str">
        <f>AND(#REF!,"AAAAAHb9T1w=")</f>
        <v>#REF!</v>
      </c>
      <c r="CP72" t="str">
        <f>AND(#REF!,"AAAAAHb9T10=")</f>
        <v>#REF!</v>
      </c>
      <c r="CQ72" t="str">
        <f>AND(#REF!,"AAAAAHb9T14=")</f>
        <v>#REF!</v>
      </c>
      <c r="CR72" t="str">
        <f>AND(#REF!,"AAAAAHb9T18=")</f>
        <v>#REF!</v>
      </c>
      <c r="CS72" t="str">
        <f>AND(#REF!,"AAAAAHb9T2A=")</f>
        <v>#REF!</v>
      </c>
      <c r="CT72" t="str">
        <f>AND(#REF!,"AAAAAHb9T2E=")</f>
        <v>#REF!</v>
      </c>
      <c r="CU72" t="str">
        <f>AND(#REF!,"AAAAAHb9T2I=")</f>
        <v>#REF!</v>
      </c>
      <c r="CV72" t="str">
        <f>AND(#REF!,"AAAAAHb9T2M=")</f>
        <v>#REF!</v>
      </c>
      <c r="CW72" t="str">
        <f>AND(#REF!,"AAAAAHb9T2Q=")</f>
        <v>#REF!</v>
      </c>
      <c r="CX72" t="str">
        <f>AND(#REF!,"AAAAAHb9T2U=")</f>
        <v>#REF!</v>
      </c>
      <c r="CY72" t="str">
        <f>AND(#REF!,"AAAAAHb9T2Y=")</f>
        <v>#REF!</v>
      </c>
      <c r="CZ72" t="str">
        <f>AND(#REF!,"AAAAAHb9T2c=")</f>
        <v>#REF!</v>
      </c>
      <c r="DA72" t="str">
        <f>AND(#REF!,"AAAAAHb9T2g=")</f>
        <v>#REF!</v>
      </c>
      <c r="DB72" t="str">
        <f>AND(#REF!,"AAAAAHb9T2k=")</f>
        <v>#REF!</v>
      </c>
      <c r="DC72" t="str">
        <f>AND(#REF!,"AAAAAHb9T2o=")</f>
        <v>#REF!</v>
      </c>
      <c r="DD72" t="str">
        <f>AND(#REF!,"AAAAAHb9T2s=")</f>
        <v>#REF!</v>
      </c>
      <c r="DE72" t="str">
        <f>AND(#REF!,"AAAAAHb9T2w=")</f>
        <v>#REF!</v>
      </c>
      <c r="DF72" t="str">
        <f>AND(#REF!,"AAAAAHb9T20=")</f>
        <v>#REF!</v>
      </c>
      <c r="DG72" t="str">
        <f>AND(#REF!,"AAAAAHb9T24=")</f>
        <v>#REF!</v>
      </c>
      <c r="DH72" t="str">
        <f>AND(#REF!,"AAAAAHb9T28=")</f>
        <v>#REF!</v>
      </c>
      <c r="DI72" t="str">
        <f>AND(#REF!,"AAAAAHb9T3A=")</f>
        <v>#REF!</v>
      </c>
      <c r="DJ72" t="str">
        <f>AND(#REF!,"AAAAAHb9T3E=")</f>
        <v>#REF!</v>
      </c>
      <c r="DK72" t="str">
        <f>AND(#REF!,"AAAAAHb9T3I=")</f>
        <v>#REF!</v>
      </c>
      <c r="DL72" t="str">
        <f>AND(#REF!,"AAAAAHb9T3M=")</f>
        <v>#REF!</v>
      </c>
      <c r="DM72" t="str">
        <f>AND(#REF!,"AAAAAHb9T3Q=")</f>
        <v>#REF!</v>
      </c>
      <c r="DN72" t="str">
        <f>AND(#REF!,"AAAAAHb9T3U=")</f>
        <v>#REF!</v>
      </c>
      <c r="DO72" t="str">
        <f>AND(#REF!,"AAAAAHb9T3Y=")</f>
        <v>#REF!</v>
      </c>
      <c r="DP72" t="str">
        <f>AND(#REF!,"AAAAAHb9T3c=")</f>
        <v>#REF!</v>
      </c>
      <c r="DQ72" t="str">
        <f>AND(#REF!,"AAAAAHb9T3g=")</f>
        <v>#REF!</v>
      </c>
      <c r="DR72" t="str">
        <f>AND(#REF!,"AAAAAHb9T3k=")</f>
        <v>#REF!</v>
      </c>
      <c r="DS72" t="str">
        <f>AND(#REF!,"AAAAAHb9T3o=")</f>
        <v>#REF!</v>
      </c>
      <c r="DT72" t="str">
        <f>AND(#REF!,"AAAAAHb9T3s=")</f>
        <v>#REF!</v>
      </c>
      <c r="DU72" t="str">
        <f>AND(#REF!,"AAAAAHb9T3w=")</f>
        <v>#REF!</v>
      </c>
      <c r="DV72" t="str">
        <f>AND(#REF!,"AAAAAHb9T30=")</f>
        <v>#REF!</v>
      </c>
      <c r="DW72" t="str">
        <f>AND(#REF!,"AAAAAHb9T34=")</f>
        <v>#REF!</v>
      </c>
      <c r="DX72" t="str">
        <f>AND(#REF!,"AAAAAHb9T38=")</f>
        <v>#REF!</v>
      </c>
      <c r="DY72" t="str">
        <f>AND(#REF!,"AAAAAHb9T4A=")</f>
        <v>#REF!</v>
      </c>
      <c r="DZ72" t="str">
        <f>AND(#REF!,"AAAAAHb9T4E=")</f>
        <v>#REF!</v>
      </c>
      <c r="EA72" t="str">
        <f>AND(#REF!,"AAAAAHb9T4I=")</f>
        <v>#REF!</v>
      </c>
      <c r="EB72" t="str">
        <f>AND(#REF!,"AAAAAHb9T4M=")</f>
        <v>#REF!</v>
      </c>
      <c r="EC72" t="str">
        <f>AND(#REF!,"AAAAAHb9T4Q=")</f>
        <v>#REF!</v>
      </c>
      <c r="ED72" t="str">
        <f>AND(#REF!,"AAAAAHb9T4U=")</f>
        <v>#REF!</v>
      </c>
      <c r="EE72" t="str">
        <f>AND(#REF!,"AAAAAHb9T4Y=")</f>
        <v>#REF!</v>
      </c>
      <c r="EF72" t="str">
        <f>AND(#REF!,"AAAAAHb9T4c=")</f>
        <v>#REF!</v>
      </c>
      <c r="EG72" t="str">
        <f>AND(#REF!,"AAAAAHb9T4g=")</f>
        <v>#REF!</v>
      </c>
      <c r="EH72" t="str">
        <f>AND(#REF!,"AAAAAHb9T4k=")</f>
        <v>#REF!</v>
      </c>
      <c r="EI72" t="str">
        <f>AND(#REF!,"AAAAAHb9T4o=")</f>
        <v>#REF!</v>
      </c>
      <c r="EJ72" t="str">
        <f>AND(#REF!,"AAAAAHb9T4s=")</f>
        <v>#REF!</v>
      </c>
      <c r="EK72" t="str">
        <f>AND(#REF!,"AAAAAHb9T4w=")</f>
        <v>#REF!</v>
      </c>
      <c r="EL72" t="str">
        <f>AND(#REF!,"AAAAAHb9T40=")</f>
        <v>#REF!</v>
      </c>
      <c r="EM72" t="str">
        <f>IF(#REF!,"AAAAAHb9T44=",0)</f>
        <v>#REF!</v>
      </c>
      <c r="EN72" t="str">
        <f>AND(#REF!,"AAAAAHb9T48=")</f>
        <v>#REF!</v>
      </c>
      <c r="EO72" t="str">
        <f>AND(#REF!,"AAAAAHb9T5A=")</f>
        <v>#REF!</v>
      </c>
      <c r="EP72" t="str">
        <f>AND(#REF!,"AAAAAHb9T5E=")</f>
        <v>#REF!</v>
      </c>
      <c r="EQ72" t="str">
        <f>AND(#REF!,"AAAAAHb9T5I=")</f>
        <v>#REF!</v>
      </c>
      <c r="ER72" t="str">
        <f>AND(#REF!,"AAAAAHb9T5M=")</f>
        <v>#REF!</v>
      </c>
      <c r="ES72" t="str">
        <f>AND(#REF!,"AAAAAHb9T5Q=")</f>
        <v>#REF!</v>
      </c>
      <c r="ET72" t="str">
        <f>AND(#REF!,"AAAAAHb9T5U=")</f>
        <v>#REF!</v>
      </c>
      <c r="EU72" t="str">
        <f>AND(#REF!,"AAAAAHb9T5Y=")</f>
        <v>#REF!</v>
      </c>
      <c r="EV72" t="str">
        <f>AND(#REF!,"AAAAAHb9T5c=")</f>
        <v>#REF!</v>
      </c>
      <c r="EW72" t="str">
        <f>AND(#REF!,"AAAAAHb9T5g=")</f>
        <v>#REF!</v>
      </c>
      <c r="EX72" t="str">
        <f>AND(#REF!,"AAAAAHb9T5k=")</f>
        <v>#REF!</v>
      </c>
      <c r="EY72" t="str">
        <f>AND(#REF!,"AAAAAHb9T5o=")</f>
        <v>#REF!</v>
      </c>
      <c r="EZ72" t="str">
        <f>AND(#REF!,"AAAAAHb9T5s=")</f>
        <v>#REF!</v>
      </c>
      <c r="FA72" t="str">
        <f>AND(#REF!,"AAAAAHb9T5w=")</f>
        <v>#REF!</v>
      </c>
      <c r="FB72" t="str">
        <f>AND(#REF!,"AAAAAHb9T50=")</f>
        <v>#REF!</v>
      </c>
      <c r="FC72" t="str">
        <f>AND(#REF!,"AAAAAHb9T54=")</f>
        <v>#REF!</v>
      </c>
      <c r="FD72" t="str">
        <f>AND(#REF!,"AAAAAHb9T58=")</f>
        <v>#REF!</v>
      </c>
      <c r="FE72" t="str">
        <f>AND(#REF!,"AAAAAHb9T6A=")</f>
        <v>#REF!</v>
      </c>
      <c r="FF72" t="str">
        <f>AND(#REF!,"AAAAAHb9T6E=")</f>
        <v>#REF!</v>
      </c>
      <c r="FG72" t="str">
        <f>AND(#REF!,"AAAAAHb9T6I=")</f>
        <v>#REF!</v>
      </c>
      <c r="FH72" t="str">
        <f>AND(#REF!,"AAAAAHb9T6M=")</f>
        <v>#REF!</v>
      </c>
      <c r="FI72" t="str">
        <f>AND(#REF!,"AAAAAHb9T6Q=")</f>
        <v>#REF!</v>
      </c>
      <c r="FJ72" t="str">
        <f>AND(#REF!,"AAAAAHb9T6U=")</f>
        <v>#REF!</v>
      </c>
      <c r="FK72" t="str">
        <f>AND(#REF!,"AAAAAHb9T6Y=")</f>
        <v>#REF!</v>
      </c>
      <c r="FL72" t="str">
        <f>AND(#REF!,"AAAAAHb9T6c=")</f>
        <v>#REF!</v>
      </c>
      <c r="FM72" t="str">
        <f>AND(#REF!,"AAAAAHb9T6g=")</f>
        <v>#REF!</v>
      </c>
      <c r="FN72" t="str">
        <f>AND(#REF!,"AAAAAHb9T6k=")</f>
        <v>#REF!</v>
      </c>
      <c r="FO72" t="str">
        <f>AND(#REF!,"AAAAAHb9T6o=")</f>
        <v>#REF!</v>
      </c>
      <c r="FP72" t="str">
        <f>AND(#REF!,"AAAAAHb9T6s=")</f>
        <v>#REF!</v>
      </c>
      <c r="FQ72" t="str">
        <f>AND(#REF!,"AAAAAHb9T6w=")</f>
        <v>#REF!</v>
      </c>
      <c r="FR72" t="str">
        <f>AND(#REF!,"AAAAAHb9T60=")</f>
        <v>#REF!</v>
      </c>
      <c r="FS72" t="str">
        <f>AND(#REF!,"AAAAAHb9T64=")</f>
        <v>#REF!</v>
      </c>
      <c r="FT72" t="str">
        <f>AND(#REF!,"AAAAAHb9T68=")</f>
        <v>#REF!</v>
      </c>
      <c r="FU72" t="str">
        <f>AND(#REF!,"AAAAAHb9T7A=")</f>
        <v>#REF!</v>
      </c>
      <c r="FV72" t="str">
        <f>AND(#REF!,"AAAAAHb9T7E=")</f>
        <v>#REF!</v>
      </c>
      <c r="FW72" t="str">
        <f>AND(#REF!,"AAAAAHb9T7I=")</f>
        <v>#REF!</v>
      </c>
      <c r="FX72" t="str">
        <f>AND(#REF!,"AAAAAHb9T7M=")</f>
        <v>#REF!</v>
      </c>
      <c r="FY72" t="str">
        <f>AND(#REF!,"AAAAAHb9T7Q=")</f>
        <v>#REF!</v>
      </c>
      <c r="FZ72" t="str">
        <f>AND(#REF!,"AAAAAHb9T7U=")</f>
        <v>#REF!</v>
      </c>
      <c r="GA72" t="str">
        <f>AND(#REF!,"AAAAAHb9T7Y=")</f>
        <v>#REF!</v>
      </c>
      <c r="GB72" t="str">
        <f>AND(#REF!,"AAAAAHb9T7c=")</f>
        <v>#REF!</v>
      </c>
      <c r="GC72" t="str">
        <f>AND(#REF!,"AAAAAHb9T7g=")</f>
        <v>#REF!</v>
      </c>
      <c r="GD72" t="str">
        <f>AND(#REF!,"AAAAAHb9T7k=")</f>
        <v>#REF!</v>
      </c>
      <c r="GE72" t="str">
        <f>AND(#REF!,"AAAAAHb9T7o=")</f>
        <v>#REF!</v>
      </c>
      <c r="GF72" t="str">
        <f>AND(#REF!,"AAAAAHb9T7s=")</f>
        <v>#REF!</v>
      </c>
      <c r="GG72" t="str">
        <f>AND(#REF!,"AAAAAHb9T7w=")</f>
        <v>#REF!</v>
      </c>
      <c r="GH72" t="str">
        <f>AND(#REF!,"AAAAAHb9T70=")</f>
        <v>#REF!</v>
      </c>
      <c r="GI72" t="str">
        <f>AND(#REF!,"AAAAAHb9T74=")</f>
        <v>#REF!</v>
      </c>
      <c r="GJ72" t="str">
        <f>AND(#REF!,"AAAAAHb9T78=")</f>
        <v>#REF!</v>
      </c>
      <c r="GK72" t="str">
        <f>AND(#REF!,"AAAAAHb9T8A=")</f>
        <v>#REF!</v>
      </c>
      <c r="GL72" t="str">
        <f>AND(#REF!,"AAAAAHb9T8E=")</f>
        <v>#REF!</v>
      </c>
      <c r="GM72" t="str">
        <f>AND(#REF!,"AAAAAHb9T8I=")</f>
        <v>#REF!</v>
      </c>
      <c r="GN72" t="str">
        <f>AND(#REF!,"AAAAAHb9T8M=")</f>
        <v>#REF!</v>
      </c>
      <c r="GO72" t="str">
        <f>AND(#REF!,"AAAAAHb9T8Q=")</f>
        <v>#REF!</v>
      </c>
      <c r="GP72" t="str">
        <f>AND(#REF!,"AAAAAHb9T8U=")</f>
        <v>#REF!</v>
      </c>
      <c r="GQ72" t="str">
        <f>AND(#REF!,"AAAAAHb9T8Y=")</f>
        <v>#REF!</v>
      </c>
      <c r="GR72" t="str">
        <f>AND(#REF!,"AAAAAHb9T8c=")</f>
        <v>#REF!</v>
      </c>
      <c r="GS72" t="str">
        <f>AND(#REF!,"AAAAAHb9T8g=")</f>
        <v>#REF!</v>
      </c>
      <c r="GT72" t="str">
        <f>AND(#REF!,"AAAAAHb9T8k=")</f>
        <v>#REF!</v>
      </c>
      <c r="GU72" t="str">
        <f>AND(#REF!,"AAAAAHb9T8o=")</f>
        <v>#REF!</v>
      </c>
      <c r="GV72" t="str">
        <f>AND(#REF!,"AAAAAHb9T8s=")</f>
        <v>#REF!</v>
      </c>
      <c r="GW72" t="str">
        <f>AND(#REF!,"AAAAAHb9T8w=")</f>
        <v>#REF!</v>
      </c>
      <c r="GX72" t="str">
        <f>AND(#REF!,"AAAAAHb9T80=")</f>
        <v>#REF!</v>
      </c>
      <c r="GY72" t="str">
        <f>AND(#REF!,"AAAAAHb9T84=")</f>
        <v>#REF!</v>
      </c>
      <c r="GZ72" t="str">
        <f>AND(#REF!,"AAAAAHb9T88=")</f>
        <v>#REF!</v>
      </c>
      <c r="HA72" t="str">
        <f>AND(#REF!,"AAAAAHb9T9A=")</f>
        <v>#REF!</v>
      </c>
      <c r="HB72" t="str">
        <f>AND(#REF!,"AAAAAHb9T9E=")</f>
        <v>#REF!</v>
      </c>
      <c r="HC72" t="str">
        <f>AND(#REF!,"AAAAAHb9T9I=")</f>
        <v>#REF!</v>
      </c>
      <c r="HD72" t="str">
        <f>AND(#REF!,"AAAAAHb9T9M=")</f>
        <v>#REF!</v>
      </c>
      <c r="HE72" t="str">
        <f>AND(#REF!,"AAAAAHb9T9Q=")</f>
        <v>#REF!</v>
      </c>
      <c r="HF72" t="str">
        <f>AND(#REF!,"AAAAAHb9T9U=")</f>
        <v>#REF!</v>
      </c>
      <c r="HG72" t="str">
        <f>AND(#REF!,"AAAAAHb9T9Y=")</f>
        <v>#REF!</v>
      </c>
      <c r="HH72" t="str">
        <f>AND(#REF!,"AAAAAHb9T9c=")</f>
        <v>#REF!</v>
      </c>
      <c r="HI72" t="str">
        <f>AND(#REF!,"AAAAAHb9T9g=")</f>
        <v>#REF!</v>
      </c>
      <c r="HJ72" t="str">
        <f>AND(#REF!,"AAAAAHb9T9k=")</f>
        <v>#REF!</v>
      </c>
      <c r="HK72" t="str">
        <f>IF(#REF!,"AAAAAHb9T9o=",0)</f>
        <v>#REF!</v>
      </c>
      <c r="HL72" t="str">
        <f>AND(#REF!,"AAAAAHb9T9s=")</f>
        <v>#REF!</v>
      </c>
      <c r="HM72" t="str">
        <f>AND(#REF!,"AAAAAHb9T9w=")</f>
        <v>#REF!</v>
      </c>
      <c r="HN72" t="str">
        <f>AND(#REF!,"AAAAAHb9T90=")</f>
        <v>#REF!</v>
      </c>
      <c r="HO72" t="str">
        <f>AND(#REF!,"AAAAAHb9T94=")</f>
        <v>#REF!</v>
      </c>
      <c r="HP72" t="str">
        <f>AND(#REF!,"AAAAAHb9T98=")</f>
        <v>#REF!</v>
      </c>
      <c r="HQ72" t="str">
        <f>AND(#REF!,"AAAAAHb9T+A=")</f>
        <v>#REF!</v>
      </c>
      <c r="HR72" t="str">
        <f>AND(#REF!,"AAAAAHb9T+E=")</f>
        <v>#REF!</v>
      </c>
      <c r="HS72" t="str">
        <f>AND(#REF!,"AAAAAHb9T+I=")</f>
        <v>#REF!</v>
      </c>
      <c r="HT72" t="str">
        <f>AND(#REF!,"AAAAAHb9T+M=")</f>
        <v>#REF!</v>
      </c>
      <c r="HU72" t="str">
        <f>AND(#REF!,"AAAAAHb9T+Q=")</f>
        <v>#REF!</v>
      </c>
      <c r="HV72" t="str">
        <f>AND(#REF!,"AAAAAHb9T+U=")</f>
        <v>#REF!</v>
      </c>
      <c r="HW72" t="str">
        <f>AND(#REF!,"AAAAAHb9T+Y=")</f>
        <v>#REF!</v>
      </c>
      <c r="HX72" t="str">
        <f>AND(#REF!,"AAAAAHb9T+c=")</f>
        <v>#REF!</v>
      </c>
      <c r="HY72" t="str">
        <f>AND(#REF!,"AAAAAHb9T+g=")</f>
        <v>#REF!</v>
      </c>
      <c r="HZ72" t="str">
        <f>AND(#REF!,"AAAAAHb9T+k=")</f>
        <v>#REF!</v>
      </c>
      <c r="IA72" t="str">
        <f>AND(#REF!,"AAAAAHb9T+o=")</f>
        <v>#REF!</v>
      </c>
      <c r="IB72" t="str">
        <f>AND(#REF!,"AAAAAHb9T+s=")</f>
        <v>#REF!</v>
      </c>
      <c r="IC72" t="str">
        <f>AND(#REF!,"AAAAAHb9T+w=")</f>
        <v>#REF!</v>
      </c>
      <c r="ID72" t="str">
        <f>AND(#REF!,"AAAAAHb9T+0=")</f>
        <v>#REF!</v>
      </c>
      <c r="IE72" t="str">
        <f>AND(#REF!,"AAAAAHb9T+4=")</f>
        <v>#REF!</v>
      </c>
      <c r="IF72" t="str">
        <f>AND(#REF!,"AAAAAHb9T+8=")</f>
        <v>#REF!</v>
      </c>
      <c r="IG72" t="str">
        <f>AND(#REF!,"AAAAAHb9T/A=")</f>
        <v>#REF!</v>
      </c>
      <c r="IH72" t="str">
        <f>AND(#REF!,"AAAAAHb9T/E=")</f>
        <v>#REF!</v>
      </c>
      <c r="II72" t="str">
        <f>AND(#REF!,"AAAAAHb9T/I=")</f>
        <v>#REF!</v>
      </c>
      <c r="IJ72" t="str">
        <f>AND(#REF!,"AAAAAHb9T/M=")</f>
        <v>#REF!</v>
      </c>
      <c r="IK72" t="str">
        <f>AND(#REF!,"AAAAAHb9T/Q=")</f>
        <v>#REF!</v>
      </c>
      <c r="IL72" t="str">
        <f>AND(#REF!,"AAAAAHb9T/U=")</f>
        <v>#REF!</v>
      </c>
      <c r="IM72" t="str">
        <f>AND(#REF!,"AAAAAHb9T/Y=")</f>
        <v>#REF!</v>
      </c>
      <c r="IN72" t="str">
        <f>AND(#REF!,"AAAAAHb9T/c=")</f>
        <v>#REF!</v>
      </c>
      <c r="IO72" t="str">
        <f>AND(#REF!,"AAAAAHb9T/g=")</f>
        <v>#REF!</v>
      </c>
      <c r="IP72" t="str">
        <f>AND(#REF!,"AAAAAHb9T/k=")</f>
        <v>#REF!</v>
      </c>
      <c r="IQ72" t="str">
        <f>AND(#REF!,"AAAAAHb9T/o=")</f>
        <v>#REF!</v>
      </c>
      <c r="IR72" t="str">
        <f>AND(#REF!,"AAAAAHb9T/s=")</f>
        <v>#REF!</v>
      </c>
      <c r="IS72" t="str">
        <f>AND(#REF!,"AAAAAHb9T/w=")</f>
        <v>#REF!</v>
      </c>
      <c r="IT72" t="str">
        <f>AND(#REF!,"AAAAAHb9T/0=")</f>
        <v>#REF!</v>
      </c>
      <c r="IU72" t="str">
        <f>AND(#REF!,"AAAAAHb9T/4=")</f>
        <v>#REF!</v>
      </c>
      <c r="IV72" t="str">
        <f>AND(#REF!,"AAAAAHb9T/8=")</f>
        <v>#REF!</v>
      </c>
    </row>
    <row r="73" ht="15.75" customHeight="1">
      <c r="A73" t="str">
        <f>AND(#REF!,"AAAAAE7v7wA=")</f>
        <v>#REF!</v>
      </c>
      <c r="B73" t="str">
        <f>AND(#REF!,"AAAAAE7v7wE=")</f>
        <v>#REF!</v>
      </c>
      <c r="C73" t="str">
        <f>AND(#REF!,"AAAAAE7v7wI=")</f>
        <v>#REF!</v>
      </c>
      <c r="D73" t="str">
        <f>AND(#REF!,"AAAAAE7v7wM=")</f>
        <v>#REF!</v>
      </c>
      <c r="E73" t="str">
        <f>AND(#REF!,"AAAAAE7v7wQ=")</f>
        <v>#REF!</v>
      </c>
      <c r="F73" t="str">
        <f>AND(#REF!,"AAAAAE7v7wU=")</f>
        <v>#REF!</v>
      </c>
      <c r="G73" t="str">
        <f>AND(#REF!,"AAAAAE7v7wY=")</f>
        <v>#REF!</v>
      </c>
      <c r="H73" t="str">
        <f>AND(#REF!,"AAAAAE7v7wc=")</f>
        <v>#REF!</v>
      </c>
      <c r="I73" t="str">
        <f>AND(#REF!,"AAAAAE7v7wg=")</f>
        <v>#REF!</v>
      </c>
      <c r="J73" t="str">
        <f>AND(#REF!,"AAAAAE7v7wk=")</f>
        <v>#REF!</v>
      </c>
      <c r="K73" t="str">
        <f>AND(#REF!,"AAAAAE7v7wo=")</f>
        <v>#REF!</v>
      </c>
      <c r="L73" t="str">
        <f>AND(#REF!,"AAAAAE7v7ws=")</f>
        <v>#REF!</v>
      </c>
      <c r="M73" t="str">
        <f>AND(#REF!,"AAAAAE7v7ww=")</f>
        <v>#REF!</v>
      </c>
      <c r="N73" t="str">
        <f>AND(#REF!,"AAAAAE7v7w0=")</f>
        <v>#REF!</v>
      </c>
      <c r="O73" t="str">
        <f>AND(#REF!,"AAAAAE7v7w4=")</f>
        <v>#REF!</v>
      </c>
      <c r="P73" t="str">
        <f>AND(#REF!,"AAAAAE7v7w8=")</f>
        <v>#REF!</v>
      </c>
      <c r="Q73" t="str">
        <f>AND(#REF!,"AAAAAE7v7xA=")</f>
        <v>#REF!</v>
      </c>
      <c r="R73" t="str">
        <f>AND(#REF!,"AAAAAE7v7xE=")</f>
        <v>#REF!</v>
      </c>
      <c r="S73" t="str">
        <f>AND(#REF!,"AAAAAE7v7xI=")</f>
        <v>#REF!</v>
      </c>
      <c r="T73" t="str">
        <f>AND(#REF!,"AAAAAE7v7xM=")</f>
        <v>#REF!</v>
      </c>
      <c r="U73" t="str">
        <f>AND(#REF!,"AAAAAE7v7xQ=")</f>
        <v>#REF!</v>
      </c>
      <c r="V73" t="str">
        <f>AND(#REF!,"AAAAAE7v7xU=")</f>
        <v>#REF!</v>
      </c>
      <c r="W73" t="str">
        <f>AND(#REF!,"AAAAAE7v7xY=")</f>
        <v>#REF!</v>
      </c>
      <c r="X73" t="str">
        <f>AND(#REF!,"AAAAAE7v7xc=")</f>
        <v>#REF!</v>
      </c>
      <c r="Y73" t="str">
        <f>AND(#REF!,"AAAAAE7v7xg=")</f>
        <v>#REF!</v>
      </c>
      <c r="Z73" t="str">
        <f>AND(#REF!,"AAAAAE7v7xk=")</f>
        <v>#REF!</v>
      </c>
      <c r="AA73" t="str">
        <f>AND(#REF!,"AAAAAE7v7xo=")</f>
        <v>#REF!</v>
      </c>
      <c r="AB73" t="str">
        <f>AND(#REF!,"AAAAAE7v7xs=")</f>
        <v>#REF!</v>
      </c>
      <c r="AC73" t="str">
        <f>AND(#REF!,"AAAAAE7v7xw=")</f>
        <v>#REF!</v>
      </c>
      <c r="AD73" t="str">
        <f>AND(#REF!,"AAAAAE7v7x0=")</f>
        <v>#REF!</v>
      </c>
      <c r="AE73" t="str">
        <f>AND(#REF!,"AAAAAE7v7x4=")</f>
        <v>#REF!</v>
      </c>
      <c r="AF73" t="str">
        <f>AND(#REF!,"AAAAAE7v7x8=")</f>
        <v>#REF!</v>
      </c>
      <c r="AG73" t="str">
        <f>AND(#REF!,"AAAAAE7v7yA=")</f>
        <v>#REF!</v>
      </c>
      <c r="AH73" t="str">
        <f>AND(#REF!,"AAAAAE7v7yE=")</f>
        <v>#REF!</v>
      </c>
      <c r="AI73" t="str">
        <f>AND(#REF!,"AAAAAE7v7yI=")</f>
        <v>#REF!</v>
      </c>
      <c r="AJ73" t="str">
        <f>AND(#REF!,"AAAAAE7v7yM=")</f>
        <v>#REF!</v>
      </c>
      <c r="AK73" t="str">
        <f>AND(#REF!,"AAAAAE7v7yQ=")</f>
        <v>#REF!</v>
      </c>
      <c r="AL73" t="str">
        <f>AND(#REF!,"AAAAAE7v7yU=")</f>
        <v>#REF!</v>
      </c>
      <c r="AM73" t="str">
        <f>IF(#REF!,"AAAAAE7v7yY=",0)</f>
        <v>#REF!</v>
      </c>
      <c r="AN73" t="str">
        <f>AND(#REF!,"AAAAAE7v7yc=")</f>
        <v>#REF!</v>
      </c>
      <c r="AO73" t="str">
        <f>AND(#REF!,"AAAAAE7v7yg=")</f>
        <v>#REF!</v>
      </c>
      <c r="AP73" t="str">
        <f>AND(#REF!,"AAAAAE7v7yk=")</f>
        <v>#REF!</v>
      </c>
      <c r="AQ73" t="str">
        <f>AND(#REF!,"AAAAAE7v7yo=")</f>
        <v>#REF!</v>
      </c>
      <c r="AR73" t="str">
        <f>AND(#REF!,"AAAAAE7v7ys=")</f>
        <v>#REF!</v>
      </c>
      <c r="AS73" t="str">
        <f>AND(#REF!,"AAAAAE7v7yw=")</f>
        <v>#REF!</v>
      </c>
      <c r="AT73" t="str">
        <f>AND(#REF!,"AAAAAE7v7y0=")</f>
        <v>#REF!</v>
      </c>
      <c r="AU73" t="str">
        <f>AND(#REF!,"AAAAAE7v7y4=")</f>
        <v>#REF!</v>
      </c>
      <c r="AV73" t="str">
        <f>AND(#REF!,"AAAAAE7v7y8=")</f>
        <v>#REF!</v>
      </c>
      <c r="AW73" t="str">
        <f>AND(#REF!,"AAAAAE7v7zA=")</f>
        <v>#REF!</v>
      </c>
      <c r="AX73" t="str">
        <f>AND(#REF!,"AAAAAE7v7zE=")</f>
        <v>#REF!</v>
      </c>
      <c r="AY73" t="str">
        <f>AND(#REF!,"AAAAAE7v7zI=")</f>
        <v>#REF!</v>
      </c>
      <c r="AZ73" t="str">
        <f>AND(#REF!,"AAAAAE7v7zM=")</f>
        <v>#REF!</v>
      </c>
      <c r="BA73" t="str">
        <f>AND(#REF!,"AAAAAE7v7zQ=")</f>
        <v>#REF!</v>
      </c>
      <c r="BB73" t="str">
        <f>AND(#REF!,"AAAAAE7v7zU=")</f>
        <v>#REF!</v>
      </c>
      <c r="BC73" t="str">
        <f>AND(#REF!,"AAAAAE7v7zY=")</f>
        <v>#REF!</v>
      </c>
      <c r="BD73" t="str">
        <f>AND(#REF!,"AAAAAE7v7zc=")</f>
        <v>#REF!</v>
      </c>
      <c r="BE73" t="str">
        <f>AND(#REF!,"AAAAAE7v7zg=")</f>
        <v>#REF!</v>
      </c>
      <c r="BF73" t="str">
        <f>AND(#REF!,"AAAAAE7v7zk=")</f>
        <v>#REF!</v>
      </c>
      <c r="BG73" t="str">
        <f>AND(#REF!,"AAAAAE7v7zo=")</f>
        <v>#REF!</v>
      </c>
      <c r="BH73" t="str">
        <f>AND(#REF!,"AAAAAE7v7zs=")</f>
        <v>#REF!</v>
      </c>
      <c r="BI73" t="str">
        <f>AND(#REF!,"AAAAAE7v7zw=")</f>
        <v>#REF!</v>
      </c>
      <c r="BJ73" t="str">
        <f>AND(#REF!,"AAAAAE7v7z0=")</f>
        <v>#REF!</v>
      </c>
      <c r="BK73" t="str">
        <f>AND(#REF!,"AAAAAE7v7z4=")</f>
        <v>#REF!</v>
      </c>
      <c r="BL73" t="str">
        <f>AND(#REF!,"AAAAAE7v7z8=")</f>
        <v>#REF!</v>
      </c>
      <c r="BM73" t="str">
        <f>AND(#REF!,"AAAAAE7v70A=")</f>
        <v>#REF!</v>
      </c>
      <c r="BN73" t="str">
        <f>AND(#REF!,"AAAAAE7v70E=")</f>
        <v>#REF!</v>
      </c>
      <c r="BO73" t="str">
        <f>AND(#REF!,"AAAAAE7v70I=")</f>
        <v>#REF!</v>
      </c>
      <c r="BP73" t="str">
        <f>AND(#REF!,"AAAAAE7v70M=")</f>
        <v>#REF!</v>
      </c>
      <c r="BQ73" t="str">
        <f>AND(#REF!,"AAAAAE7v70Q=")</f>
        <v>#REF!</v>
      </c>
      <c r="BR73" t="str">
        <f>AND(#REF!,"AAAAAE7v70U=")</f>
        <v>#REF!</v>
      </c>
      <c r="BS73" t="str">
        <f>AND(#REF!,"AAAAAE7v70Y=")</f>
        <v>#REF!</v>
      </c>
      <c r="BT73" t="str">
        <f>AND(#REF!,"AAAAAE7v70c=")</f>
        <v>#REF!</v>
      </c>
      <c r="BU73" t="str">
        <f>AND(#REF!,"AAAAAE7v70g=")</f>
        <v>#REF!</v>
      </c>
      <c r="BV73" t="str">
        <f>AND(#REF!,"AAAAAE7v70k=")</f>
        <v>#REF!</v>
      </c>
      <c r="BW73" t="str">
        <f>AND(#REF!,"AAAAAE7v70o=")</f>
        <v>#REF!</v>
      </c>
      <c r="BX73" t="str">
        <f>AND(#REF!,"AAAAAE7v70s=")</f>
        <v>#REF!</v>
      </c>
      <c r="BY73" t="str">
        <f>AND(#REF!,"AAAAAE7v70w=")</f>
        <v>#REF!</v>
      </c>
      <c r="BZ73" t="str">
        <f>AND(#REF!,"AAAAAE7v700=")</f>
        <v>#REF!</v>
      </c>
      <c r="CA73" t="str">
        <f>AND(#REF!,"AAAAAE7v704=")</f>
        <v>#REF!</v>
      </c>
      <c r="CB73" t="str">
        <f>AND(#REF!,"AAAAAE7v708=")</f>
        <v>#REF!</v>
      </c>
      <c r="CC73" t="str">
        <f>AND(#REF!,"AAAAAE7v71A=")</f>
        <v>#REF!</v>
      </c>
      <c r="CD73" t="str">
        <f>AND(#REF!,"AAAAAE7v71E=")</f>
        <v>#REF!</v>
      </c>
      <c r="CE73" t="str">
        <f>AND(#REF!,"AAAAAE7v71I=")</f>
        <v>#REF!</v>
      </c>
      <c r="CF73" t="str">
        <f>AND(#REF!,"AAAAAE7v71M=")</f>
        <v>#REF!</v>
      </c>
      <c r="CG73" t="str">
        <f>AND(#REF!,"AAAAAE7v71Q=")</f>
        <v>#REF!</v>
      </c>
      <c r="CH73" t="str">
        <f>AND(#REF!,"AAAAAE7v71U=")</f>
        <v>#REF!</v>
      </c>
      <c r="CI73" t="str">
        <f>AND(#REF!,"AAAAAE7v71Y=")</f>
        <v>#REF!</v>
      </c>
      <c r="CJ73" t="str">
        <f>AND(#REF!,"AAAAAE7v71c=")</f>
        <v>#REF!</v>
      </c>
      <c r="CK73" t="str">
        <f>AND(#REF!,"AAAAAE7v71g=")</f>
        <v>#REF!</v>
      </c>
      <c r="CL73" t="str">
        <f>AND(#REF!,"AAAAAE7v71k=")</f>
        <v>#REF!</v>
      </c>
      <c r="CM73" t="str">
        <f>AND(#REF!,"AAAAAE7v71o=")</f>
        <v>#REF!</v>
      </c>
      <c r="CN73" t="str">
        <f>AND(#REF!,"AAAAAE7v71s=")</f>
        <v>#REF!</v>
      </c>
      <c r="CO73" t="str">
        <f>AND(#REF!,"AAAAAE7v71w=")</f>
        <v>#REF!</v>
      </c>
      <c r="CP73" t="str">
        <f>AND(#REF!,"AAAAAE7v710=")</f>
        <v>#REF!</v>
      </c>
      <c r="CQ73" t="str">
        <f>AND(#REF!,"AAAAAE7v714=")</f>
        <v>#REF!</v>
      </c>
      <c r="CR73" t="str">
        <f>AND(#REF!,"AAAAAE7v718=")</f>
        <v>#REF!</v>
      </c>
      <c r="CS73" t="str">
        <f>AND(#REF!,"AAAAAE7v72A=")</f>
        <v>#REF!</v>
      </c>
      <c r="CT73" t="str">
        <f>AND(#REF!,"AAAAAE7v72E=")</f>
        <v>#REF!</v>
      </c>
      <c r="CU73" t="str">
        <f>AND(#REF!,"AAAAAE7v72I=")</f>
        <v>#REF!</v>
      </c>
      <c r="CV73" t="str">
        <f>AND(#REF!,"AAAAAE7v72M=")</f>
        <v>#REF!</v>
      </c>
      <c r="CW73" t="str">
        <f>AND(#REF!,"AAAAAE7v72Q=")</f>
        <v>#REF!</v>
      </c>
      <c r="CX73" t="str">
        <f>AND(#REF!,"AAAAAE7v72U=")</f>
        <v>#REF!</v>
      </c>
      <c r="CY73" t="str">
        <f>AND(#REF!,"AAAAAE7v72Y=")</f>
        <v>#REF!</v>
      </c>
      <c r="CZ73" t="str">
        <f>AND(#REF!,"AAAAAE7v72c=")</f>
        <v>#REF!</v>
      </c>
      <c r="DA73" t="str">
        <f>AND(#REF!,"AAAAAE7v72g=")</f>
        <v>#REF!</v>
      </c>
      <c r="DB73" t="str">
        <f>AND(#REF!,"AAAAAE7v72k=")</f>
        <v>#REF!</v>
      </c>
      <c r="DC73" t="str">
        <f>AND(#REF!,"AAAAAE7v72o=")</f>
        <v>#REF!</v>
      </c>
      <c r="DD73" t="str">
        <f>AND(#REF!,"AAAAAE7v72s=")</f>
        <v>#REF!</v>
      </c>
      <c r="DE73" t="str">
        <f>AND(#REF!,"AAAAAE7v72w=")</f>
        <v>#REF!</v>
      </c>
      <c r="DF73" t="str">
        <f>AND(#REF!,"AAAAAE7v720=")</f>
        <v>#REF!</v>
      </c>
      <c r="DG73" t="str">
        <f>AND(#REF!,"AAAAAE7v724=")</f>
        <v>#REF!</v>
      </c>
      <c r="DH73" t="str">
        <f>AND(#REF!,"AAAAAE7v728=")</f>
        <v>#REF!</v>
      </c>
      <c r="DI73" t="str">
        <f>AND(#REF!,"AAAAAE7v73A=")</f>
        <v>#REF!</v>
      </c>
      <c r="DJ73" t="str">
        <f>AND(#REF!,"AAAAAE7v73E=")</f>
        <v>#REF!</v>
      </c>
      <c r="DK73" t="str">
        <f>IF(#REF!,"AAAAAE7v73I=",0)</f>
        <v>#REF!</v>
      </c>
      <c r="DL73" t="str">
        <f>AND(#REF!,"AAAAAE7v73M=")</f>
        <v>#REF!</v>
      </c>
      <c r="DM73" t="str">
        <f>AND(#REF!,"AAAAAE7v73Q=")</f>
        <v>#REF!</v>
      </c>
      <c r="DN73" t="str">
        <f>AND(#REF!,"AAAAAE7v73U=")</f>
        <v>#REF!</v>
      </c>
      <c r="DO73" t="str">
        <f>AND(#REF!,"AAAAAE7v73Y=")</f>
        <v>#REF!</v>
      </c>
      <c r="DP73" t="str">
        <f>AND(#REF!,"AAAAAE7v73c=")</f>
        <v>#REF!</v>
      </c>
      <c r="DQ73" t="str">
        <f>AND(#REF!,"AAAAAE7v73g=")</f>
        <v>#REF!</v>
      </c>
      <c r="DR73" t="str">
        <f>AND(#REF!,"AAAAAE7v73k=")</f>
        <v>#REF!</v>
      </c>
      <c r="DS73" t="str">
        <f>AND(#REF!,"AAAAAE7v73o=")</f>
        <v>#REF!</v>
      </c>
      <c r="DT73" t="str">
        <f>AND(#REF!,"AAAAAE7v73s=")</f>
        <v>#REF!</v>
      </c>
      <c r="DU73" t="str">
        <f>AND(#REF!,"AAAAAE7v73w=")</f>
        <v>#REF!</v>
      </c>
      <c r="DV73" t="str">
        <f>AND(#REF!,"AAAAAE7v730=")</f>
        <v>#REF!</v>
      </c>
      <c r="DW73" t="str">
        <f>AND(#REF!,"AAAAAE7v734=")</f>
        <v>#REF!</v>
      </c>
      <c r="DX73" t="str">
        <f>AND(#REF!,"AAAAAE7v738=")</f>
        <v>#REF!</v>
      </c>
      <c r="DY73" t="str">
        <f>AND(#REF!,"AAAAAE7v74A=")</f>
        <v>#REF!</v>
      </c>
      <c r="DZ73" t="str">
        <f>AND(#REF!,"AAAAAE7v74E=")</f>
        <v>#REF!</v>
      </c>
      <c r="EA73" t="str">
        <f>AND(#REF!,"AAAAAE7v74I=")</f>
        <v>#REF!</v>
      </c>
      <c r="EB73" t="str">
        <f>AND(#REF!,"AAAAAE7v74M=")</f>
        <v>#REF!</v>
      </c>
      <c r="EC73" t="str">
        <f>AND(#REF!,"AAAAAE7v74Q=")</f>
        <v>#REF!</v>
      </c>
      <c r="ED73" t="str">
        <f>AND(#REF!,"AAAAAE7v74U=")</f>
        <v>#REF!</v>
      </c>
      <c r="EE73" t="str">
        <f>AND(#REF!,"AAAAAE7v74Y=")</f>
        <v>#REF!</v>
      </c>
      <c r="EF73" t="str">
        <f>AND(#REF!,"AAAAAE7v74c=")</f>
        <v>#REF!</v>
      </c>
      <c r="EG73" t="str">
        <f>AND(#REF!,"AAAAAE7v74g=")</f>
        <v>#REF!</v>
      </c>
      <c r="EH73" t="str">
        <f>AND(#REF!,"AAAAAE7v74k=")</f>
        <v>#REF!</v>
      </c>
      <c r="EI73" t="str">
        <f>AND(#REF!,"AAAAAE7v74o=")</f>
        <v>#REF!</v>
      </c>
      <c r="EJ73" t="str">
        <f>AND(#REF!,"AAAAAE7v74s=")</f>
        <v>#REF!</v>
      </c>
      <c r="EK73" t="str">
        <f>AND(#REF!,"AAAAAE7v74w=")</f>
        <v>#REF!</v>
      </c>
      <c r="EL73" t="str">
        <f>AND(#REF!,"AAAAAE7v740=")</f>
        <v>#REF!</v>
      </c>
      <c r="EM73" t="str">
        <f>AND(#REF!,"AAAAAE7v744=")</f>
        <v>#REF!</v>
      </c>
      <c r="EN73" t="str">
        <f>AND(#REF!,"AAAAAE7v748=")</f>
        <v>#REF!</v>
      </c>
      <c r="EO73" t="str">
        <f>AND(#REF!,"AAAAAE7v75A=")</f>
        <v>#REF!</v>
      </c>
      <c r="EP73" t="str">
        <f>AND(#REF!,"AAAAAE7v75E=")</f>
        <v>#REF!</v>
      </c>
      <c r="EQ73" t="str">
        <f>AND(#REF!,"AAAAAE7v75I=")</f>
        <v>#REF!</v>
      </c>
      <c r="ER73" t="str">
        <f>AND(#REF!,"AAAAAE7v75M=")</f>
        <v>#REF!</v>
      </c>
      <c r="ES73" t="str">
        <f>AND(#REF!,"AAAAAE7v75Q=")</f>
        <v>#REF!</v>
      </c>
      <c r="ET73" t="str">
        <f>AND(#REF!,"AAAAAE7v75U=")</f>
        <v>#REF!</v>
      </c>
      <c r="EU73" t="str">
        <f>AND(#REF!,"AAAAAE7v75Y=")</f>
        <v>#REF!</v>
      </c>
      <c r="EV73" t="str">
        <f>AND(#REF!,"AAAAAE7v75c=")</f>
        <v>#REF!</v>
      </c>
      <c r="EW73" t="str">
        <f>AND(#REF!,"AAAAAE7v75g=")</f>
        <v>#REF!</v>
      </c>
      <c r="EX73" t="str">
        <f>AND(#REF!,"AAAAAE7v75k=")</f>
        <v>#REF!</v>
      </c>
      <c r="EY73" t="str">
        <f>AND(#REF!,"AAAAAE7v75o=")</f>
        <v>#REF!</v>
      </c>
      <c r="EZ73" t="str">
        <f>AND(#REF!,"AAAAAE7v75s=")</f>
        <v>#REF!</v>
      </c>
      <c r="FA73" t="str">
        <f>AND(#REF!,"AAAAAE7v75w=")</f>
        <v>#REF!</v>
      </c>
      <c r="FB73" t="str">
        <f>AND(#REF!,"AAAAAE7v750=")</f>
        <v>#REF!</v>
      </c>
      <c r="FC73" t="str">
        <f>AND(#REF!,"AAAAAE7v754=")</f>
        <v>#REF!</v>
      </c>
      <c r="FD73" t="str">
        <f>AND(#REF!,"AAAAAE7v758=")</f>
        <v>#REF!</v>
      </c>
      <c r="FE73" t="str">
        <f>AND(#REF!,"AAAAAE7v76A=")</f>
        <v>#REF!</v>
      </c>
      <c r="FF73" t="str">
        <f>AND(#REF!,"AAAAAE7v76E=")</f>
        <v>#REF!</v>
      </c>
      <c r="FG73" t="str">
        <f>AND(#REF!,"AAAAAE7v76I=")</f>
        <v>#REF!</v>
      </c>
      <c r="FH73" t="str">
        <f>AND(#REF!,"AAAAAE7v76M=")</f>
        <v>#REF!</v>
      </c>
      <c r="FI73" t="str">
        <f>AND(#REF!,"AAAAAE7v76Q=")</f>
        <v>#REF!</v>
      </c>
      <c r="FJ73" t="str">
        <f>AND(#REF!,"AAAAAE7v76U=")</f>
        <v>#REF!</v>
      </c>
      <c r="FK73" t="str">
        <f>AND(#REF!,"AAAAAE7v76Y=")</f>
        <v>#REF!</v>
      </c>
      <c r="FL73" t="str">
        <f>AND(#REF!,"AAAAAE7v76c=")</f>
        <v>#REF!</v>
      </c>
      <c r="FM73" t="str">
        <f>AND(#REF!,"AAAAAE7v76g=")</f>
        <v>#REF!</v>
      </c>
      <c r="FN73" t="str">
        <f>AND(#REF!,"AAAAAE7v76k=")</f>
        <v>#REF!</v>
      </c>
      <c r="FO73" t="str">
        <f>AND(#REF!,"AAAAAE7v76o=")</f>
        <v>#REF!</v>
      </c>
      <c r="FP73" t="str">
        <f>AND(#REF!,"AAAAAE7v76s=")</f>
        <v>#REF!</v>
      </c>
      <c r="FQ73" t="str">
        <f>AND(#REF!,"AAAAAE7v76w=")</f>
        <v>#REF!</v>
      </c>
      <c r="FR73" t="str">
        <f>AND(#REF!,"AAAAAE7v760=")</f>
        <v>#REF!</v>
      </c>
      <c r="FS73" t="str">
        <f>AND(#REF!,"AAAAAE7v764=")</f>
        <v>#REF!</v>
      </c>
      <c r="FT73" t="str">
        <f>AND(#REF!,"AAAAAE7v768=")</f>
        <v>#REF!</v>
      </c>
      <c r="FU73" t="str">
        <f>AND(#REF!,"AAAAAE7v77A=")</f>
        <v>#REF!</v>
      </c>
      <c r="FV73" t="str">
        <f>AND(#REF!,"AAAAAE7v77E=")</f>
        <v>#REF!</v>
      </c>
      <c r="FW73" t="str">
        <f>AND(#REF!,"AAAAAE7v77I=")</f>
        <v>#REF!</v>
      </c>
      <c r="FX73" t="str">
        <f>AND(#REF!,"AAAAAE7v77M=")</f>
        <v>#REF!</v>
      </c>
      <c r="FY73" t="str">
        <f>AND(#REF!,"AAAAAE7v77Q=")</f>
        <v>#REF!</v>
      </c>
      <c r="FZ73" t="str">
        <f>AND(#REF!,"AAAAAE7v77U=")</f>
        <v>#REF!</v>
      </c>
      <c r="GA73" t="str">
        <f>AND(#REF!,"AAAAAE7v77Y=")</f>
        <v>#REF!</v>
      </c>
      <c r="GB73" t="str">
        <f>AND(#REF!,"AAAAAE7v77c=")</f>
        <v>#REF!</v>
      </c>
      <c r="GC73" t="str">
        <f>AND(#REF!,"AAAAAE7v77g=")</f>
        <v>#REF!</v>
      </c>
      <c r="GD73" t="str">
        <f>AND(#REF!,"AAAAAE7v77k=")</f>
        <v>#REF!</v>
      </c>
      <c r="GE73" t="str">
        <f>AND(#REF!,"AAAAAE7v77o=")</f>
        <v>#REF!</v>
      </c>
      <c r="GF73" t="str">
        <f>AND(#REF!,"AAAAAE7v77s=")</f>
        <v>#REF!</v>
      </c>
      <c r="GG73" t="str">
        <f>AND(#REF!,"AAAAAE7v77w=")</f>
        <v>#REF!</v>
      </c>
      <c r="GH73" t="str">
        <f>AND(#REF!,"AAAAAE7v770=")</f>
        <v>#REF!</v>
      </c>
      <c r="GI73" t="str">
        <f>IF(#REF!,"AAAAAE7v774=",0)</f>
        <v>#REF!</v>
      </c>
      <c r="GJ73" t="str">
        <f>AND(#REF!,"AAAAAE7v778=")</f>
        <v>#REF!</v>
      </c>
      <c r="GK73" t="str">
        <f>AND(#REF!,"AAAAAE7v78A=")</f>
        <v>#REF!</v>
      </c>
      <c r="GL73" t="str">
        <f>AND(#REF!,"AAAAAE7v78E=")</f>
        <v>#REF!</v>
      </c>
      <c r="GM73" t="str">
        <f>AND(#REF!,"AAAAAE7v78I=")</f>
        <v>#REF!</v>
      </c>
      <c r="GN73" t="str">
        <f>AND(#REF!,"AAAAAE7v78M=")</f>
        <v>#REF!</v>
      </c>
      <c r="GO73" t="str">
        <f>AND(#REF!,"AAAAAE7v78Q=")</f>
        <v>#REF!</v>
      </c>
      <c r="GP73" t="str">
        <f>AND(#REF!,"AAAAAE7v78U=")</f>
        <v>#REF!</v>
      </c>
      <c r="GQ73" t="str">
        <f>AND(#REF!,"AAAAAE7v78Y=")</f>
        <v>#REF!</v>
      </c>
      <c r="GR73" t="str">
        <f>AND(#REF!,"AAAAAE7v78c=")</f>
        <v>#REF!</v>
      </c>
      <c r="GS73" t="str">
        <f>AND(#REF!,"AAAAAE7v78g=")</f>
        <v>#REF!</v>
      </c>
      <c r="GT73" t="str">
        <f>AND(#REF!,"AAAAAE7v78k=")</f>
        <v>#REF!</v>
      </c>
      <c r="GU73" t="str">
        <f>AND(#REF!,"AAAAAE7v78o=")</f>
        <v>#REF!</v>
      </c>
      <c r="GV73" t="str">
        <f>AND(#REF!,"AAAAAE7v78s=")</f>
        <v>#REF!</v>
      </c>
      <c r="GW73" t="str">
        <f>AND(#REF!,"AAAAAE7v78w=")</f>
        <v>#REF!</v>
      </c>
      <c r="GX73" t="str">
        <f>AND(#REF!,"AAAAAE7v780=")</f>
        <v>#REF!</v>
      </c>
      <c r="GY73" t="str">
        <f>AND(#REF!,"AAAAAE7v784=")</f>
        <v>#REF!</v>
      </c>
      <c r="GZ73" t="str">
        <f>AND(#REF!,"AAAAAE7v788=")</f>
        <v>#REF!</v>
      </c>
      <c r="HA73" t="str">
        <f>AND(#REF!,"AAAAAE7v79A=")</f>
        <v>#REF!</v>
      </c>
      <c r="HB73" t="str">
        <f>AND(#REF!,"AAAAAE7v79E=")</f>
        <v>#REF!</v>
      </c>
      <c r="HC73" t="str">
        <f>AND(#REF!,"AAAAAE7v79I=")</f>
        <v>#REF!</v>
      </c>
      <c r="HD73" t="str">
        <f>AND(#REF!,"AAAAAE7v79M=")</f>
        <v>#REF!</v>
      </c>
      <c r="HE73" t="str">
        <f>AND(#REF!,"AAAAAE7v79Q=")</f>
        <v>#REF!</v>
      </c>
      <c r="HF73" t="str">
        <f>AND(#REF!,"AAAAAE7v79U=")</f>
        <v>#REF!</v>
      </c>
      <c r="HG73" t="str">
        <f>AND(#REF!,"AAAAAE7v79Y=")</f>
        <v>#REF!</v>
      </c>
      <c r="HH73" t="str">
        <f>AND(#REF!,"AAAAAE7v79c=")</f>
        <v>#REF!</v>
      </c>
      <c r="HI73" t="str">
        <f>AND(#REF!,"AAAAAE7v79g=")</f>
        <v>#REF!</v>
      </c>
      <c r="HJ73" t="str">
        <f>AND(#REF!,"AAAAAE7v79k=")</f>
        <v>#REF!</v>
      </c>
      <c r="HK73" t="str">
        <f>AND(#REF!,"AAAAAE7v79o=")</f>
        <v>#REF!</v>
      </c>
      <c r="HL73" t="str">
        <f>AND(#REF!,"AAAAAE7v79s=")</f>
        <v>#REF!</v>
      </c>
      <c r="HM73" t="str">
        <f>AND(#REF!,"AAAAAE7v79w=")</f>
        <v>#REF!</v>
      </c>
      <c r="HN73" t="str">
        <f>AND(#REF!,"AAAAAE7v790=")</f>
        <v>#REF!</v>
      </c>
      <c r="HO73" t="str">
        <f>AND(#REF!,"AAAAAE7v794=")</f>
        <v>#REF!</v>
      </c>
      <c r="HP73" t="str">
        <f>AND(#REF!,"AAAAAE7v798=")</f>
        <v>#REF!</v>
      </c>
      <c r="HQ73" t="str">
        <f>AND(#REF!,"AAAAAE7v7+A=")</f>
        <v>#REF!</v>
      </c>
      <c r="HR73" t="str">
        <f>AND(#REF!,"AAAAAE7v7+E=")</f>
        <v>#REF!</v>
      </c>
      <c r="HS73" t="str">
        <f>AND(#REF!,"AAAAAE7v7+I=")</f>
        <v>#REF!</v>
      </c>
      <c r="HT73" t="str">
        <f>AND(#REF!,"AAAAAE7v7+M=")</f>
        <v>#REF!</v>
      </c>
      <c r="HU73" t="str">
        <f>AND(#REF!,"AAAAAE7v7+Q=")</f>
        <v>#REF!</v>
      </c>
      <c r="HV73" t="str">
        <f>AND(#REF!,"AAAAAE7v7+U=")</f>
        <v>#REF!</v>
      </c>
      <c r="HW73" t="str">
        <f>AND(#REF!,"AAAAAE7v7+Y=")</f>
        <v>#REF!</v>
      </c>
      <c r="HX73" t="str">
        <f>AND(#REF!,"AAAAAE7v7+c=")</f>
        <v>#REF!</v>
      </c>
      <c r="HY73" t="str">
        <f>AND(#REF!,"AAAAAE7v7+g=")</f>
        <v>#REF!</v>
      </c>
      <c r="HZ73" t="str">
        <f>AND(#REF!,"AAAAAE7v7+k=")</f>
        <v>#REF!</v>
      </c>
      <c r="IA73" t="str">
        <f>AND(#REF!,"AAAAAE7v7+o=")</f>
        <v>#REF!</v>
      </c>
      <c r="IB73" t="str">
        <f>AND(#REF!,"AAAAAE7v7+s=")</f>
        <v>#REF!</v>
      </c>
      <c r="IC73" t="str">
        <f>AND(#REF!,"AAAAAE7v7+w=")</f>
        <v>#REF!</v>
      </c>
      <c r="ID73" t="str">
        <f>AND(#REF!,"AAAAAE7v7+0=")</f>
        <v>#REF!</v>
      </c>
      <c r="IE73" t="str">
        <f>AND(#REF!,"AAAAAE7v7+4=")</f>
        <v>#REF!</v>
      </c>
      <c r="IF73" t="str">
        <f>AND(#REF!,"AAAAAE7v7+8=")</f>
        <v>#REF!</v>
      </c>
      <c r="IG73" t="str">
        <f>AND(#REF!,"AAAAAE7v7/A=")</f>
        <v>#REF!</v>
      </c>
      <c r="IH73" t="str">
        <f>AND(#REF!,"AAAAAE7v7/E=")</f>
        <v>#REF!</v>
      </c>
      <c r="II73" t="str">
        <f>AND(#REF!,"AAAAAE7v7/I=")</f>
        <v>#REF!</v>
      </c>
      <c r="IJ73" t="str">
        <f>AND(#REF!,"AAAAAE7v7/M=")</f>
        <v>#REF!</v>
      </c>
      <c r="IK73" t="str">
        <f>AND(#REF!,"AAAAAE7v7/Q=")</f>
        <v>#REF!</v>
      </c>
      <c r="IL73" t="str">
        <f>AND(#REF!,"AAAAAE7v7/U=")</f>
        <v>#REF!</v>
      </c>
      <c r="IM73" t="str">
        <f>AND(#REF!,"AAAAAE7v7/Y=")</f>
        <v>#REF!</v>
      </c>
      <c r="IN73" t="str">
        <f>AND(#REF!,"AAAAAE7v7/c=")</f>
        <v>#REF!</v>
      </c>
      <c r="IO73" t="str">
        <f>AND(#REF!,"AAAAAE7v7/g=")</f>
        <v>#REF!</v>
      </c>
      <c r="IP73" t="str">
        <f>AND(#REF!,"AAAAAE7v7/k=")</f>
        <v>#REF!</v>
      </c>
      <c r="IQ73" t="str">
        <f>AND(#REF!,"AAAAAE7v7/o=")</f>
        <v>#REF!</v>
      </c>
      <c r="IR73" t="str">
        <f>AND(#REF!,"AAAAAE7v7/s=")</f>
        <v>#REF!</v>
      </c>
      <c r="IS73" t="str">
        <f>AND(#REF!,"AAAAAE7v7/w=")</f>
        <v>#REF!</v>
      </c>
      <c r="IT73" t="str">
        <f>AND(#REF!,"AAAAAE7v7/0=")</f>
        <v>#REF!</v>
      </c>
      <c r="IU73" t="str">
        <f>AND(#REF!,"AAAAAE7v7/4=")</f>
        <v>#REF!</v>
      </c>
      <c r="IV73" t="str">
        <f>AND(#REF!,"AAAAAE7v7/8=")</f>
        <v>#REF!</v>
      </c>
    </row>
    <row r="74" ht="15.75" customHeight="1">
      <c r="A74" t="str">
        <f>AND(#REF!,"AAAAADP++gA=")</f>
        <v>#REF!</v>
      </c>
      <c r="B74" t="str">
        <f>AND(#REF!,"AAAAADP++gE=")</f>
        <v>#REF!</v>
      </c>
      <c r="C74" t="str">
        <f>AND(#REF!,"AAAAADP++gI=")</f>
        <v>#REF!</v>
      </c>
      <c r="D74" t="str">
        <f>AND(#REF!,"AAAAADP++gM=")</f>
        <v>#REF!</v>
      </c>
      <c r="E74" t="str">
        <f>AND(#REF!,"AAAAADP++gQ=")</f>
        <v>#REF!</v>
      </c>
      <c r="F74" t="str">
        <f>AND(#REF!,"AAAAADP++gU=")</f>
        <v>#REF!</v>
      </c>
      <c r="G74" t="str">
        <f>AND(#REF!,"AAAAADP++gY=")</f>
        <v>#REF!</v>
      </c>
      <c r="H74" t="str">
        <f>AND(#REF!,"AAAAADP++gc=")</f>
        <v>#REF!</v>
      </c>
      <c r="I74" t="str">
        <f>AND(#REF!,"AAAAADP++gg=")</f>
        <v>#REF!</v>
      </c>
      <c r="J74" t="str">
        <f>AND(#REF!,"AAAAADP++gk=")</f>
        <v>#REF!</v>
      </c>
      <c r="K74" t="str">
        <f>IF(#REF!,"AAAAADP++go=",0)</f>
        <v>#REF!</v>
      </c>
      <c r="L74" t="str">
        <f>AND(#REF!,"AAAAADP++gs=")</f>
        <v>#REF!</v>
      </c>
      <c r="M74" t="str">
        <f>AND(#REF!,"AAAAADP++gw=")</f>
        <v>#REF!</v>
      </c>
      <c r="N74" t="str">
        <f>AND(#REF!,"AAAAADP++g0=")</f>
        <v>#REF!</v>
      </c>
      <c r="O74" t="str">
        <f>AND(#REF!,"AAAAADP++g4=")</f>
        <v>#REF!</v>
      </c>
      <c r="P74" t="str">
        <f>AND(#REF!,"AAAAADP++g8=")</f>
        <v>#REF!</v>
      </c>
      <c r="Q74" t="str">
        <f>AND(#REF!,"AAAAADP++hA=")</f>
        <v>#REF!</v>
      </c>
      <c r="R74" t="str">
        <f>AND(#REF!,"AAAAADP++hE=")</f>
        <v>#REF!</v>
      </c>
      <c r="S74" t="str">
        <f>AND(#REF!,"AAAAADP++hI=")</f>
        <v>#REF!</v>
      </c>
      <c r="T74" t="str">
        <f>AND(#REF!,"AAAAADP++hM=")</f>
        <v>#REF!</v>
      </c>
      <c r="U74" t="str">
        <f>AND(#REF!,"AAAAADP++hQ=")</f>
        <v>#REF!</v>
      </c>
      <c r="V74" t="str">
        <f>AND(#REF!,"AAAAADP++hU=")</f>
        <v>#REF!</v>
      </c>
      <c r="W74" t="str">
        <f>AND(#REF!,"AAAAADP++hY=")</f>
        <v>#REF!</v>
      </c>
      <c r="X74" t="str">
        <f>AND(#REF!,"AAAAADP++hc=")</f>
        <v>#REF!</v>
      </c>
      <c r="Y74" t="str">
        <f>AND(#REF!,"AAAAADP++hg=")</f>
        <v>#REF!</v>
      </c>
      <c r="Z74" t="str">
        <f>AND(#REF!,"AAAAADP++hk=")</f>
        <v>#REF!</v>
      </c>
      <c r="AA74" t="str">
        <f>AND(#REF!,"AAAAADP++ho=")</f>
        <v>#REF!</v>
      </c>
      <c r="AB74" t="str">
        <f>AND(#REF!,"AAAAADP++hs=")</f>
        <v>#REF!</v>
      </c>
      <c r="AC74" t="str">
        <f>AND(#REF!,"AAAAADP++hw=")</f>
        <v>#REF!</v>
      </c>
      <c r="AD74" t="str">
        <f>AND(#REF!,"AAAAADP++h0=")</f>
        <v>#REF!</v>
      </c>
      <c r="AE74" t="str">
        <f>AND(#REF!,"AAAAADP++h4=")</f>
        <v>#REF!</v>
      </c>
      <c r="AF74" t="str">
        <f>AND(#REF!,"AAAAADP++h8=")</f>
        <v>#REF!</v>
      </c>
      <c r="AG74" t="str">
        <f>AND(#REF!,"AAAAADP++iA=")</f>
        <v>#REF!</v>
      </c>
      <c r="AH74" t="str">
        <f>AND(#REF!,"AAAAADP++iE=")</f>
        <v>#REF!</v>
      </c>
      <c r="AI74" t="str">
        <f>AND(#REF!,"AAAAADP++iI=")</f>
        <v>#REF!</v>
      </c>
      <c r="AJ74" t="str">
        <f>AND(#REF!,"AAAAADP++iM=")</f>
        <v>#REF!</v>
      </c>
      <c r="AK74" t="str">
        <f>AND(#REF!,"AAAAADP++iQ=")</f>
        <v>#REF!</v>
      </c>
      <c r="AL74" t="str">
        <f>AND(#REF!,"AAAAADP++iU=")</f>
        <v>#REF!</v>
      </c>
      <c r="AM74" t="str">
        <f>AND(#REF!,"AAAAADP++iY=")</f>
        <v>#REF!</v>
      </c>
      <c r="AN74" t="str">
        <f>AND(#REF!,"AAAAADP++ic=")</f>
        <v>#REF!</v>
      </c>
      <c r="AO74" t="str">
        <f>AND(#REF!,"AAAAADP++ig=")</f>
        <v>#REF!</v>
      </c>
      <c r="AP74" t="str">
        <f>AND(#REF!,"AAAAADP++ik=")</f>
        <v>#REF!</v>
      </c>
      <c r="AQ74" t="str">
        <f>AND(#REF!,"AAAAADP++io=")</f>
        <v>#REF!</v>
      </c>
      <c r="AR74" t="str">
        <f>AND(#REF!,"AAAAADP++is=")</f>
        <v>#REF!</v>
      </c>
      <c r="AS74" t="str">
        <f>AND(#REF!,"AAAAADP++iw=")</f>
        <v>#REF!</v>
      </c>
      <c r="AT74" t="str">
        <f>AND(#REF!,"AAAAADP++i0=")</f>
        <v>#REF!</v>
      </c>
      <c r="AU74" t="str">
        <f>AND(#REF!,"AAAAADP++i4=")</f>
        <v>#REF!</v>
      </c>
      <c r="AV74" t="str">
        <f>AND(#REF!,"AAAAADP++i8=")</f>
        <v>#REF!</v>
      </c>
      <c r="AW74" t="str">
        <f>AND(#REF!,"AAAAADP++jA=")</f>
        <v>#REF!</v>
      </c>
      <c r="AX74" t="str">
        <f>AND(#REF!,"AAAAADP++jE=")</f>
        <v>#REF!</v>
      </c>
      <c r="AY74" t="str">
        <f>AND(#REF!,"AAAAADP++jI=")</f>
        <v>#REF!</v>
      </c>
      <c r="AZ74" t="str">
        <f>AND(#REF!,"AAAAADP++jM=")</f>
        <v>#REF!</v>
      </c>
      <c r="BA74" t="str">
        <f>AND(#REF!,"AAAAADP++jQ=")</f>
        <v>#REF!</v>
      </c>
      <c r="BB74" t="str">
        <f>AND(#REF!,"AAAAADP++jU=")</f>
        <v>#REF!</v>
      </c>
      <c r="BC74" t="str">
        <f>AND(#REF!,"AAAAADP++jY=")</f>
        <v>#REF!</v>
      </c>
      <c r="BD74" t="str">
        <f>AND(#REF!,"AAAAADP++jc=")</f>
        <v>#REF!</v>
      </c>
      <c r="BE74" t="str">
        <f>AND(#REF!,"AAAAADP++jg=")</f>
        <v>#REF!</v>
      </c>
      <c r="BF74" t="str">
        <f>AND(#REF!,"AAAAADP++jk=")</f>
        <v>#REF!</v>
      </c>
      <c r="BG74" t="str">
        <f>AND(#REF!,"AAAAADP++jo=")</f>
        <v>#REF!</v>
      </c>
      <c r="BH74" t="str">
        <f>AND(#REF!,"AAAAADP++js=")</f>
        <v>#REF!</v>
      </c>
      <c r="BI74" t="str">
        <f>AND(#REF!,"AAAAADP++jw=")</f>
        <v>#REF!</v>
      </c>
      <c r="BJ74" t="str">
        <f>AND(#REF!,"AAAAADP++j0=")</f>
        <v>#REF!</v>
      </c>
      <c r="BK74" t="str">
        <f>AND(#REF!,"AAAAADP++j4=")</f>
        <v>#REF!</v>
      </c>
      <c r="BL74" t="str">
        <f>AND(#REF!,"AAAAADP++j8=")</f>
        <v>#REF!</v>
      </c>
      <c r="BM74" t="str">
        <f>AND(#REF!,"AAAAADP++kA=")</f>
        <v>#REF!</v>
      </c>
      <c r="BN74" t="str">
        <f>AND(#REF!,"AAAAADP++kE=")</f>
        <v>#REF!</v>
      </c>
      <c r="BO74" t="str">
        <f>AND(#REF!,"AAAAADP++kI=")</f>
        <v>#REF!</v>
      </c>
      <c r="BP74" t="str">
        <f>AND(#REF!,"AAAAADP++kM=")</f>
        <v>#REF!</v>
      </c>
      <c r="BQ74" t="str">
        <f>AND(#REF!,"AAAAADP++kQ=")</f>
        <v>#REF!</v>
      </c>
      <c r="BR74" t="str">
        <f>AND(#REF!,"AAAAADP++kU=")</f>
        <v>#REF!</v>
      </c>
      <c r="BS74" t="str">
        <f>AND(#REF!,"AAAAADP++kY=")</f>
        <v>#REF!</v>
      </c>
      <c r="BT74" t="str">
        <f>AND(#REF!,"AAAAADP++kc=")</f>
        <v>#REF!</v>
      </c>
      <c r="BU74" t="str">
        <f>AND(#REF!,"AAAAADP++kg=")</f>
        <v>#REF!</v>
      </c>
      <c r="BV74" t="str">
        <f>AND(#REF!,"AAAAADP++kk=")</f>
        <v>#REF!</v>
      </c>
      <c r="BW74" t="str">
        <f>AND(#REF!,"AAAAADP++ko=")</f>
        <v>#REF!</v>
      </c>
      <c r="BX74" t="str">
        <f>AND(#REF!,"AAAAADP++ks=")</f>
        <v>#REF!</v>
      </c>
      <c r="BY74" t="str">
        <f>AND(#REF!,"AAAAADP++kw=")</f>
        <v>#REF!</v>
      </c>
      <c r="BZ74" t="str">
        <f>AND(#REF!,"AAAAADP++k0=")</f>
        <v>#REF!</v>
      </c>
      <c r="CA74" t="str">
        <f>AND(#REF!,"AAAAADP++k4=")</f>
        <v>#REF!</v>
      </c>
      <c r="CB74" t="str">
        <f>AND(#REF!,"AAAAADP++k8=")</f>
        <v>#REF!</v>
      </c>
      <c r="CC74" t="str">
        <f>AND(#REF!,"AAAAADP++lA=")</f>
        <v>#REF!</v>
      </c>
      <c r="CD74" t="str">
        <f>AND(#REF!,"AAAAADP++lE=")</f>
        <v>#REF!</v>
      </c>
      <c r="CE74" t="str">
        <f>AND(#REF!,"AAAAADP++lI=")</f>
        <v>#REF!</v>
      </c>
      <c r="CF74" t="str">
        <f>AND(#REF!,"AAAAADP++lM=")</f>
        <v>#REF!</v>
      </c>
      <c r="CG74" t="str">
        <f>AND(#REF!,"AAAAADP++lQ=")</f>
        <v>#REF!</v>
      </c>
      <c r="CH74" t="str">
        <f>AND(#REF!,"AAAAADP++lU=")</f>
        <v>#REF!</v>
      </c>
      <c r="CI74" t="str">
        <f>IF(#REF!,"AAAAADP++lY=",0)</f>
        <v>#REF!</v>
      </c>
      <c r="CJ74" t="str">
        <f>AND(#REF!,"AAAAADP++lc=")</f>
        <v>#REF!</v>
      </c>
      <c r="CK74" t="str">
        <f>AND(#REF!,"AAAAADP++lg=")</f>
        <v>#REF!</v>
      </c>
      <c r="CL74" t="str">
        <f>AND(#REF!,"AAAAADP++lk=")</f>
        <v>#REF!</v>
      </c>
      <c r="CM74" t="str">
        <f>IF(#REF!,"AAAAADP++lo=",0)</f>
        <v>#REF!</v>
      </c>
      <c r="CN74" t="str">
        <f>AND(#REF!,"AAAAADP++ls=")</f>
        <v>#REF!</v>
      </c>
      <c r="CO74" t="str">
        <f>AND(#REF!,"AAAAADP++lw=")</f>
        <v>#REF!</v>
      </c>
      <c r="CP74" t="str">
        <f>AND(#REF!,"AAAAADP++l0=")</f>
        <v>#REF!</v>
      </c>
      <c r="CQ74" t="str">
        <f>IF(#REF!,"AAAAADP++l4=",0)</f>
        <v>#REF!</v>
      </c>
      <c r="CR74" t="str">
        <f>AND(#REF!,"AAAAADP++l8=")</f>
        <v>#REF!</v>
      </c>
      <c r="CS74" t="str">
        <f>AND(#REF!,"AAAAADP++mA=")</f>
        <v>#REF!</v>
      </c>
      <c r="CT74" t="str">
        <f>AND(#REF!,"AAAAADP++mE=")</f>
        <v>#REF!</v>
      </c>
      <c r="CU74" t="str">
        <f>IF(#REF!,"AAAAADP++mI=",0)</f>
        <v>#REF!</v>
      </c>
      <c r="CV74" t="str">
        <f>AND(#REF!,"AAAAADP++mM=")</f>
        <v>#REF!</v>
      </c>
      <c r="CW74" t="str">
        <f>AND(#REF!,"AAAAADP++mQ=")</f>
        <v>#REF!</v>
      </c>
      <c r="CX74" t="str">
        <f>AND(#REF!,"AAAAADP++mU=")</f>
        <v>#REF!</v>
      </c>
      <c r="CY74" t="str">
        <f>IF(#REF!,"AAAAADP++mY=",0)</f>
        <v>#REF!</v>
      </c>
      <c r="CZ74" t="str">
        <f>AND(#REF!,"AAAAADP++mc=")</f>
        <v>#REF!</v>
      </c>
      <c r="DA74" t="str">
        <f>AND(#REF!,"AAAAADP++mg=")</f>
        <v>#REF!</v>
      </c>
      <c r="DB74" t="str">
        <f>AND(#REF!,"AAAAADP++mk=")</f>
        <v>#REF!</v>
      </c>
      <c r="DC74" t="str">
        <f>IF(#REF!,"AAAAADP++mo=",0)</f>
        <v>#REF!</v>
      </c>
      <c r="DD74" t="str">
        <f>AND(#REF!,"AAAAADP++ms=")</f>
        <v>#REF!</v>
      </c>
      <c r="DE74" t="str">
        <f>AND(#REF!,"AAAAADP++mw=")</f>
        <v>#REF!</v>
      </c>
      <c r="DF74" t="str">
        <f>AND(#REF!,"AAAAADP++m0=")</f>
        <v>#REF!</v>
      </c>
      <c r="DG74" t="str">
        <f>IF(#REF!,"AAAAADP++m4=",0)</f>
        <v>#REF!</v>
      </c>
      <c r="DH74" t="str">
        <f>AND(#REF!,"AAAAADP++m8=")</f>
        <v>#REF!</v>
      </c>
      <c r="DI74" t="str">
        <f>AND(#REF!,"AAAAADP++nA=")</f>
        <v>#REF!</v>
      </c>
      <c r="DJ74" t="str">
        <f>AND(#REF!,"AAAAADP++nE=")</f>
        <v>#REF!</v>
      </c>
      <c r="DK74" t="str">
        <f>IF(#REF!,"AAAAADP++nI=",0)</f>
        <v>#REF!</v>
      </c>
      <c r="DL74" t="str">
        <f>AND(#REF!,"AAAAADP++nM=")</f>
        <v>#REF!</v>
      </c>
      <c r="DM74" t="str">
        <f>AND(#REF!,"AAAAADP++nQ=")</f>
        <v>#REF!</v>
      </c>
      <c r="DN74" t="str">
        <f>AND(#REF!,"AAAAADP++nU=")</f>
        <v>#REF!</v>
      </c>
      <c r="DO74" t="str">
        <f>IF(#REF!,"AAAAADP++nY=",0)</f>
        <v>#REF!</v>
      </c>
      <c r="DP74" t="str">
        <f>AND(#REF!,"AAAAADP++nc=")</f>
        <v>#REF!</v>
      </c>
      <c r="DQ74" t="str">
        <f>AND(#REF!,"AAAAADP++ng=")</f>
        <v>#REF!</v>
      </c>
      <c r="DR74" t="str">
        <f>AND(#REF!,"AAAAADP++nk=")</f>
        <v>#REF!</v>
      </c>
      <c r="DS74" t="str">
        <f>IF(#REF!,"AAAAADP++no=",0)</f>
        <v>#REF!</v>
      </c>
      <c r="DT74" t="str">
        <f>AND(#REF!,"AAAAADP++ns=")</f>
        <v>#REF!</v>
      </c>
      <c r="DU74" t="str">
        <f>AND(#REF!,"AAAAADP++nw=")</f>
        <v>#REF!</v>
      </c>
      <c r="DV74" t="str">
        <f>AND(#REF!,"AAAAADP++n0=")</f>
        <v>#REF!</v>
      </c>
      <c r="DW74" t="str">
        <f>IF(#REF!,"AAAAADP++n4=",0)</f>
        <v>#REF!</v>
      </c>
      <c r="DX74" t="str">
        <f>AND(#REF!,"AAAAADP++n8=")</f>
        <v>#REF!</v>
      </c>
      <c r="DY74" t="str">
        <f>AND(#REF!,"AAAAADP++oA=")</f>
        <v>#REF!</v>
      </c>
      <c r="DZ74" t="str">
        <f>AND(#REF!,"AAAAADP++oE=")</f>
        <v>#REF!</v>
      </c>
      <c r="EA74" t="str">
        <f>IF(#REF!,"AAAAADP++oI=",0)</f>
        <v>#REF!</v>
      </c>
      <c r="EB74" t="str">
        <f>IF(#REF!,"AAAAADP++oM=",0)</f>
        <v>#REF!</v>
      </c>
      <c r="EC74" t="str">
        <f>IF(#REF!,"AAAAADP++oQ=",0)</f>
        <v>#REF!</v>
      </c>
      <c r="ED74" t="str">
        <f>IF(#REF!,"AAAAADP++oU=",0)</f>
        <v>#REF!</v>
      </c>
      <c r="EE74" t="str">
        <f>IF(#REF!,"AAAAADP++oY=",0)</f>
        <v>#REF!</v>
      </c>
      <c r="EF74" t="str">
        <f>IF(#REF!,"AAAAADP++oc=",0)</f>
        <v>#REF!</v>
      </c>
      <c r="EG74" t="str">
        <f>IF(#REF!,"AAAAADP++og=",0)</f>
        <v>#REF!</v>
      </c>
      <c r="EH74" t="str">
        <f>IF(#REF!,"AAAAADP++ok=",0)</f>
        <v>#REF!</v>
      </c>
      <c r="EI74" t="str">
        <f>IF(#REF!,"AAAAADP++oo=",0)</f>
        <v>#REF!</v>
      </c>
      <c r="EJ74" t="str">
        <f>IF(#REF!,"AAAAADP++os=",0)</f>
        <v>#REF!</v>
      </c>
      <c r="EK74" t="str">
        <f>IF(#REF!,"AAAAADP++ow=",0)</f>
        <v>#REF!</v>
      </c>
      <c r="EL74" t="str">
        <f>IF(#REF!,"AAAAADP++o0=",0)</f>
        <v>#REF!</v>
      </c>
      <c r="EM74" t="str">
        <f>IF(#REF!,"AAAAADP++o4=",0)</f>
        <v>#REF!</v>
      </c>
      <c r="EN74" t="str">
        <f>IF(#REF!,"AAAAADP++o8=",0)</f>
        <v>#REF!</v>
      </c>
      <c r="EO74" t="str">
        <f>IF(#REF!,"AAAAADP++pA=",0)</f>
        <v>#REF!</v>
      </c>
      <c r="EP74" t="str">
        <f>IF(#REF!,"AAAAADP++pE=",0)</f>
        <v>#REF!</v>
      </c>
      <c r="EQ74" t="str">
        <f>IF(#REF!,"AAAAADP++pI=",0)</f>
        <v>#REF!</v>
      </c>
      <c r="ER74" t="str">
        <f>IF(#REF!,"AAAAADP++pM=",0)</f>
        <v>#REF!</v>
      </c>
      <c r="ES74" t="str">
        <f>IF(#REF!,"AAAAADP++pQ=",0)</f>
        <v>#REF!</v>
      </c>
      <c r="ET74" t="str">
        <f>IF(#REF!,"AAAAADP++pU=",0)</f>
        <v>#REF!</v>
      </c>
      <c r="EU74" t="str">
        <f>IF(#REF!,"AAAAADP++pY=",0)</f>
        <v>#REF!</v>
      </c>
      <c r="EV74" t="str">
        <f>IF(#REF!,"AAAAADP++pc=",0)</f>
        <v>#REF!</v>
      </c>
      <c r="EW74" t="str">
        <f>IF(#REF!,"AAAAADP++pg=",0)</f>
        <v>#REF!</v>
      </c>
      <c r="EX74" t="str">
        <f>IF(#REF!,"AAAAADP++pk=",0)</f>
        <v>#REF!</v>
      </c>
      <c r="EY74" t="str">
        <f>IF(#REF!,"AAAAADP++po=",0)</f>
        <v>#REF!</v>
      </c>
      <c r="EZ74" t="str">
        <f>IF(#REF!,"AAAAADP++ps=",0)</f>
        <v>#REF!</v>
      </c>
      <c r="FA74" t="str">
        <f>IF(#REF!,"AAAAADP++pw=",0)</f>
        <v>#REF!</v>
      </c>
      <c r="FB74" t="str">
        <f>IF(#REF!,"AAAAADP++p0=",0)</f>
        <v>#REF!</v>
      </c>
      <c r="FC74" t="str">
        <f>IF(#REF!,"AAAAADP++p4=",0)</f>
        <v>#REF!</v>
      </c>
      <c r="FD74" t="str">
        <f>IF(#REF!,"AAAAADP++p8=",0)</f>
        <v>#REF!</v>
      </c>
      <c r="FE74" t="str">
        <f>IF(#REF!,"AAAAADP++qA=",0)</f>
        <v>#REF!</v>
      </c>
      <c r="FF74" t="str">
        <f>IF(#REF!,"AAAAADP++qE=",0)</f>
        <v>#REF!</v>
      </c>
      <c r="FG74" t="str">
        <f>IF(#REF!,"AAAAADP++qI=",0)</f>
        <v>#REF!</v>
      </c>
      <c r="FH74" t="str">
        <f>IF(#REF!,"AAAAADP++qM=",0)</f>
        <v>#REF!</v>
      </c>
      <c r="FI74" t="str">
        <f>IF(#REF!,"AAAAADP++qQ=",0)</f>
        <v>#REF!</v>
      </c>
      <c r="FJ74" t="str">
        <f>IF(#REF!,"AAAAADP++qU=",0)</f>
        <v>#REF!</v>
      </c>
      <c r="FK74" t="str">
        <f>IF(#REF!,"AAAAADP++qY=",0)</f>
        <v>#REF!</v>
      </c>
      <c r="FL74" t="str">
        <f>IF(#REF!,"AAAAADP++qc=",0)</f>
        <v>#REF!</v>
      </c>
      <c r="FM74" t="str">
        <f>IF(#REF!,"AAAAADP++qg=",0)</f>
        <v>#REF!</v>
      </c>
      <c r="FN74" t="str">
        <f>IF(#REF!,"AAAAADP++qk=",0)</f>
        <v>#REF!</v>
      </c>
      <c r="FO74" t="str">
        <f>IF(#REF!,"AAAAADP++qo=",0)</f>
        <v>#REF!</v>
      </c>
      <c r="FP74" t="str">
        <f>IF(#REF!,"AAAAADP++qs=",0)</f>
        <v>#REF!</v>
      </c>
      <c r="FQ74" t="str">
        <f>IF(#REF!,"AAAAADP++qw=",0)</f>
        <v>#REF!</v>
      </c>
      <c r="FR74" t="str">
        <f>IF(#REF!,"AAAAADP++q0=",0)</f>
        <v>#REF!</v>
      </c>
      <c r="FS74" t="str">
        <f>IF(#REF!,"AAAAADP++q4=",0)</f>
        <v>#REF!</v>
      </c>
      <c r="FT74" t="str">
        <f>IF(#REF!,"AAAAADP++q8=",0)</f>
        <v>#REF!</v>
      </c>
      <c r="FU74" t="str">
        <f>IF(#REF!,"AAAAADP++rA=",0)</f>
        <v>#REF!</v>
      </c>
      <c r="FV74" t="str">
        <f>IF(#REF!,"AAAAADP++rE=",0)</f>
        <v>#REF!</v>
      </c>
      <c r="FW74" t="str">
        <f>IF(#REF!,"AAAAADP++rI=",0)</f>
        <v>#REF!</v>
      </c>
      <c r="FX74" t="str">
        <f>IF(#REF!,"AAAAADP++rM=",0)</f>
        <v>#REF!</v>
      </c>
      <c r="FY74" t="str">
        <f>IF(#REF!,"AAAAADP++rQ=",0)</f>
        <v>#REF!</v>
      </c>
      <c r="FZ74" t="str">
        <f>IF(#REF!,"AAAAADP++rU=",0)</f>
        <v>#REF!</v>
      </c>
      <c r="GA74" t="str">
        <f>IF(#REF!,"AAAAADP++rY=",0)</f>
        <v>#REF!</v>
      </c>
      <c r="GB74" t="str">
        <f>IF(#REF!,"AAAAADP++rc=",0)</f>
        <v>#REF!</v>
      </c>
      <c r="GC74" t="str">
        <f>IF(#REF!,"AAAAADP++rg=",0)</f>
        <v>#REF!</v>
      </c>
      <c r="GD74" t="str">
        <f>IF(#REF!,"AAAAADP++rk=",0)</f>
        <v>#REF!</v>
      </c>
      <c r="GE74" t="str">
        <f>IF(#REF!,"AAAAADP++ro=",0)</f>
        <v>#REF!</v>
      </c>
      <c r="GF74" t="str">
        <f>IF(#REF!,"AAAAADP++rs=",0)</f>
        <v>#REF!</v>
      </c>
      <c r="GG74" t="str">
        <f>IF(#REF!,"AAAAADP++rw=",0)</f>
        <v>#REF!</v>
      </c>
      <c r="GH74" t="str">
        <f>IF(#REF!,"AAAAADP++r0=",0)</f>
        <v>#REF!</v>
      </c>
      <c r="GI74" t="str">
        <f>IF(#REF!,"AAAAADP++r4=",0)</f>
        <v>#REF!</v>
      </c>
      <c r="GJ74" t="str">
        <f>IF(#REF!,"AAAAADP++r8=",0)</f>
        <v>#REF!</v>
      </c>
      <c r="GK74" t="str">
        <f>IF(#REF!,"AAAAADP++sA=",0)</f>
        <v>#REF!</v>
      </c>
      <c r="GL74" t="str">
        <f>IF(#REF!,"AAAAADP++sE=",0)</f>
        <v>#REF!</v>
      </c>
      <c r="GM74" t="str">
        <f>IF(#REF!,"AAAAADP++sI=",0)</f>
        <v>#REF!</v>
      </c>
      <c r="GN74" t="str">
        <f>IF(#REF!,"AAAAADP++sM=",0)</f>
        <v>#REF!</v>
      </c>
      <c r="GO74" t="str">
        <f>IF(#REF!,"AAAAADP++sQ=",0)</f>
        <v>#REF!</v>
      </c>
      <c r="GP74" t="str">
        <f>IF(#REF!,"AAAAADP++sU=",0)</f>
        <v>#REF!</v>
      </c>
      <c r="GQ74" t="str">
        <f>IF(#REF!,"AAAAADP++sY=",0)</f>
        <v>#REF!</v>
      </c>
      <c r="GR74" t="str">
        <f>IF(#REF!,"AAAAADP++sc=",0)</f>
        <v>#REF!</v>
      </c>
      <c r="GS74" t="str">
        <f>IF(#REF!,"AAAAADP++sg=",0)</f>
        <v>#REF!</v>
      </c>
      <c r="GT74" t="str">
        <f>IF(#REF!,"AAAAADP++sk=",0)</f>
        <v>#REF!</v>
      </c>
      <c r="GU74" t="str">
        <f>IF(#REF!,"AAAAADP++so=",0)</f>
        <v>#REF!</v>
      </c>
      <c r="GV74" t="str">
        <f>IF(#REF!,"AAAAADP++ss=",0)</f>
        <v>#REF!</v>
      </c>
      <c r="GW74" t="str">
        <f>IF(#REF!,"AAAAADP++sw=",0)</f>
        <v>#REF!</v>
      </c>
      <c r="GX74" t="str">
        <f>IF(#REF!,"AAAAADP++s0=",0)</f>
        <v>#REF!</v>
      </c>
      <c r="GY74" t="str">
        <f>AND(#REF!,"AAAAADP++s4=")</f>
        <v>#REF!</v>
      </c>
      <c r="GZ74" t="str">
        <f>AND(#REF!,"AAAAADP++s8=")</f>
        <v>#REF!</v>
      </c>
      <c r="HA74" t="str">
        <f>AND(#REF!,"AAAAADP++tA=")</f>
        <v>#REF!</v>
      </c>
      <c r="HB74" t="str">
        <f>AND(#REF!,"AAAAADP++tE=")</f>
        <v>#REF!</v>
      </c>
      <c r="HC74" t="str">
        <f>AND(#REF!,"AAAAADP++tI=")</f>
        <v>#REF!</v>
      </c>
      <c r="HD74" t="str">
        <f>AND(#REF!,"AAAAADP++tM=")</f>
        <v>#REF!</v>
      </c>
      <c r="HE74" t="str">
        <f>AND(#REF!,"AAAAADP++tQ=")</f>
        <v>#REF!</v>
      </c>
      <c r="HF74" t="str">
        <f>AND(#REF!,"AAAAADP++tU=")</f>
        <v>#REF!</v>
      </c>
      <c r="HG74" t="str">
        <f>AND(#REF!,"AAAAADP++tY=")</f>
        <v>#REF!</v>
      </c>
      <c r="HH74" t="str">
        <f>AND(#REF!,"AAAAADP++tc=")</f>
        <v>#REF!</v>
      </c>
      <c r="HI74" t="str">
        <f>AND(#REF!,"AAAAADP++tg=")</f>
        <v>#REF!</v>
      </c>
      <c r="HJ74" t="str">
        <f>AND(#REF!,"AAAAADP++tk=")</f>
        <v>#REF!</v>
      </c>
      <c r="HK74" t="str">
        <f>AND(#REF!,"AAAAADP++to=")</f>
        <v>#REF!</v>
      </c>
      <c r="HL74" t="str">
        <f>AND(#REF!,"AAAAADP++ts=")</f>
        <v>#REF!</v>
      </c>
      <c r="HM74" t="str">
        <f>AND(#REF!,"AAAAADP++tw=")</f>
        <v>#REF!</v>
      </c>
      <c r="HN74" t="str">
        <f>AND(#REF!,"AAAAADP++t0=")</f>
        <v>#REF!</v>
      </c>
      <c r="HO74" t="str">
        <f>AND(#REF!,"AAAAADP++t4=")</f>
        <v>#REF!</v>
      </c>
      <c r="HP74" t="str">
        <f>AND(#REF!,"AAAAADP++t8=")</f>
        <v>#REF!</v>
      </c>
      <c r="HQ74" t="str">
        <f>AND(#REF!,"AAAAADP++uA=")</f>
        <v>#REF!</v>
      </c>
      <c r="HR74" t="str">
        <f>AND(#REF!,"AAAAADP++uE=")</f>
        <v>#REF!</v>
      </c>
      <c r="HS74" t="str">
        <f>AND(#REF!,"AAAAADP++uI=")</f>
        <v>#REF!</v>
      </c>
      <c r="HT74" t="str">
        <f>AND(#REF!,"AAAAADP++uM=")</f>
        <v>#REF!</v>
      </c>
      <c r="HU74" t="str">
        <f>AND(#REF!,"AAAAADP++uQ=")</f>
        <v>#REF!</v>
      </c>
      <c r="HV74" t="str">
        <f>AND(#REF!,"AAAAADP++uU=")</f>
        <v>#REF!</v>
      </c>
      <c r="HW74" t="str">
        <f>AND(#REF!,"AAAAADP++uY=")</f>
        <v>#REF!</v>
      </c>
      <c r="HX74" t="str">
        <f>AND(#REF!,"AAAAADP++uc=")</f>
        <v>#REF!</v>
      </c>
      <c r="HY74" t="str">
        <f>AND(#REF!,"AAAAADP++ug=")</f>
        <v>#REF!</v>
      </c>
      <c r="HZ74" t="str">
        <f>AND(#REF!,"AAAAADP++uk=")</f>
        <v>#REF!</v>
      </c>
      <c r="IA74" t="str">
        <f>AND(#REF!,"AAAAADP++uo=")</f>
        <v>#REF!</v>
      </c>
      <c r="IB74" t="str">
        <f>AND(#REF!,"AAAAADP++us=")</f>
        <v>#REF!</v>
      </c>
      <c r="IC74" t="str">
        <f>AND(#REF!,"AAAAADP++uw=")</f>
        <v>#REF!</v>
      </c>
      <c r="ID74" t="str">
        <f>AND(#REF!,"AAAAADP++u0=")</f>
        <v>#REF!</v>
      </c>
      <c r="IE74" t="str">
        <f>AND(#REF!,"AAAAADP++u4=")</f>
        <v>#REF!</v>
      </c>
      <c r="IF74" t="str">
        <f>AND(#REF!,"AAAAADP++u8=")</f>
        <v>#REF!</v>
      </c>
      <c r="IG74" t="str">
        <f>AND(#REF!,"AAAAADP++vA=")</f>
        <v>#REF!</v>
      </c>
      <c r="IH74" t="str">
        <f>AND(#REF!,"AAAAADP++vE=")</f>
        <v>#REF!</v>
      </c>
      <c r="II74" t="str">
        <f>AND(#REF!,"AAAAADP++vI=")</f>
        <v>#REF!</v>
      </c>
      <c r="IJ74" t="str">
        <f>AND(#REF!,"AAAAADP++vM=")</f>
        <v>#REF!</v>
      </c>
      <c r="IK74" t="str">
        <f>AND(#REF!,"AAAAADP++vQ=")</f>
        <v>#REF!</v>
      </c>
      <c r="IL74" t="str">
        <f>AND(#REF!,"AAAAADP++vU=")</f>
        <v>#REF!</v>
      </c>
      <c r="IM74" t="str">
        <f>AND(#REF!,"AAAAADP++vY=")</f>
        <v>#REF!</v>
      </c>
      <c r="IN74" t="str">
        <f>AND(#REF!,"AAAAADP++vc=")</f>
        <v>#REF!</v>
      </c>
      <c r="IO74" t="str">
        <f>AND(#REF!,"AAAAADP++vg=")</f>
        <v>#REF!</v>
      </c>
      <c r="IP74" t="str">
        <f>AND(#REF!,"AAAAADP++vk=")</f>
        <v>#REF!</v>
      </c>
      <c r="IQ74" t="str">
        <f>AND(#REF!,"AAAAADP++vo=")</f>
        <v>#REF!</v>
      </c>
      <c r="IR74" t="str">
        <f>AND(#REF!,"AAAAADP++vs=")</f>
        <v>#REF!</v>
      </c>
      <c r="IS74" t="str">
        <f>AND(#REF!,"AAAAADP++vw=")</f>
        <v>#REF!</v>
      </c>
      <c r="IT74" t="str">
        <f>AND(#REF!,"AAAAADP++v0=")</f>
        <v>#REF!</v>
      </c>
      <c r="IU74" t="str">
        <f>AND(#REF!,"AAAAADP++v4=")</f>
        <v>#REF!</v>
      </c>
      <c r="IV74" t="str">
        <f>AND(#REF!,"AAAAADP++v8=")</f>
        <v>#REF!</v>
      </c>
    </row>
    <row r="75" ht="15.75" customHeight="1">
      <c r="A75" t="str">
        <f>AND(#REF!,"AAAAADtznwA=")</f>
        <v>#REF!</v>
      </c>
      <c r="B75" t="str">
        <f>AND(#REF!,"AAAAADtznwE=")</f>
        <v>#REF!</v>
      </c>
      <c r="C75" t="str">
        <f>AND(#REF!,"AAAAADtznwI=")</f>
        <v>#REF!</v>
      </c>
      <c r="D75" t="str">
        <f>AND(#REF!,"AAAAADtznwM=")</f>
        <v>#REF!</v>
      </c>
      <c r="E75" t="str">
        <f>AND(#REF!,"AAAAADtznwQ=")</f>
        <v>#REF!</v>
      </c>
      <c r="F75" t="str">
        <f>AND(#REF!,"AAAAADtznwU=")</f>
        <v>#REF!</v>
      </c>
      <c r="G75" t="str">
        <f>AND(#REF!,"AAAAADtznwY=")</f>
        <v>#REF!</v>
      </c>
      <c r="H75" t="str">
        <f>AND(#REF!,"AAAAADtznwc=")</f>
        <v>#REF!</v>
      </c>
      <c r="I75" t="str">
        <f>AND(#REF!,"AAAAADtznwg=")</f>
        <v>#REF!</v>
      </c>
      <c r="J75" t="str">
        <f>AND(#REF!,"AAAAADtznwk=")</f>
        <v>#REF!</v>
      </c>
      <c r="K75" t="str">
        <f>AND(#REF!,"AAAAADtznwo=")</f>
        <v>#REF!</v>
      </c>
      <c r="L75" t="str">
        <f>AND(#REF!,"AAAAADtznws=")</f>
        <v>#REF!</v>
      </c>
      <c r="M75" t="str">
        <f>AND(#REF!,"AAAAADtznww=")</f>
        <v>#REF!</v>
      </c>
      <c r="N75" t="str">
        <f>AND(#REF!,"AAAAADtznw0=")</f>
        <v>#REF!</v>
      </c>
      <c r="O75" t="str">
        <f>AND(#REF!,"AAAAADtznw4=")</f>
        <v>#REF!</v>
      </c>
      <c r="P75" t="str">
        <f>AND(#REF!,"AAAAADtznw8=")</f>
        <v>#REF!</v>
      </c>
      <c r="Q75" t="str">
        <f>AND(#REF!,"AAAAADtznxA=")</f>
        <v>#REF!</v>
      </c>
      <c r="R75" t="str">
        <f>AND(#REF!,"AAAAADtznxE=")</f>
        <v>#REF!</v>
      </c>
      <c r="S75" t="str">
        <f>AND(#REF!,"AAAAADtznxI=")</f>
        <v>#REF!</v>
      </c>
      <c r="T75" t="str">
        <f>AND(#REF!,"AAAAADtznxM=")</f>
        <v>#REF!</v>
      </c>
      <c r="U75" t="str">
        <f>AND(#REF!,"AAAAADtznxQ=")</f>
        <v>#REF!</v>
      </c>
      <c r="V75" t="str">
        <f>AND(#REF!,"AAAAADtznxU=")</f>
        <v>#REF!</v>
      </c>
      <c r="W75" t="str">
        <f>AND(#REF!,"AAAAADtznxY=")</f>
        <v>#REF!</v>
      </c>
      <c r="X75" t="str">
        <f>AND(#REF!,"AAAAADtznxc=")</f>
        <v>#REF!</v>
      </c>
      <c r="Y75" t="str">
        <f>AND(#REF!,"AAAAADtznxg=")</f>
        <v>#REF!</v>
      </c>
      <c r="Z75" t="str">
        <f>IF(#REF!,"AAAAADtznxk=",0)</f>
        <v>#REF!</v>
      </c>
      <c r="AA75" t="str">
        <f>AND(#REF!,"AAAAADtznxo=")</f>
        <v>#REF!</v>
      </c>
      <c r="AB75" t="str">
        <f>AND(#REF!,"AAAAADtznxs=")</f>
        <v>#REF!</v>
      </c>
      <c r="AC75" t="str">
        <f>AND(#REF!,"AAAAADtznxw=")</f>
        <v>#REF!</v>
      </c>
      <c r="AD75" t="str">
        <f>AND(#REF!,"AAAAADtznx0=")</f>
        <v>#REF!</v>
      </c>
      <c r="AE75" t="str">
        <f>AND(#REF!,"AAAAADtznx4=")</f>
        <v>#REF!</v>
      </c>
      <c r="AF75" t="str">
        <f>AND(#REF!,"AAAAADtznx8=")</f>
        <v>#REF!</v>
      </c>
      <c r="AG75" t="str">
        <f>AND(#REF!,"AAAAADtznyA=")</f>
        <v>#REF!</v>
      </c>
      <c r="AH75" t="str">
        <f>AND(#REF!,"AAAAADtznyE=")</f>
        <v>#REF!</v>
      </c>
      <c r="AI75" t="str">
        <f>AND(#REF!,"AAAAADtznyI=")</f>
        <v>#REF!</v>
      </c>
      <c r="AJ75" t="str">
        <f>AND(#REF!,"AAAAADtznyM=")</f>
        <v>#REF!</v>
      </c>
      <c r="AK75" t="str">
        <f>AND(#REF!,"AAAAADtznyQ=")</f>
        <v>#REF!</v>
      </c>
      <c r="AL75" t="str">
        <f>AND(#REF!,"AAAAADtznyU=")</f>
        <v>#REF!</v>
      </c>
      <c r="AM75" t="str">
        <f>AND(#REF!,"AAAAADtznyY=")</f>
        <v>#REF!</v>
      </c>
      <c r="AN75" t="str">
        <f>AND(#REF!,"AAAAADtznyc=")</f>
        <v>#REF!</v>
      </c>
      <c r="AO75" t="str">
        <f>AND(#REF!,"AAAAADtznyg=")</f>
        <v>#REF!</v>
      </c>
      <c r="AP75" t="str">
        <f>AND(#REF!,"AAAAADtznyk=")</f>
        <v>#REF!</v>
      </c>
      <c r="AQ75" t="str">
        <f>AND(#REF!,"AAAAADtznyo=")</f>
        <v>#REF!</v>
      </c>
      <c r="AR75" t="str">
        <f>AND(#REF!,"AAAAADtznys=")</f>
        <v>#REF!</v>
      </c>
      <c r="AS75" t="str">
        <f>AND(#REF!,"AAAAADtznyw=")</f>
        <v>#REF!</v>
      </c>
      <c r="AT75" t="str">
        <f>AND(#REF!,"AAAAADtzny0=")</f>
        <v>#REF!</v>
      </c>
      <c r="AU75" t="str">
        <f>AND(#REF!,"AAAAADtzny4=")</f>
        <v>#REF!</v>
      </c>
      <c r="AV75" t="str">
        <f>AND(#REF!,"AAAAADtzny8=")</f>
        <v>#REF!</v>
      </c>
      <c r="AW75" t="str">
        <f>AND(#REF!,"AAAAADtznzA=")</f>
        <v>#REF!</v>
      </c>
      <c r="AX75" t="str">
        <f>AND(#REF!,"AAAAADtznzE=")</f>
        <v>#REF!</v>
      </c>
      <c r="AY75" t="str">
        <f>AND(#REF!,"AAAAADtznzI=")</f>
        <v>#REF!</v>
      </c>
      <c r="AZ75" t="str">
        <f>AND(#REF!,"AAAAADtznzM=")</f>
        <v>#REF!</v>
      </c>
      <c r="BA75" t="str">
        <f>AND(#REF!,"AAAAADtznzQ=")</f>
        <v>#REF!</v>
      </c>
      <c r="BB75" t="str">
        <f>AND(#REF!,"AAAAADtznzU=")</f>
        <v>#REF!</v>
      </c>
      <c r="BC75" t="str">
        <f>AND(#REF!,"AAAAADtznzY=")</f>
        <v>#REF!</v>
      </c>
      <c r="BD75" t="str">
        <f>AND(#REF!,"AAAAADtznzc=")</f>
        <v>#REF!</v>
      </c>
      <c r="BE75" t="str">
        <f>AND(#REF!,"AAAAADtznzg=")</f>
        <v>#REF!</v>
      </c>
      <c r="BF75" t="str">
        <f>AND(#REF!,"AAAAADtznzk=")</f>
        <v>#REF!</v>
      </c>
      <c r="BG75" t="str">
        <f>AND(#REF!,"AAAAADtznzo=")</f>
        <v>#REF!</v>
      </c>
      <c r="BH75" t="str">
        <f>AND(#REF!,"AAAAADtznzs=")</f>
        <v>#REF!</v>
      </c>
      <c r="BI75" t="str">
        <f>AND(#REF!,"AAAAADtznzw=")</f>
        <v>#REF!</v>
      </c>
      <c r="BJ75" t="str">
        <f>AND(#REF!,"AAAAADtznz0=")</f>
        <v>#REF!</v>
      </c>
      <c r="BK75" t="str">
        <f>AND(#REF!,"AAAAADtznz4=")</f>
        <v>#REF!</v>
      </c>
      <c r="BL75" t="str">
        <f>AND(#REF!,"AAAAADtznz8=")</f>
        <v>#REF!</v>
      </c>
      <c r="BM75" t="str">
        <f>AND(#REF!,"AAAAADtzn0A=")</f>
        <v>#REF!</v>
      </c>
      <c r="BN75" t="str">
        <f>AND(#REF!,"AAAAADtzn0E=")</f>
        <v>#REF!</v>
      </c>
      <c r="BO75" t="str">
        <f>AND(#REF!,"AAAAADtzn0I=")</f>
        <v>#REF!</v>
      </c>
      <c r="BP75" t="str">
        <f>AND(#REF!,"AAAAADtzn0M=")</f>
        <v>#REF!</v>
      </c>
      <c r="BQ75" t="str">
        <f>AND(#REF!,"AAAAADtzn0Q=")</f>
        <v>#REF!</v>
      </c>
      <c r="BR75" t="str">
        <f>AND(#REF!,"AAAAADtzn0U=")</f>
        <v>#REF!</v>
      </c>
      <c r="BS75" t="str">
        <f>AND(#REF!,"AAAAADtzn0Y=")</f>
        <v>#REF!</v>
      </c>
      <c r="BT75" t="str">
        <f>AND(#REF!,"AAAAADtzn0c=")</f>
        <v>#REF!</v>
      </c>
      <c r="BU75" t="str">
        <f>AND(#REF!,"AAAAADtzn0g=")</f>
        <v>#REF!</v>
      </c>
      <c r="BV75" t="str">
        <f>AND(#REF!,"AAAAADtzn0k=")</f>
        <v>#REF!</v>
      </c>
      <c r="BW75" t="str">
        <f>AND(#REF!,"AAAAADtzn0o=")</f>
        <v>#REF!</v>
      </c>
      <c r="BX75" t="str">
        <f>AND(#REF!,"AAAAADtzn0s=")</f>
        <v>#REF!</v>
      </c>
      <c r="BY75" t="str">
        <f>AND(#REF!,"AAAAADtzn0w=")</f>
        <v>#REF!</v>
      </c>
      <c r="BZ75" t="str">
        <f>AND(#REF!,"AAAAADtzn00=")</f>
        <v>#REF!</v>
      </c>
      <c r="CA75" t="str">
        <f>AND(#REF!,"AAAAADtzn04=")</f>
        <v>#REF!</v>
      </c>
      <c r="CB75" t="str">
        <f>AND(#REF!,"AAAAADtzn08=")</f>
        <v>#REF!</v>
      </c>
      <c r="CC75" t="str">
        <f>AND(#REF!,"AAAAADtzn1A=")</f>
        <v>#REF!</v>
      </c>
      <c r="CD75" t="str">
        <f>AND(#REF!,"AAAAADtzn1E=")</f>
        <v>#REF!</v>
      </c>
      <c r="CE75" t="str">
        <f>AND(#REF!,"AAAAADtzn1I=")</f>
        <v>#REF!</v>
      </c>
      <c r="CF75" t="str">
        <f>AND(#REF!,"AAAAADtzn1M=")</f>
        <v>#REF!</v>
      </c>
      <c r="CG75" t="str">
        <f>AND(#REF!,"AAAAADtzn1Q=")</f>
        <v>#REF!</v>
      </c>
      <c r="CH75" t="str">
        <f>AND(#REF!,"AAAAADtzn1U=")</f>
        <v>#REF!</v>
      </c>
      <c r="CI75" t="str">
        <f>AND(#REF!,"AAAAADtzn1Y=")</f>
        <v>#REF!</v>
      </c>
      <c r="CJ75" t="str">
        <f>AND(#REF!,"AAAAADtzn1c=")</f>
        <v>#REF!</v>
      </c>
      <c r="CK75" t="str">
        <f>AND(#REF!,"AAAAADtzn1g=")</f>
        <v>#REF!</v>
      </c>
      <c r="CL75" t="str">
        <f>AND(#REF!,"AAAAADtzn1k=")</f>
        <v>#REF!</v>
      </c>
      <c r="CM75" t="str">
        <f>AND(#REF!,"AAAAADtzn1o=")</f>
        <v>#REF!</v>
      </c>
      <c r="CN75" t="str">
        <f>AND(#REF!,"AAAAADtzn1s=")</f>
        <v>#REF!</v>
      </c>
      <c r="CO75" t="str">
        <f>AND(#REF!,"AAAAADtzn1w=")</f>
        <v>#REF!</v>
      </c>
      <c r="CP75" t="str">
        <f>AND(#REF!,"AAAAADtzn10=")</f>
        <v>#REF!</v>
      </c>
      <c r="CQ75" t="str">
        <f>AND(#REF!,"AAAAADtzn14=")</f>
        <v>#REF!</v>
      </c>
      <c r="CR75" t="str">
        <f>AND(#REF!,"AAAAADtzn18=")</f>
        <v>#REF!</v>
      </c>
      <c r="CS75" t="str">
        <f>AND(#REF!,"AAAAADtzn2A=")</f>
        <v>#REF!</v>
      </c>
      <c r="CT75" t="str">
        <f>AND(#REF!,"AAAAADtzn2E=")</f>
        <v>#REF!</v>
      </c>
      <c r="CU75" t="str">
        <f>AND(#REF!,"AAAAADtzn2I=")</f>
        <v>#REF!</v>
      </c>
      <c r="CV75" t="str">
        <f>AND(#REF!,"AAAAADtzn2M=")</f>
        <v>#REF!</v>
      </c>
      <c r="CW75" t="str">
        <f>AND(#REF!,"AAAAADtzn2Q=")</f>
        <v>#REF!</v>
      </c>
      <c r="CX75" t="str">
        <f>IF(#REF!,"AAAAADtzn2U=",0)</f>
        <v>#REF!</v>
      </c>
      <c r="CY75" t="str">
        <f>AND(#REF!,"AAAAADtzn2Y=")</f>
        <v>#REF!</v>
      </c>
      <c r="CZ75" t="str">
        <f>AND(#REF!,"AAAAADtzn2c=")</f>
        <v>#REF!</v>
      </c>
      <c r="DA75" t="str">
        <f>AND(#REF!,"AAAAADtzn2g=")</f>
        <v>#REF!</v>
      </c>
      <c r="DB75" t="str">
        <f>AND(#REF!,"AAAAADtzn2k=")</f>
        <v>#REF!</v>
      </c>
      <c r="DC75" t="str">
        <f>AND(#REF!,"AAAAADtzn2o=")</f>
        <v>#REF!</v>
      </c>
      <c r="DD75" t="str">
        <f>AND(#REF!,"AAAAADtzn2s=")</f>
        <v>#REF!</v>
      </c>
      <c r="DE75" t="str">
        <f>AND(#REF!,"AAAAADtzn2w=")</f>
        <v>#REF!</v>
      </c>
      <c r="DF75" t="str">
        <f>AND(#REF!,"AAAAADtzn20=")</f>
        <v>#REF!</v>
      </c>
      <c r="DG75" t="str">
        <f>AND(#REF!,"AAAAADtzn24=")</f>
        <v>#REF!</v>
      </c>
      <c r="DH75" t="str">
        <f>AND(#REF!,"AAAAADtzn28=")</f>
        <v>#REF!</v>
      </c>
      <c r="DI75" t="str">
        <f>AND(#REF!,"AAAAADtzn3A=")</f>
        <v>#REF!</v>
      </c>
      <c r="DJ75" t="str">
        <f>AND(#REF!,"AAAAADtzn3E=")</f>
        <v>#REF!</v>
      </c>
      <c r="DK75" t="str">
        <f>AND(#REF!,"AAAAADtzn3I=")</f>
        <v>#REF!</v>
      </c>
      <c r="DL75" t="str">
        <f>AND(#REF!,"AAAAADtzn3M=")</f>
        <v>#REF!</v>
      </c>
      <c r="DM75" t="str">
        <f>AND(#REF!,"AAAAADtzn3Q=")</f>
        <v>#REF!</v>
      </c>
      <c r="DN75" t="str">
        <f>AND(#REF!,"AAAAADtzn3U=")</f>
        <v>#REF!</v>
      </c>
      <c r="DO75" t="str">
        <f>AND(#REF!,"AAAAADtzn3Y=")</f>
        <v>#REF!</v>
      </c>
      <c r="DP75" t="str">
        <f>AND(#REF!,"AAAAADtzn3c=")</f>
        <v>#REF!</v>
      </c>
      <c r="DQ75" t="str">
        <f>AND(#REF!,"AAAAADtzn3g=")</f>
        <v>#REF!</v>
      </c>
      <c r="DR75" t="str">
        <f>AND(#REF!,"AAAAADtzn3k=")</f>
        <v>#REF!</v>
      </c>
      <c r="DS75" t="str">
        <f>AND(#REF!,"AAAAADtzn3o=")</f>
        <v>#REF!</v>
      </c>
      <c r="DT75" t="str">
        <f>AND(#REF!,"AAAAADtzn3s=")</f>
        <v>#REF!</v>
      </c>
      <c r="DU75" t="str">
        <f>AND(#REF!,"AAAAADtzn3w=")</f>
        <v>#REF!</v>
      </c>
      <c r="DV75" t="str">
        <f>AND(#REF!,"AAAAADtzn30=")</f>
        <v>#REF!</v>
      </c>
      <c r="DW75" t="str">
        <f>AND(#REF!,"AAAAADtzn34=")</f>
        <v>#REF!</v>
      </c>
      <c r="DX75" t="str">
        <f>AND(#REF!,"AAAAADtzn38=")</f>
        <v>#REF!</v>
      </c>
      <c r="DY75" t="str">
        <f>AND(#REF!,"AAAAADtzn4A=")</f>
        <v>#REF!</v>
      </c>
      <c r="DZ75" t="str">
        <f>AND(#REF!,"AAAAADtzn4E=")</f>
        <v>#REF!</v>
      </c>
      <c r="EA75" t="str">
        <f>AND(#REF!,"AAAAADtzn4I=")</f>
        <v>#REF!</v>
      </c>
      <c r="EB75" t="str">
        <f>AND(#REF!,"AAAAADtzn4M=")</f>
        <v>#REF!</v>
      </c>
      <c r="EC75" t="str">
        <f>AND(#REF!,"AAAAADtzn4Q=")</f>
        <v>#REF!</v>
      </c>
      <c r="ED75" t="str">
        <f>AND(#REF!,"AAAAADtzn4U=")</f>
        <v>#REF!</v>
      </c>
      <c r="EE75" t="str">
        <f>AND(#REF!,"AAAAADtzn4Y=")</f>
        <v>#REF!</v>
      </c>
      <c r="EF75" t="str">
        <f>AND(#REF!,"AAAAADtzn4c=")</f>
        <v>#REF!</v>
      </c>
      <c r="EG75" t="str">
        <f>AND(#REF!,"AAAAADtzn4g=")</f>
        <v>#REF!</v>
      </c>
      <c r="EH75" t="str">
        <f>AND(#REF!,"AAAAADtzn4k=")</f>
        <v>#REF!</v>
      </c>
      <c r="EI75" t="str">
        <f>AND(#REF!,"AAAAADtzn4o=")</f>
        <v>#REF!</v>
      </c>
      <c r="EJ75" t="str">
        <f>AND(#REF!,"AAAAADtzn4s=")</f>
        <v>#REF!</v>
      </c>
      <c r="EK75" t="str">
        <f>AND(#REF!,"AAAAADtzn4w=")</f>
        <v>#REF!</v>
      </c>
      <c r="EL75" t="str">
        <f>AND(#REF!,"AAAAADtzn40=")</f>
        <v>#REF!</v>
      </c>
      <c r="EM75" t="str">
        <f>AND(#REF!,"AAAAADtzn44=")</f>
        <v>#REF!</v>
      </c>
      <c r="EN75" t="str">
        <f>AND(#REF!,"AAAAADtzn48=")</f>
        <v>#REF!</v>
      </c>
      <c r="EO75" t="str">
        <f>AND(#REF!,"AAAAADtzn5A=")</f>
        <v>#REF!</v>
      </c>
      <c r="EP75" t="str">
        <f>AND(#REF!,"AAAAADtzn5E=")</f>
        <v>#REF!</v>
      </c>
      <c r="EQ75" t="str">
        <f>AND(#REF!,"AAAAADtzn5I=")</f>
        <v>#REF!</v>
      </c>
      <c r="ER75" t="str">
        <f>AND(#REF!,"AAAAADtzn5M=")</f>
        <v>#REF!</v>
      </c>
      <c r="ES75" t="str">
        <f>AND(#REF!,"AAAAADtzn5Q=")</f>
        <v>#REF!</v>
      </c>
      <c r="ET75" t="str">
        <f>AND(#REF!,"AAAAADtzn5U=")</f>
        <v>#REF!</v>
      </c>
      <c r="EU75" t="str">
        <f>AND(#REF!,"AAAAADtzn5Y=")</f>
        <v>#REF!</v>
      </c>
      <c r="EV75" t="str">
        <f>AND(#REF!,"AAAAADtzn5c=")</f>
        <v>#REF!</v>
      </c>
      <c r="EW75" t="str">
        <f>AND(#REF!,"AAAAADtzn5g=")</f>
        <v>#REF!</v>
      </c>
      <c r="EX75" t="str">
        <f>AND(#REF!,"AAAAADtzn5k=")</f>
        <v>#REF!</v>
      </c>
      <c r="EY75" t="str">
        <f>AND(#REF!,"AAAAADtzn5o=")</f>
        <v>#REF!</v>
      </c>
      <c r="EZ75" t="str">
        <f>AND(#REF!,"AAAAADtzn5s=")</f>
        <v>#REF!</v>
      </c>
      <c r="FA75" t="str">
        <f>AND(#REF!,"AAAAADtzn5w=")</f>
        <v>#REF!</v>
      </c>
      <c r="FB75" t="str">
        <f>AND(#REF!,"AAAAADtzn50=")</f>
        <v>#REF!</v>
      </c>
      <c r="FC75" t="str">
        <f>AND(#REF!,"AAAAADtzn54=")</f>
        <v>#REF!</v>
      </c>
      <c r="FD75" t="str">
        <f>AND(#REF!,"AAAAADtzn58=")</f>
        <v>#REF!</v>
      </c>
      <c r="FE75" t="str">
        <f>AND(#REF!,"AAAAADtzn6A=")</f>
        <v>#REF!</v>
      </c>
      <c r="FF75" t="str">
        <f>AND(#REF!,"AAAAADtzn6E=")</f>
        <v>#REF!</v>
      </c>
      <c r="FG75" t="str">
        <f>AND(#REF!,"AAAAADtzn6I=")</f>
        <v>#REF!</v>
      </c>
      <c r="FH75" t="str">
        <f>AND(#REF!,"AAAAADtzn6M=")</f>
        <v>#REF!</v>
      </c>
      <c r="FI75" t="str">
        <f>AND(#REF!,"AAAAADtzn6Q=")</f>
        <v>#REF!</v>
      </c>
      <c r="FJ75" t="str">
        <f>AND(#REF!,"AAAAADtzn6U=")</f>
        <v>#REF!</v>
      </c>
      <c r="FK75" t="str">
        <f>AND(#REF!,"AAAAADtzn6Y=")</f>
        <v>#REF!</v>
      </c>
      <c r="FL75" t="str">
        <f>AND(#REF!,"AAAAADtzn6c=")</f>
        <v>#REF!</v>
      </c>
      <c r="FM75" t="str">
        <f>AND(#REF!,"AAAAADtzn6g=")</f>
        <v>#REF!</v>
      </c>
      <c r="FN75" t="str">
        <f>AND(#REF!,"AAAAADtzn6k=")</f>
        <v>#REF!</v>
      </c>
      <c r="FO75" t="str">
        <f>AND(#REF!,"AAAAADtzn6o=")</f>
        <v>#REF!</v>
      </c>
      <c r="FP75" t="str">
        <f>AND(#REF!,"AAAAADtzn6s=")</f>
        <v>#REF!</v>
      </c>
      <c r="FQ75" t="str">
        <f>AND(#REF!,"AAAAADtzn6w=")</f>
        <v>#REF!</v>
      </c>
      <c r="FR75" t="str">
        <f>AND(#REF!,"AAAAADtzn60=")</f>
        <v>#REF!</v>
      </c>
      <c r="FS75" t="str">
        <f>AND(#REF!,"AAAAADtzn64=")</f>
        <v>#REF!</v>
      </c>
      <c r="FT75" t="str">
        <f>AND(#REF!,"AAAAADtzn68=")</f>
        <v>#REF!</v>
      </c>
      <c r="FU75" t="str">
        <f>AND(#REF!,"AAAAADtzn7A=")</f>
        <v>#REF!</v>
      </c>
      <c r="FV75" t="str">
        <f>IF(#REF!,"AAAAADtzn7E=",0)</f>
        <v>#REF!</v>
      </c>
      <c r="FW75" t="str">
        <f>AND(#REF!,"AAAAADtzn7I=")</f>
        <v>#REF!</v>
      </c>
      <c r="FX75" t="str">
        <f>AND(#REF!,"AAAAADtzn7M=")</f>
        <v>#REF!</v>
      </c>
      <c r="FY75" t="str">
        <f>AND(#REF!,"AAAAADtzn7Q=")</f>
        <v>#REF!</v>
      </c>
      <c r="FZ75" t="str">
        <f>AND(#REF!,"AAAAADtzn7U=")</f>
        <v>#REF!</v>
      </c>
      <c r="GA75" t="str">
        <f>AND(#REF!,"AAAAADtzn7Y=")</f>
        <v>#REF!</v>
      </c>
      <c r="GB75" t="str">
        <f>AND(#REF!,"AAAAADtzn7c=")</f>
        <v>#REF!</v>
      </c>
      <c r="GC75" t="str">
        <f>AND(#REF!,"AAAAADtzn7g=")</f>
        <v>#REF!</v>
      </c>
      <c r="GD75" t="str">
        <f>AND(#REF!,"AAAAADtzn7k=")</f>
        <v>#REF!</v>
      </c>
      <c r="GE75" t="str">
        <f>AND(#REF!,"AAAAADtzn7o=")</f>
        <v>#REF!</v>
      </c>
      <c r="GF75" t="str">
        <f>AND(#REF!,"AAAAADtzn7s=")</f>
        <v>#REF!</v>
      </c>
      <c r="GG75" t="str">
        <f>AND(#REF!,"AAAAADtzn7w=")</f>
        <v>#REF!</v>
      </c>
      <c r="GH75" t="str">
        <f>AND(#REF!,"AAAAADtzn70=")</f>
        <v>#REF!</v>
      </c>
      <c r="GI75" t="str">
        <f>AND(#REF!,"AAAAADtzn74=")</f>
        <v>#REF!</v>
      </c>
      <c r="GJ75" t="str">
        <f>AND(#REF!,"AAAAADtzn78=")</f>
        <v>#REF!</v>
      </c>
      <c r="GK75" t="str">
        <f>AND(#REF!,"AAAAADtzn8A=")</f>
        <v>#REF!</v>
      </c>
      <c r="GL75" t="str">
        <f>AND(#REF!,"AAAAADtzn8E=")</f>
        <v>#REF!</v>
      </c>
      <c r="GM75" t="str">
        <f>AND(#REF!,"AAAAADtzn8I=")</f>
        <v>#REF!</v>
      </c>
      <c r="GN75" t="str">
        <f>AND(#REF!,"AAAAADtzn8M=")</f>
        <v>#REF!</v>
      </c>
      <c r="GO75" t="str">
        <f>AND(#REF!,"AAAAADtzn8Q=")</f>
        <v>#REF!</v>
      </c>
      <c r="GP75" t="str">
        <f>AND(#REF!,"AAAAADtzn8U=")</f>
        <v>#REF!</v>
      </c>
      <c r="GQ75" t="str">
        <f>AND(#REF!,"AAAAADtzn8Y=")</f>
        <v>#REF!</v>
      </c>
      <c r="GR75" t="str">
        <f>AND(#REF!,"AAAAADtzn8c=")</f>
        <v>#REF!</v>
      </c>
      <c r="GS75" t="str">
        <f>AND(#REF!,"AAAAADtzn8g=")</f>
        <v>#REF!</v>
      </c>
      <c r="GT75" t="str">
        <f>AND(#REF!,"AAAAADtzn8k=")</f>
        <v>#REF!</v>
      </c>
      <c r="GU75" t="str">
        <f>AND(#REF!,"AAAAADtzn8o=")</f>
        <v>#REF!</v>
      </c>
      <c r="GV75" t="str">
        <f>AND(#REF!,"AAAAADtzn8s=")</f>
        <v>#REF!</v>
      </c>
      <c r="GW75" t="str">
        <f>AND(#REF!,"AAAAADtzn8w=")</f>
        <v>#REF!</v>
      </c>
      <c r="GX75" t="str">
        <f>AND(#REF!,"AAAAADtzn80=")</f>
        <v>#REF!</v>
      </c>
      <c r="GY75" t="str">
        <f>AND(#REF!,"AAAAADtzn84=")</f>
        <v>#REF!</v>
      </c>
      <c r="GZ75" t="str">
        <f>AND(#REF!,"AAAAADtzn88=")</f>
        <v>#REF!</v>
      </c>
      <c r="HA75" t="str">
        <f>AND(#REF!,"AAAAADtzn9A=")</f>
        <v>#REF!</v>
      </c>
      <c r="HB75" t="str">
        <f>AND(#REF!,"AAAAADtzn9E=")</f>
        <v>#REF!</v>
      </c>
      <c r="HC75" t="str">
        <f>AND(#REF!,"AAAAADtzn9I=")</f>
        <v>#REF!</v>
      </c>
      <c r="HD75" t="str">
        <f>AND(#REF!,"AAAAADtzn9M=")</f>
        <v>#REF!</v>
      </c>
      <c r="HE75" t="str">
        <f>AND(#REF!,"AAAAADtzn9Q=")</f>
        <v>#REF!</v>
      </c>
      <c r="HF75" t="str">
        <f>AND(#REF!,"AAAAADtzn9U=")</f>
        <v>#REF!</v>
      </c>
      <c r="HG75" t="str">
        <f>AND(#REF!,"AAAAADtzn9Y=")</f>
        <v>#REF!</v>
      </c>
      <c r="HH75" t="str">
        <f>AND(#REF!,"AAAAADtzn9c=")</f>
        <v>#REF!</v>
      </c>
      <c r="HI75" t="str">
        <f>AND(#REF!,"AAAAADtzn9g=")</f>
        <v>#REF!</v>
      </c>
      <c r="HJ75" t="str">
        <f>AND(#REF!,"AAAAADtzn9k=")</f>
        <v>#REF!</v>
      </c>
      <c r="HK75" t="str">
        <f>AND(#REF!,"AAAAADtzn9o=")</f>
        <v>#REF!</v>
      </c>
      <c r="HL75" t="str">
        <f>AND(#REF!,"AAAAADtzn9s=")</f>
        <v>#REF!</v>
      </c>
      <c r="HM75" t="str">
        <f>AND(#REF!,"AAAAADtzn9w=")</f>
        <v>#REF!</v>
      </c>
      <c r="HN75" t="str">
        <f>AND(#REF!,"AAAAADtzn90=")</f>
        <v>#REF!</v>
      </c>
      <c r="HO75" t="str">
        <f>AND(#REF!,"AAAAADtzn94=")</f>
        <v>#REF!</v>
      </c>
      <c r="HP75" t="str">
        <f>AND(#REF!,"AAAAADtzn98=")</f>
        <v>#REF!</v>
      </c>
      <c r="HQ75" t="str">
        <f>AND(#REF!,"AAAAADtzn+A=")</f>
        <v>#REF!</v>
      </c>
      <c r="HR75" t="str">
        <f>AND(#REF!,"AAAAADtzn+E=")</f>
        <v>#REF!</v>
      </c>
      <c r="HS75" t="str">
        <f>AND(#REF!,"AAAAADtzn+I=")</f>
        <v>#REF!</v>
      </c>
      <c r="HT75" t="str">
        <f>AND(#REF!,"AAAAADtzn+M=")</f>
        <v>#REF!</v>
      </c>
      <c r="HU75" t="str">
        <f>AND(#REF!,"AAAAADtzn+Q=")</f>
        <v>#REF!</v>
      </c>
      <c r="HV75" t="str">
        <f>AND(#REF!,"AAAAADtzn+U=")</f>
        <v>#REF!</v>
      </c>
      <c r="HW75" t="str">
        <f>AND(#REF!,"AAAAADtzn+Y=")</f>
        <v>#REF!</v>
      </c>
      <c r="HX75" t="str">
        <f>AND(#REF!,"AAAAADtzn+c=")</f>
        <v>#REF!</v>
      </c>
      <c r="HY75" t="str">
        <f>AND(#REF!,"AAAAADtzn+g=")</f>
        <v>#REF!</v>
      </c>
      <c r="HZ75" t="str">
        <f>AND(#REF!,"AAAAADtzn+k=")</f>
        <v>#REF!</v>
      </c>
      <c r="IA75" t="str">
        <f>AND(#REF!,"AAAAADtzn+o=")</f>
        <v>#REF!</v>
      </c>
      <c r="IB75" t="str">
        <f>AND(#REF!,"AAAAADtzn+s=")</f>
        <v>#REF!</v>
      </c>
      <c r="IC75" t="str">
        <f>AND(#REF!,"AAAAADtzn+w=")</f>
        <v>#REF!</v>
      </c>
      <c r="ID75" t="str">
        <f>AND(#REF!,"AAAAADtzn+0=")</f>
        <v>#REF!</v>
      </c>
      <c r="IE75" t="str">
        <f>AND(#REF!,"AAAAADtzn+4=")</f>
        <v>#REF!</v>
      </c>
      <c r="IF75" t="str">
        <f>AND(#REF!,"AAAAADtzn+8=")</f>
        <v>#REF!</v>
      </c>
      <c r="IG75" t="str">
        <f>AND(#REF!,"AAAAADtzn/A=")</f>
        <v>#REF!</v>
      </c>
      <c r="IH75" t="str">
        <f>AND(#REF!,"AAAAADtzn/E=")</f>
        <v>#REF!</v>
      </c>
      <c r="II75" t="str">
        <f>AND(#REF!,"AAAAADtzn/I=")</f>
        <v>#REF!</v>
      </c>
      <c r="IJ75" t="str">
        <f>AND(#REF!,"AAAAADtzn/M=")</f>
        <v>#REF!</v>
      </c>
      <c r="IK75" t="str">
        <f>AND(#REF!,"AAAAADtzn/Q=")</f>
        <v>#REF!</v>
      </c>
      <c r="IL75" t="str">
        <f>AND(#REF!,"AAAAADtzn/U=")</f>
        <v>#REF!</v>
      </c>
      <c r="IM75" t="str">
        <f>AND(#REF!,"AAAAADtzn/Y=")</f>
        <v>#REF!</v>
      </c>
      <c r="IN75" t="str">
        <f>AND(#REF!,"AAAAADtzn/c=")</f>
        <v>#REF!</v>
      </c>
      <c r="IO75" t="str">
        <f>AND(#REF!,"AAAAADtzn/g=")</f>
        <v>#REF!</v>
      </c>
      <c r="IP75" t="str">
        <f>AND(#REF!,"AAAAADtzn/k=")</f>
        <v>#REF!</v>
      </c>
      <c r="IQ75" t="str">
        <f>AND(#REF!,"AAAAADtzn/o=")</f>
        <v>#REF!</v>
      </c>
      <c r="IR75" t="str">
        <f>AND(#REF!,"AAAAADtzn/s=")</f>
        <v>#REF!</v>
      </c>
      <c r="IS75" t="str">
        <f>AND(#REF!,"AAAAADtzn/w=")</f>
        <v>#REF!</v>
      </c>
      <c r="IT75" t="str">
        <f>IF(#REF!,"AAAAADtzn/0=",0)</f>
        <v>#REF!</v>
      </c>
      <c r="IU75" t="str">
        <f>AND(#REF!,"AAAAADtzn/4=")</f>
        <v>#REF!</v>
      </c>
      <c r="IV75" t="str">
        <f>AND(#REF!,"AAAAADtzn/8=")</f>
        <v>#REF!</v>
      </c>
    </row>
    <row r="76" ht="15.75" customHeight="1">
      <c r="A76" t="str">
        <f>AND(#REF!,"AAAAAHn+5AA=")</f>
        <v>#REF!</v>
      </c>
      <c r="B76" t="str">
        <f>AND(#REF!,"AAAAAHn+5AE=")</f>
        <v>#REF!</v>
      </c>
      <c r="C76" t="str">
        <f>AND(#REF!,"AAAAAHn+5AI=")</f>
        <v>#REF!</v>
      </c>
      <c r="D76" t="str">
        <f>AND(#REF!,"AAAAAHn+5AM=")</f>
        <v>#REF!</v>
      </c>
      <c r="E76" t="str">
        <f>AND(#REF!,"AAAAAHn+5AQ=")</f>
        <v>#REF!</v>
      </c>
      <c r="F76" t="str">
        <f>AND(#REF!,"AAAAAHn+5AU=")</f>
        <v>#REF!</v>
      </c>
      <c r="G76" t="str">
        <f>AND(#REF!,"AAAAAHn+5AY=")</f>
        <v>#REF!</v>
      </c>
      <c r="H76" t="str">
        <f>AND(#REF!,"AAAAAHn+5Ac=")</f>
        <v>#REF!</v>
      </c>
      <c r="I76" t="str">
        <f>AND(#REF!,"AAAAAHn+5Ag=")</f>
        <v>#REF!</v>
      </c>
      <c r="J76" t="str">
        <f>AND(#REF!,"AAAAAHn+5Ak=")</f>
        <v>#REF!</v>
      </c>
      <c r="K76" t="str">
        <f>AND(#REF!,"AAAAAHn+5Ao=")</f>
        <v>#REF!</v>
      </c>
      <c r="L76" t="str">
        <f>AND(#REF!,"AAAAAHn+5As=")</f>
        <v>#REF!</v>
      </c>
      <c r="M76" t="str">
        <f>AND(#REF!,"AAAAAHn+5Aw=")</f>
        <v>#REF!</v>
      </c>
      <c r="N76" t="str">
        <f>AND(#REF!,"AAAAAHn+5A0=")</f>
        <v>#REF!</v>
      </c>
      <c r="O76" t="str">
        <f>AND(#REF!,"AAAAAHn+5A4=")</f>
        <v>#REF!</v>
      </c>
      <c r="P76" t="str">
        <f>AND(#REF!,"AAAAAHn+5A8=")</f>
        <v>#REF!</v>
      </c>
      <c r="Q76" t="str">
        <f>AND(#REF!,"AAAAAHn+5BA=")</f>
        <v>#REF!</v>
      </c>
      <c r="R76" t="str">
        <f>AND(#REF!,"AAAAAHn+5BE=")</f>
        <v>#REF!</v>
      </c>
      <c r="S76" t="str">
        <f>AND(#REF!,"AAAAAHn+5BI=")</f>
        <v>#REF!</v>
      </c>
      <c r="T76" t="str">
        <f>AND(#REF!,"AAAAAHn+5BM=")</f>
        <v>#REF!</v>
      </c>
      <c r="U76" t="str">
        <f>AND(#REF!,"AAAAAHn+5BQ=")</f>
        <v>#REF!</v>
      </c>
      <c r="V76" t="str">
        <f>AND(#REF!,"AAAAAHn+5BU=")</f>
        <v>#REF!</v>
      </c>
      <c r="W76" t="str">
        <f>AND(#REF!,"AAAAAHn+5BY=")</f>
        <v>#REF!</v>
      </c>
      <c r="X76" t="str">
        <f>AND(#REF!,"AAAAAHn+5Bc=")</f>
        <v>#REF!</v>
      </c>
      <c r="Y76" t="str">
        <f>AND(#REF!,"AAAAAHn+5Bg=")</f>
        <v>#REF!</v>
      </c>
      <c r="Z76" t="str">
        <f>AND(#REF!,"AAAAAHn+5Bk=")</f>
        <v>#REF!</v>
      </c>
      <c r="AA76" t="str">
        <f>AND(#REF!,"AAAAAHn+5Bo=")</f>
        <v>#REF!</v>
      </c>
      <c r="AB76" t="str">
        <f>AND(#REF!,"AAAAAHn+5Bs=")</f>
        <v>#REF!</v>
      </c>
      <c r="AC76" t="str">
        <f>AND(#REF!,"AAAAAHn+5Bw=")</f>
        <v>#REF!</v>
      </c>
      <c r="AD76" t="str">
        <f>AND(#REF!,"AAAAAHn+5B0=")</f>
        <v>#REF!</v>
      </c>
      <c r="AE76" t="str">
        <f>AND(#REF!,"AAAAAHn+5B4=")</f>
        <v>#REF!</v>
      </c>
      <c r="AF76" t="str">
        <f>AND(#REF!,"AAAAAHn+5B8=")</f>
        <v>#REF!</v>
      </c>
      <c r="AG76" t="str">
        <f>AND(#REF!,"AAAAAHn+5CA=")</f>
        <v>#REF!</v>
      </c>
      <c r="AH76" t="str">
        <f>AND(#REF!,"AAAAAHn+5CE=")</f>
        <v>#REF!</v>
      </c>
      <c r="AI76" t="str">
        <f>AND(#REF!,"AAAAAHn+5CI=")</f>
        <v>#REF!</v>
      </c>
      <c r="AJ76" t="str">
        <f>AND(#REF!,"AAAAAHn+5CM=")</f>
        <v>#REF!</v>
      </c>
      <c r="AK76" t="str">
        <f>AND(#REF!,"AAAAAHn+5CQ=")</f>
        <v>#REF!</v>
      </c>
      <c r="AL76" t="str">
        <f>AND(#REF!,"AAAAAHn+5CU=")</f>
        <v>#REF!</v>
      </c>
      <c r="AM76" t="str">
        <f>AND(#REF!,"AAAAAHn+5CY=")</f>
        <v>#REF!</v>
      </c>
      <c r="AN76" t="str">
        <f>AND(#REF!,"AAAAAHn+5Cc=")</f>
        <v>#REF!</v>
      </c>
      <c r="AO76" t="str">
        <f>AND(#REF!,"AAAAAHn+5Cg=")</f>
        <v>#REF!</v>
      </c>
      <c r="AP76" t="str">
        <f>AND(#REF!,"AAAAAHn+5Ck=")</f>
        <v>#REF!</v>
      </c>
      <c r="AQ76" t="str">
        <f>AND(#REF!,"AAAAAHn+5Co=")</f>
        <v>#REF!</v>
      </c>
      <c r="AR76" t="str">
        <f>AND(#REF!,"AAAAAHn+5Cs=")</f>
        <v>#REF!</v>
      </c>
      <c r="AS76" t="str">
        <f>AND(#REF!,"AAAAAHn+5Cw=")</f>
        <v>#REF!</v>
      </c>
      <c r="AT76" t="str">
        <f>AND(#REF!,"AAAAAHn+5C0=")</f>
        <v>#REF!</v>
      </c>
      <c r="AU76" t="str">
        <f>AND(#REF!,"AAAAAHn+5C4=")</f>
        <v>#REF!</v>
      </c>
      <c r="AV76" t="str">
        <f>AND(#REF!,"AAAAAHn+5C8=")</f>
        <v>#REF!</v>
      </c>
      <c r="AW76" t="str">
        <f>AND(#REF!,"AAAAAHn+5DA=")</f>
        <v>#REF!</v>
      </c>
      <c r="AX76" t="str">
        <f>AND(#REF!,"AAAAAHn+5DE=")</f>
        <v>#REF!</v>
      </c>
      <c r="AY76" t="str">
        <f>AND(#REF!,"AAAAAHn+5DI=")</f>
        <v>#REF!</v>
      </c>
      <c r="AZ76" t="str">
        <f>AND(#REF!,"AAAAAHn+5DM=")</f>
        <v>#REF!</v>
      </c>
      <c r="BA76" t="str">
        <f>AND(#REF!,"AAAAAHn+5DQ=")</f>
        <v>#REF!</v>
      </c>
      <c r="BB76" t="str">
        <f>AND(#REF!,"AAAAAHn+5DU=")</f>
        <v>#REF!</v>
      </c>
      <c r="BC76" t="str">
        <f>AND(#REF!,"AAAAAHn+5DY=")</f>
        <v>#REF!</v>
      </c>
      <c r="BD76" t="str">
        <f>AND(#REF!,"AAAAAHn+5Dc=")</f>
        <v>#REF!</v>
      </c>
      <c r="BE76" t="str">
        <f>AND(#REF!,"AAAAAHn+5Dg=")</f>
        <v>#REF!</v>
      </c>
      <c r="BF76" t="str">
        <f>AND(#REF!,"AAAAAHn+5Dk=")</f>
        <v>#REF!</v>
      </c>
      <c r="BG76" t="str">
        <f>AND(#REF!,"AAAAAHn+5Do=")</f>
        <v>#REF!</v>
      </c>
      <c r="BH76" t="str">
        <f>AND(#REF!,"AAAAAHn+5Ds=")</f>
        <v>#REF!</v>
      </c>
      <c r="BI76" t="str">
        <f>AND(#REF!,"AAAAAHn+5Dw=")</f>
        <v>#REF!</v>
      </c>
      <c r="BJ76" t="str">
        <f>AND(#REF!,"AAAAAHn+5D0=")</f>
        <v>#REF!</v>
      </c>
      <c r="BK76" t="str">
        <f>AND(#REF!,"AAAAAHn+5D4=")</f>
        <v>#REF!</v>
      </c>
      <c r="BL76" t="str">
        <f>AND(#REF!,"AAAAAHn+5D8=")</f>
        <v>#REF!</v>
      </c>
      <c r="BM76" t="str">
        <f>AND(#REF!,"AAAAAHn+5EA=")</f>
        <v>#REF!</v>
      </c>
      <c r="BN76" t="str">
        <f>AND(#REF!,"AAAAAHn+5EE=")</f>
        <v>#REF!</v>
      </c>
      <c r="BO76" t="str">
        <f>AND(#REF!,"AAAAAHn+5EI=")</f>
        <v>#REF!</v>
      </c>
      <c r="BP76" t="str">
        <f>AND(#REF!,"AAAAAHn+5EM=")</f>
        <v>#REF!</v>
      </c>
      <c r="BQ76" t="str">
        <f>AND(#REF!,"AAAAAHn+5EQ=")</f>
        <v>#REF!</v>
      </c>
      <c r="BR76" t="str">
        <f>AND(#REF!,"AAAAAHn+5EU=")</f>
        <v>#REF!</v>
      </c>
      <c r="BS76" t="str">
        <f>AND(#REF!,"AAAAAHn+5EY=")</f>
        <v>#REF!</v>
      </c>
      <c r="BT76" t="str">
        <f>AND(#REF!,"AAAAAHn+5Ec=")</f>
        <v>#REF!</v>
      </c>
      <c r="BU76" t="str">
        <f>AND(#REF!,"AAAAAHn+5Eg=")</f>
        <v>#REF!</v>
      </c>
      <c r="BV76" t="str">
        <f>IF(#REF!,"AAAAAHn+5Ek=",0)</f>
        <v>#REF!</v>
      </c>
      <c r="BW76" t="str">
        <f>AND(#REF!,"AAAAAHn+5Eo=")</f>
        <v>#REF!</v>
      </c>
      <c r="BX76" t="str">
        <f>AND(#REF!,"AAAAAHn+5Es=")</f>
        <v>#REF!</v>
      </c>
      <c r="BY76" t="str">
        <f>AND(#REF!,"AAAAAHn+5Ew=")</f>
        <v>#REF!</v>
      </c>
      <c r="BZ76" t="str">
        <f>AND(#REF!,"AAAAAHn+5E0=")</f>
        <v>#REF!</v>
      </c>
      <c r="CA76" t="str">
        <f>AND(#REF!,"AAAAAHn+5E4=")</f>
        <v>#REF!</v>
      </c>
      <c r="CB76" t="str">
        <f>AND(#REF!,"AAAAAHn+5E8=")</f>
        <v>#REF!</v>
      </c>
      <c r="CC76" t="str">
        <f>AND(#REF!,"AAAAAHn+5FA=")</f>
        <v>#REF!</v>
      </c>
      <c r="CD76" t="str">
        <f>AND(#REF!,"AAAAAHn+5FE=")</f>
        <v>#REF!</v>
      </c>
      <c r="CE76" t="str">
        <f>AND(#REF!,"AAAAAHn+5FI=")</f>
        <v>#REF!</v>
      </c>
      <c r="CF76" t="str">
        <f>AND(#REF!,"AAAAAHn+5FM=")</f>
        <v>#REF!</v>
      </c>
      <c r="CG76" t="str">
        <f>AND(#REF!,"AAAAAHn+5FQ=")</f>
        <v>#REF!</v>
      </c>
      <c r="CH76" t="str">
        <f>AND(#REF!,"AAAAAHn+5FU=")</f>
        <v>#REF!</v>
      </c>
      <c r="CI76" t="str">
        <f>AND(#REF!,"AAAAAHn+5FY=")</f>
        <v>#REF!</v>
      </c>
      <c r="CJ76" t="str">
        <f>AND(#REF!,"AAAAAHn+5Fc=")</f>
        <v>#REF!</v>
      </c>
      <c r="CK76" t="str">
        <f>AND(#REF!,"AAAAAHn+5Fg=")</f>
        <v>#REF!</v>
      </c>
      <c r="CL76" t="str">
        <f>AND(#REF!,"AAAAAHn+5Fk=")</f>
        <v>#REF!</v>
      </c>
      <c r="CM76" t="str">
        <f>AND(#REF!,"AAAAAHn+5Fo=")</f>
        <v>#REF!</v>
      </c>
      <c r="CN76" t="str">
        <f>AND(#REF!,"AAAAAHn+5Fs=")</f>
        <v>#REF!</v>
      </c>
      <c r="CO76" t="str">
        <f>AND(#REF!,"AAAAAHn+5Fw=")</f>
        <v>#REF!</v>
      </c>
      <c r="CP76" t="str">
        <f>AND(#REF!,"AAAAAHn+5F0=")</f>
        <v>#REF!</v>
      </c>
      <c r="CQ76" t="str">
        <f>AND(#REF!,"AAAAAHn+5F4=")</f>
        <v>#REF!</v>
      </c>
      <c r="CR76" t="str">
        <f>AND(#REF!,"AAAAAHn+5F8=")</f>
        <v>#REF!</v>
      </c>
      <c r="CS76" t="str">
        <f>AND(#REF!,"AAAAAHn+5GA=")</f>
        <v>#REF!</v>
      </c>
      <c r="CT76" t="str">
        <f>AND(#REF!,"AAAAAHn+5GE=")</f>
        <v>#REF!</v>
      </c>
      <c r="CU76" t="str">
        <f>AND(#REF!,"AAAAAHn+5GI=")</f>
        <v>#REF!</v>
      </c>
      <c r="CV76" t="str">
        <f>AND(#REF!,"AAAAAHn+5GM=")</f>
        <v>#REF!</v>
      </c>
      <c r="CW76" t="str">
        <f>AND(#REF!,"AAAAAHn+5GQ=")</f>
        <v>#REF!</v>
      </c>
      <c r="CX76" t="str">
        <f>AND(#REF!,"AAAAAHn+5GU=")</f>
        <v>#REF!</v>
      </c>
      <c r="CY76" t="str">
        <f>AND(#REF!,"AAAAAHn+5GY=")</f>
        <v>#REF!</v>
      </c>
      <c r="CZ76" t="str">
        <f>AND(#REF!,"AAAAAHn+5Gc=")</f>
        <v>#REF!</v>
      </c>
      <c r="DA76" t="str">
        <f>AND(#REF!,"AAAAAHn+5Gg=")</f>
        <v>#REF!</v>
      </c>
      <c r="DB76" t="str">
        <f>AND(#REF!,"AAAAAHn+5Gk=")</f>
        <v>#REF!</v>
      </c>
      <c r="DC76" t="str">
        <f>AND(#REF!,"AAAAAHn+5Go=")</f>
        <v>#REF!</v>
      </c>
      <c r="DD76" t="str">
        <f>AND(#REF!,"AAAAAHn+5Gs=")</f>
        <v>#REF!</v>
      </c>
      <c r="DE76" t="str">
        <f>AND(#REF!,"AAAAAHn+5Gw=")</f>
        <v>#REF!</v>
      </c>
      <c r="DF76" t="str">
        <f>AND(#REF!,"AAAAAHn+5G0=")</f>
        <v>#REF!</v>
      </c>
      <c r="DG76" t="str">
        <f>AND(#REF!,"AAAAAHn+5G4=")</f>
        <v>#REF!</v>
      </c>
      <c r="DH76" t="str">
        <f>AND(#REF!,"AAAAAHn+5G8=")</f>
        <v>#REF!</v>
      </c>
      <c r="DI76" t="str">
        <f>AND(#REF!,"AAAAAHn+5HA=")</f>
        <v>#REF!</v>
      </c>
      <c r="DJ76" t="str">
        <f>AND(#REF!,"AAAAAHn+5HE=")</f>
        <v>#REF!</v>
      </c>
      <c r="DK76" t="str">
        <f>AND(#REF!,"AAAAAHn+5HI=")</f>
        <v>#REF!</v>
      </c>
      <c r="DL76" t="str">
        <f>AND(#REF!,"AAAAAHn+5HM=")</f>
        <v>#REF!</v>
      </c>
      <c r="DM76" t="str">
        <f>AND(#REF!,"AAAAAHn+5HQ=")</f>
        <v>#REF!</v>
      </c>
      <c r="DN76" t="str">
        <f>AND(#REF!,"AAAAAHn+5HU=")</f>
        <v>#REF!</v>
      </c>
      <c r="DO76" t="str">
        <f>AND(#REF!,"AAAAAHn+5HY=")</f>
        <v>#REF!</v>
      </c>
      <c r="DP76" t="str">
        <f>AND(#REF!,"AAAAAHn+5Hc=")</f>
        <v>#REF!</v>
      </c>
      <c r="DQ76" t="str">
        <f>AND(#REF!,"AAAAAHn+5Hg=")</f>
        <v>#REF!</v>
      </c>
      <c r="DR76" t="str">
        <f>AND(#REF!,"AAAAAHn+5Hk=")</f>
        <v>#REF!</v>
      </c>
      <c r="DS76" t="str">
        <f>AND(#REF!,"AAAAAHn+5Ho=")</f>
        <v>#REF!</v>
      </c>
      <c r="DT76" t="str">
        <f>AND(#REF!,"AAAAAHn+5Hs=")</f>
        <v>#REF!</v>
      </c>
      <c r="DU76" t="str">
        <f>AND(#REF!,"AAAAAHn+5Hw=")</f>
        <v>#REF!</v>
      </c>
      <c r="DV76" t="str">
        <f>AND(#REF!,"AAAAAHn+5H0=")</f>
        <v>#REF!</v>
      </c>
      <c r="DW76" t="str">
        <f>AND(#REF!,"AAAAAHn+5H4=")</f>
        <v>#REF!</v>
      </c>
      <c r="DX76" t="str">
        <f>AND(#REF!,"AAAAAHn+5H8=")</f>
        <v>#REF!</v>
      </c>
      <c r="DY76" t="str">
        <f>AND(#REF!,"AAAAAHn+5IA=")</f>
        <v>#REF!</v>
      </c>
      <c r="DZ76" t="str">
        <f>AND(#REF!,"AAAAAHn+5IE=")</f>
        <v>#REF!</v>
      </c>
      <c r="EA76" t="str">
        <f>AND(#REF!,"AAAAAHn+5II=")</f>
        <v>#REF!</v>
      </c>
      <c r="EB76" t="str">
        <f>AND(#REF!,"AAAAAHn+5IM=")</f>
        <v>#REF!</v>
      </c>
      <c r="EC76" t="str">
        <f>AND(#REF!,"AAAAAHn+5IQ=")</f>
        <v>#REF!</v>
      </c>
      <c r="ED76" t="str">
        <f>AND(#REF!,"AAAAAHn+5IU=")</f>
        <v>#REF!</v>
      </c>
      <c r="EE76" t="str">
        <f>AND(#REF!,"AAAAAHn+5IY=")</f>
        <v>#REF!</v>
      </c>
      <c r="EF76" t="str">
        <f>AND(#REF!,"AAAAAHn+5Ic=")</f>
        <v>#REF!</v>
      </c>
      <c r="EG76" t="str">
        <f>AND(#REF!,"AAAAAHn+5Ig=")</f>
        <v>#REF!</v>
      </c>
      <c r="EH76" t="str">
        <f>AND(#REF!,"AAAAAHn+5Ik=")</f>
        <v>#REF!</v>
      </c>
      <c r="EI76" t="str">
        <f>AND(#REF!,"AAAAAHn+5Io=")</f>
        <v>#REF!</v>
      </c>
      <c r="EJ76" t="str">
        <f>AND(#REF!,"AAAAAHn+5Is=")</f>
        <v>#REF!</v>
      </c>
      <c r="EK76" t="str">
        <f>AND(#REF!,"AAAAAHn+5Iw=")</f>
        <v>#REF!</v>
      </c>
      <c r="EL76" t="str">
        <f>AND(#REF!,"AAAAAHn+5I0=")</f>
        <v>#REF!</v>
      </c>
      <c r="EM76" t="str">
        <f>AND(#REF!,"AAAAAHn+5I4=")</f>
        <v>#REF!</v>
      </c>
      <c r="EN76" t="str">
        <f>AND(#REF!,"AAAAAHn+5I8=")</f>
        <v>#REF!</v>
      </c>
      <c r="EO76" t="str">
        <f>AND(#REF!,"AAAAAHn+5JA=")</f>
        <v>#REF!</v>
      </c>
      <c r="EP76" t="str">
        <f>AND(#REF!,"AAAAAHn+5JE=")</f>
        <v>#REF!</v>
      </c>
      <c r="EQ76" t="str">
        <f>AND(#REF!,"AAAAAHn+5JI=")</f>
        <v>#REF!</v>
      </c>
      <c r="ER76" t="str">
        <f>AND(#REF!,"AAAAAHn+5JM=")</f>
        <v>#REF!</v>
      </c>
      <c r="ES76" t="str">
        <f>AND(#REF!,"AAAAAHn+5JQ=")</f>
        <v>#REF!</v>
      </c>
      <c r="ET76" t="str">
        <f>IF(#REF!,"AAAAAHn+5JU=",0)</f>
        <v>#REF!</v>
      </c>
      <c r="EU76" t="str">
        <f>AND(#REF!,"AAAAAHn+5JY=")</f>
        <v>#REF!</v>
      </c>
      <c r="EV76" t="str">
        <f>AND(#REF!,"AAAAAHn+5Jc=")</f>
        <v>#REF!</v>
      </c>
      <c r="EW76" t="str">
        <f>AND(#REF!,"AAAAAHn+5Jg=")</f>
        <v>#REF!</v>
      </c>
      <c r="EX76" t="str">
        <f>AND(#REF!,"AAAAAHn+5Jk=")</f>
        <v>#REF!</v>
      </c>
      <c r="EY76" t="str">
        <f>AND(#REF!,"AAAAAHn+5Jo=")</f>
        <v>#REF!</v>
      </c>
      <c r="EZ76" t="str">
        <f>AND(#REF!,"AAAAAHn+5Js=")</f>
        <v>#REF!</v>
      </c>
      <c r="FA76" t="str">
        <f>AND(#REF!,"AAAAAHn+5Jw=")</f>
        <v>#REF!</v>
      </c>
      <c r="FB76" t="str">
        <f>AND(#REF!,"AAAAAHn+5J0=")</f>
        <v>#REF!</v>
      </c>
      <c r="FC76" t="str">
        <f>AND(#REF!,"AAAAAHn+5J4=")</f>
        <v>#REF!</v>
      </c>
      <c r="FD76" t="str">
        <f>AND(#REF!,"AAAAAHn+5J8=")</f>
        <v>#REF!</v>
      </c>
      <c r="FE76" t="str">
        <f>AND(#REF!,"AAAAAHn+5KA=")</f>
        <v>#REF!</v>
      </c>
      <c r="FF76" t="str">
        <f>AND(#REF!,"AAAAAHn+5KE=")</f>
        <v>#REF!</v>
      </c>
      <c r="FG76" t="str">
        <f>AND(#REF!,"AAAAAHn+5KI=")</f>
        <v>#REF!</v>
      </c>
      <c r="FH76" t="str">
        <f>AND(#REF!,"AAAAAHn+5KM=")</f>
        <v>#REF!</v>
      </c>
      <c r="FI76" t="str">
        <f>AND(#REF!,"AAAAAHn+5KQ=")</f>
        <v>#REF!</v>
      </c>
      <c r="FJ76" t="str">
        <f>AND(#REF!,"AAAAAHn+5KU=")</f>
        <v>#REF!</v>
      </c>
      <c r="FK76" t="str">
        <f>AND(#REF!,"AAAAAHn+5KY=")</f>
        <v>#REF!</v>
      </c>
      <c r="FL76" t="str">
        <f>AND(#REF!,"AAAAAHn+5Kc=")</f>
        <v>#REF!</v>
      </c>
      <c r="FM76" t="str">
        <f>AND(#REF!,"AAAAAHn+5Kg=")</f>
        <v>#REF!</v>
      </c>
      <c r="FN76" t="str">
        <f>AND(#REF!,"AAAAAHn+5Kk=")</f>
        <v>#REF!</v>
      </c>
      <c r="FO76" t="str">
        <f>AND(#REF!,"AAAAAHn+5Ko=")</f>
        <v>#REF!</v>
      </c>
      <c r="FP76" t="str">
        <f>AND(#REF!,"AAAAAHn+5Ks=")</f>
        <v>#REF!</v>
      </c>
      <c r="FQ76" t="str">
        <f>AND(#REF!,"AAAAAHn+5Kw=")</f>
        <v>#REF!</v>
      </c>
      <c r="FR76" t="str">
        <f>AND(#REF!,"AAAAAHn+5K0=")</f>
        <v>#REF!</v>
      </c>
      <c r="FS76" t="str">
        <f>AND(#REF!,"AAAAAHn+5K4=")</f>
        <v>#REF!</v>
      </c>
      <c r="FT76" t="str">
        <f>AND(#REF!,"AAAAAHn+5K8=")</f>
        <v>#REF!</v>
      </c>
      <c r="FU76" t="str">
        <f>AND(#REF!,"AAAAAHn+5LA=")</f>
        <v>#REF!</v>
      </c>
      <c r="FV76" t="str">
        <f>AND(#REF!,"AAAAAHn+5LE=")</f>
        <v>#REF!</v>
      </c>
      <c r="FW76" t="str">
        <f>AND(#REF!,"AAAAAHn+5LI=")</f>
        <v>#REF!</v>
      </c>
      <c r="FX76" t="str">
        <f>AND(#REF!,"AAAAAHn+5LM=")</f>
        <v>#REF!</v>
      </c>
      <c r="FY76" t="str">
        <f>AND(#REF!,"AAAAAHn+5LQ=")</f>
        <v>#REF!</v>
      </c>
      <c r="FZ76" t="str">
        <f>AND(#REF!,"AAAAAHn+5LU=")</f>
        <v>#REF!</v>
      </c>
      <c r="GA76" t="str">
        <f>AND(#REF!,"AAAAAHn+5LY=")</f>
        <v>#REF!</v>
      </c>
      <c r="GB76" t="str">
        <f>AND(#REF!,"AAAAAHn+5Lc=")</f>
        <v>#REF!</v>
      </c>
      <c r="GC76" t="str">
        <f>AND(#REF!,"AAAAAHn+5Lg=")</f>
        <v>#REF!</v>
      </c>
      <c r="GD76" t="str">
        <f>AND(#REF!,"AAAAAHn+5Lk=")</f>
        <v>#REF!</v>
      </c>
      <c r="GE76" t="str">
        <f>AND(#REF!,"AAAAAHn+5Lo=")</f>
        <v>#REF!</v>
      </c>
      <c r="GF76" t="str">
        <f>AND(#REF!,"AAAAAHn+5Ls=")</f>
        <v>#REF!</v>
      </c>
      <c r="GG76" t="str">
        <f>AND(#REF!,"AAAAAHn+5Lw=")</f>
        <v>#REF!</v>
      </c>
      <c r="GH76" t="str">
        <f>AND(#REF!,"AAAAAHn+5L0=")</f>
        <v>#REF!</v>
      </c>
      <c r="GI76" t="str">
        <f>AND(#REF!,"AAAAAHn+5L4=")</f>
        <v>#REF!</v>
      </c>
      <c r="GJ76" t="str">
        <f>AND(#REF!,"AAAAAHn+5L8=")</f>
        <v>#REF!</v>
      </c>
      <c r="GK76" t="str">
        <f>AND(#REF!,"AAAAAHn+5MA=")</f>
        <v>#REF!</v>
      </c>
      <c r="GL76" t="str">
        <f>AND(#REF!,"AAAAAHn+5ME=")</f>
        <v>#REF!</v>
      </c>
      <c r="GM76" t="str">
        <f>AND(#REF!,"AAAAAHn+5MI=")</f>
        <v>#REF!</v>
      </c>
      <c r="GN76" t="str">
        <f>AND(#REF!,"AAAAAHn+5MM=")</f>
        <v>#REF!</v>
      </c>
      <c r="GO76" t="str">
        <f>AND(#REF!,"AAAAAHn+5MQ=")</f>
        <v>#REF!</v>
      </c>
      <c r="GP76" t="str">
        <f>AND(#REF!,"AAAAAHn+5MU=")</f>
        <v>#REF!</v>
      </c>
      <c r="GQ76" t="str">
        <f>AND(#REF!,"AAAAAHn+5MY=")</f>
        <v>#REF!</v>
      </c>
      <c r="GR76" t="str">
        <f>AND(#REF!,"AAAAAHn+5Mc=")</f>
        <v>#REF!</v>
      </c>
      <c r="GS76" t="str">
        <f>AND(#REF!,"AAAAAHn+5Mg=")</f>
        <v>#REF!</v>
      </c>
      <c r="GT76" t="str">
        <f>AND(#REF!,"AAAAAHn+5Mk=")</f>
        <v>#REF!</v>
      </c>
      <c r="GU76" t="str">
        <f>AND(#REF!,"AAAAAHn+5Mo=")</f>
        <v>#REF!</v>
      </c>
      <c r="GV76" t="str">
        <f>AND(#REF!,"AAAAAHn+5Ms=")</f>
        <v>#REF!</v>
      </c>
      <c r="GW76" t="str">
        <f>AND(#REF!,"AAAAAHn+5Mw=")</f>
        <v>#REF!</v>
      </c>
      <c r="GX76" t="str">
        <f>AND(#REF!,"AAAAAHn+5M0=")</f>
        <v>#REF!</v>
      </c>
      <c r="GY76" t="str">
        <f>AND(#REF!,"AAAAAHn+5M4=")</f>
        <v>#REF!</v>
      </c>
      <c r="GZ76" t="str">
        <f>AND(#REF!,"AAAAAHn+5M8=")</f>
        <v>#REF!</v>
      </c>
      <c r="HA76" t="str">
        <f>AND(#REF!,"AAAAAHn+5NA=")</f>
        <v>#REF!</v>
      </c>
      <c r="HB76" t="str">
        <f>AND(#REF!,"AAAAAHn+5NE=")</f>
        <v>#REF!</v>
      </c>
      <c r="HC76" t="str">
        <f>AND(#REF!,"AAAAAHn+5NI=")</f>
        <v>#REF!</v>
      </c>
      <c r="HD76" t="str">
        <f>AND(#REF!,"AAAAAHn+5NM=")</f>
        <v>#REF!</v>
      </c>
      <c r="HE76" t="str">
        <f>AND(#REF!,"AAAAAHn+5NQ=")</f>
        <v>#REF!</v>
      </c>
      <c r="HF76" t="str">
        <f>AND(#REF!,"AAAAAHn+5NU=")</f>
        <v>#REF!</v>
      </c>
      <c r="HG76" t="str">
        <f>AND(#REF!,"AAAAAHn+5NY=")</f>
        <v>#REF!</v>
      </c>
      <c r="HH76" t="str">
        <f>AND(#REF!,"AAAAAHn+5Nc=")</f>
        <v>#REF!</v>
      </c>
      <c r="HI76" t="str">
        <f>AND(#REF!,"AAAAAHn+5Ng=")</f>
        <v>#REF!</v>
      </c>
      <c r="HJ76" t="str">
        <f>AND(#REF!,"AAAAAHn+5Nk=")</f>
        <v>#REF!</v>
      </c>
      <c r="HK76" t="str">
        <f>AND(#REF!,"AAAAAHn+5No=")</f>
        <v>#REF!</v>
      </c>
      <c r="HL76" t="str">
        <f>AND(#REF!,"AAAAAHn+5Ns=")</f>
        <v>#REF!</v>
      </c>
      <c r="HM76" t="str">
        <f>AND(#REF!,"AAAAAHn+5Nw=")</f>
        <v>#REF!</v>
      </c>
      <c r="HN76" t="str">
        <f>AND(#REF!,"AAAAAHn+5N0=")</f>
        <v>#REF!</v>
      </c>
      <c r="HO76" t="str">
        <f>AND(#REF!,"AAAAAHn+5N4=")</f>
        <v>#REF!</v>
      </c>
      <c r="HP76" t="str">
        <f>AND(#REF!,"AAAAAHn+5N8=")</f>
        <v>#REF!</v>
      </c>
      <c r="HQ76" t="str">
        <f>AND(#REF!,"AAAAAHn+5OA=")</f>
        <v>#REF!</v>
      </c>
      <c r="HR76" t="str">
        <f>IF(#REF!,"AAAAAHn+5OE=",0)</f>
        <v>#REF!</v>
      </c>
      <c r="HS76" t="str">
        <f>AND(#REF!,"AAAAAHn+5OI=")</f>
        <v>#REF!</v>
      </c>
      <c r="HT76" t="str">
        <f>AND(#REF!,"AAAAAHn+5OM=")</f>
        <v>#REF!</v>
      </c>
      <c r="HU76" t="str">
        <f>AND(#REF!,"AAAAAHn+5OQ=")</f>
        <v>#REF!</v>
      </c>
      <c r="HV76" t="str">
        <f>AND(#REF!,"AAAAAHn+5OU=")</f>
        <v>#REF!</v>
      </c>
      <c r="HW76" t="str">
        <f>AND(#REF!,"AAAAAHn+5OY=")</f>
        <v>#REF!</v>
      </c>
      <c r="HX76" t="str">
        <f>AND(#REF!,"AAAAAHn+5Oc=")</f>
        <v>#REF!</v>
      </c>
      <c r="HY76" t="str">
        <f>AND(#REF!,"AAAAAHn+5Og=")</f>
        <v>#REF!</v>
      </c>
      <c r="HZ76" t="str">
        <f>AND(#REF!,"AAAAAHn+5Ok=")</f>
        <v>#REF!</v>
      </c>
      <c r="IA76" t="str">
        <f>AND(#REF!,"AAAAAHn+5Oo=")</f>
        <v>#REF!</v>
      </c>
      <c r="IB76" t="str">
        <f>AND(#REF!,"AAAAAHn+5Os=")</f>
        <v>#REF!</v>
      </c>
      <c r="IC76" t="str">
        <f>AND(#REF!,"AAAAAHn+5Ow=")</f>
        <v>#REF!</v>
      </c>
      <c r="ID76" t="str">
        <f>AND(#REF!,"AAAAAHn+5O0=")</f>
        <v>#REF!</v>
      </c>
      <c r="IE76" t="str">
        <f>AND(#REF!,"AAAAAHn+5O4=")</f>
        <v>#REF!</v>
      </c>
      <c r="IF76" t="str">
        <f>AND(#REF!,"AAAAAHn+5O8=")</f>
        <v>#REF!</v>
      </c>
      <c r="IG76" t="str">
        <f>AND(#REF!,"AAAAAHn+5PA=")</f>
        <v>#REF!</v>
      </c>
      <c r="IH76" t="str">
        <f>AND(#REF!,"AAAAAHn+5PE=")</f>
        <v>#REF!</v>
      </c>
      <c r="II76" t="str">
        <f>AND(#REF!,"AAAAAHn+5PI=")</f>
        <v>#REF!</v>
      </c>
      <c r="IJ76" t="str">
        <f>AND(#REF!,"AAAAAHn+5PM=")</f>
        <v>#REF!</v>
      </c>
      <c r="IK76" t="str">
        <f>AND(#REF!,"AAAAAHn+5PQ=")</f>
        <v>#REF!</v>
      </c>
      <c r="IL76" t="str">
        <f>AND(#REF!,"AAAAAHn+5PU=")</f>
        <v>#REF!</v>
      </c>
      <c r="IM76" t="str">
        <f>AND(#REF!,"AAAAAHn+5PY=")</f>
        <v>#REF!</v>
      </c>
      <c r="IN76" t="str">
        <f>AND(#REF!,"AAAAAHn+5Pc=")</f>
        <v>#REF!</v>
      </c>
      <c r="IO76" t="str">
        <f>AND(#REF!,"AAAAAHn+5Pg=")</f>
        <v>#REF!</v>
      </c>
      <c r="IP76" t="str">
        <f>AND(#REF!,"AAAAAHn+5Pk=")</f>
        <v>#REF!</v>
      </c>
      <c r="IQ76" t="str">
        <f>AND(#REF!,"AAAAAHn+5Po=")</f>
        <v>#REF!</v>
      </c>
      <c r="IR76" t="str">
        <f>AND(#REF!,"AAAAAHn+5Ps=")</f>
        <v>#REF!</v>
      </c>
      <c r="IS76" t="str">
        <f>AND(#REF!,"AAAAAHn+5Pw=")</f>
        <v>#REF!</v>
      </c>
      <c r="IT76" t="str">
        <f>AND(#REF!,"AAAAAHn+5P0=")</f>
        <v>#REF!</v>
      </c>
      <c r="IU76" t="str">
        <f>AND(#REF!,"AAAAAHn+5P4=")</f>
        <v>#REF!</v>
      </c>
      <c r="IV76" t="str">
        <f>AND(#REF!,"AAAAAHn+5P8=")</f>
        <v>#REF!</v>
      </c>
    </row>
    <row r="77" ht="15.75" customHeight="1">
      <c r="A77" t="str">
        <f>AND(#REF!,"AAAAAD35fwA=")</f>
        <v>#REF!</v>
      </c>
      <c r="B77" t="str">
        <f>AND(#REF!,"AAAAAD35fwE=")</f>
        <v>#REF!</v>
      </c>
      <c r="C77" t="str">
        <f>AND(#REF!,"AAAAAD35fwI=")</f>
        <v>#REF!</v>
      </c>
      <c r="D77" t="str">
        <f>AND(#REF!,"AAAAAD35fwM=")</f>
        <v>#REF!</v>
      </c>
      <c r="E77" t="str">
        <f>AND(#REF!,"AAAAAD35fwQ=")</f>
        <v>#REF!</v>
      </c>
      <c r="F77" t="str">
        <f>AND(#REF!,"AAAAAD35fwU=")</f>
        <v>#REF!</v>
      </c>
      <c r="G77" t="str">
        <f>AND(#REF!,"AAAAAD35fwY=")</f>
        <v>#REF!</v>
      </c>
      <c r="H77" t="str">
        <f>AND(#REF!,"AAAAAD35fwc=")</f>
        <v>#REF!</v>
      </c>
      <c r="I77" t="str">
        <f>AND(#REF!,"AAAAAD35fwg=")</f>
        <v>#REF!</v>
      </c>
      <c r="J77" t="str">
        <f>AND(#REF!,"AAAAAD35fwk=")</f>
        <v>#REF!</v>
      </c>
      <c r="K77" t="str">
        <f>AND(#REF!,"AAAAAD35fwo=")</f>
        <v>#REF!</v>
      </c>
      <c r="L77" t="str">
        <f>AND(#REF!,"AAAAAD35fws=")</f>
        <v>#REF!</v>
      </c>
      <c r="M77" t="str">
        <f>AND(#REF!,"AAAAAD35fww=")</f>
        <v>#REF!</v>
      </c>
      <c r="N77" t="str">
        <f>AND(#REF!,"AAAAAD35fw0=")</f>
        <v>#REF!</v>
      </c>
      <c r="O77" t="str">
        <f>AND(#REF!,"AAAAAD35fw4=")</f>
        <v>#REF!</v>
      </c>
      <c r="P77" t="str">
        <f>AND(#REF!,"AAAAAD35fw8=")</f>
        <v>#REF!</v>
      </c>
      <c r="Q77" t="str">
        <f>AND(#REF!,"AAAAAD35fxA=")</f>
        <v>#REF!</v>
      </c>
      <c r="R77" t="str">
        <f>AND(#REF!,"AAAAAD35fxE=")</f>
        <v>#REF!</v>
      </c>
      <c r="S77" t="str">
        <f>AND(#REF!,"AAAAAD35fxI=")</f>
        <v>#REF!</v>
      </c>
      <c r="T77" t="str">
        <f>AND(#REF!,"AAAAAD35fxM=")</f>
        <v>#REF!</v>
      </c>
      <c r="U77" t="str">
        <f>AND(#REF!,"AAAAAD35fxQ=")</f>
        <v>#REF!</v>
      </c>
      <c r="V77" t="str">
        <f>AND(#REF!,"AAAAAD35fxU=")</f>
        <v>#REF!</v>
      </c>
      <c r="W77" t="str">
        <f>AND(#REF!,"AAAAAD35fxY=")</f>
        <v>#REF!</v>
      </c>
      <c r="X77" t="str">
        <f>AND(#REF!,"AAAAAD35fxc=")</f>
        <v>#REF!</v>
      </c>
      <c r="Y77" t="str">
        <f>AND(#REF!,"AAAAAD35fxg=")</f>
        <v>#REF!</v>
      </c>
      <c r="Z77" t="str">
        <f>AND(#REF!,"AAAAAD35fxk=")</f>
        <v>#REF!</v>
      </c>
      <c r="AA77" t="str">
        <f>AND(#REF!,"AAAAAD35fxo=")</f>
        <v>#REF!</v>
      </c>
      <c r="AB77" t="str">
        <f>AND(#REF!,"AAAAAD35fxs=")</f>
        <v>#REF!</v>
      </c>
      <c r="AC77" t="str">
        <f>AND(#REF!,"AAAAAD35fxw=")</f>
        <v>#REF!</v>
      </c>
      <c r="AD77" t="str">
        <f>AND(#REF!,"AAAAAD35fx0=")</f>
        <v>#REF!</v>
      </c>
      <c r="AE77" t="str">
        <f>AND(#REF!,"AAAAAD35fx4=")</f>
        <v>#REF!</v>
      </c>
      <c r="AF77" t="str">
        <f>AND(#REF!,"AAAAAD35fx8=")</f>
        <v>#REF!</v>
      </c>
      <c r="AG77" t="str">
        <f>AND(#REF!,"AAAAAD35fyA=")</f>
        <v>#REF!</v>
      </c>
      <c r="AH77" t="str">
        <f>AND(#REF!,"AAAAAD35fyE=")</f>
        <v>#REF!</v>
      </c>
      <c r="AI77" t="str">
        <f>AND(#REF!,"AAAAAD35fyI=")</f>
        <v>#REF!</v>
      </c>
      <c r="AJ77" t="str">
        <f>AND(#REF!,"AAAAAD35fyM=")</f>
        <v>#REF!</v>
      </c>
      <c r="AK77" t="str">
        <f>AND(#REF!,"AAAAAD35fyQ=")</f>
        <v>#REF!</v>
      </c>
      <c r="AL77" t="str">
        <f>AND(#REF!,"AAAAAD35fyU=")</f>
        <v>#REF!</v>
      </c>
      <c r="AM77" t="str">
        <f>AND(#REF!,"AAAAAD35fyY=")</f>
        <v>#REF!</v>
      </c>
      <c r="AN77" t="str">
        <f>AND(#REF!,"AAAAAD35fyc=")</f>
        <v>#REF!</v>
      </c>
      <c r="AO77" t="str">
        <f>AND(#REF!,"AAAAAD35fyg=")</f>
        <v>#REF!</v>
      </c>
      <c r="AP77" t="str">
        <f>AND(#REF!,"AAAAAD35fyk=")</f>
        <v>#REF!</v>
      </c>
      <c r="AQ77" t="str">
        <f>AND(#REF!,"AAAAAD35fyo=")</f>
        <v>#REF!</v>
      </c>
      <c r="AR77" t="str">
        <f>AND(#REF!,"AAAAAD35fys=")</f>
        <v>#REF!</v>
      </c>
      <c r="AS77" t="str">
        <f>AND(#REF!,"AAAAAD35fyw=")</f>
        <v>#REF!</v>
      </c>
      <c r="AT77" t="str">
        <f>IF(#REF!,"AAAAAD35fy0=",0)</f>
        <v>#REF!</v>
      </c>
      <c r="AU77" t="str">
        <f>AND(#REF!,"AAAAAD35fy4=")</f>
        <v>#REF!</v>
      </c>
      <c r="AV77" t="str">
        <f>AND(#REF!,"AAAAAD35fy8=")</f>
        <v>#REF!</v>
      </c>
      <c r="AW77" t="str">
        <f>AND(#REF!,"AAAAAD35fzA=")</f>
        <v>#REF!</v>
      </c>
      <c r="AX77" t="str">
        <f>AND(#REF!,"AAAAAD35fzE=")</f>
        <v>#REF!</v>
      </c>
      <c r="AY77" t="str">
        <f>AND(#REF!,"AAAAAD35fzI=")</f>
        <v>#REF!</v>
      </c>
      <c r="AZ77" t="str">
        <f>AND(#REF!,"AAAAAD35fzM=")</f>
        <v>#REF!</v>
      </c>
      <c r="BA77" t="str">
        <f>AND(#REF!,"AAAAAD35fzQ=")</f>
        <v>#REF!</v>
      </c>
      <c r="BB77" t="str">
        <f>AND(#REF!,"AAAAAD35fzU=")</f>
        <v>#REF!</v>
      </c>
      <c r="BC77" t="str">
        <f>AND(#REF!,"AAAAAD35fzY=")</f>
        <v>#REF!</v>
      </c>
      <c r="BD77" t="str">
        <f>AND(#REF!,"AAAAAD35fzc=")</f>
        <v>#REF!</v>
      </c>
      <c r="BE77" t="str">
        <f>AND(#REF!,"AAAAAD35fzg=")</f>
        <v>#REF!</v>
      </c>
      <c r="BF77" t="str">
        <f>AND(#REF!,"AAAAAD35fzk=")</f>
        <v>#REF!</v>
      </c>
      <c r="BG77" t="str">
        <f>AND(#REF!,"AAAAAD35fzo=")</f>
        <v>#REF!</v>
      </c>
      <c r="BH77" t="str">
        <f>AND(#REF!,"AAAAAD35fzs=")</f>
        <v>#REF!</v>
      </c>
      <c r="BI77" t="str">
        <f>AND(#REF!,"AAAAAD35fzw=")</f>
        <v>#REF!</v>
      </c>
      <c r="BJ77" t="str">
        <f>AND(#REF!,"AAAAAD35fz0=")</f>
        <v>#REF!</v>
      </c>
      <c r="BK77" t="str">
        <f>AND(#REF!,"AAAAAD35fz4=")</f>
        <v>#REF!</v>
      </c>
      <c r="BL77" t="str">
        <f>AND(#REF!,"AAAAAD35fz8=")</f>
        <v>#REF!</v>
      </c>
      <c r="BM77" t="str">
        <f>AND(#REF!,"AAAAAD35f0A=")</f>
        <v>#REF!</v>
      </c>
      <c r="BN77" t="str">
        <f>AND(#REF!,"AAAAAD35f0E=")</f>
        <v>#REF!</v>
      </c>
      <c r="BO77" t="str">
        <f>AND(#REF!,"AAAAAD35f0I=")</f>
        <v>#REF!</v>
      </c>
      <c r="BP77" t="str">
        <f>AND(#REF!,"AAAAAD35f0M=")</f>
        <v>#REF!</v>
      </c>
      <c r="BQ77" t="str">
        <f>AND(#REF!,"AAAAAD35f0Q=")</f>
        <v>#REF!</v>
      </c>
      <c r="BR77" t="str">
        <f>AND(#REF!,"AAAAAD35f0U=")</f>
        <v>#REF!</v>
      </c>
      <c r="BS77" t="str">
        <f>AND(#REF!,"AAAAAD35f0Y=")</f>
        <v>#REF!</v>
      </c>
      <c r="BT77" t="str">
        <f>AND(#REF!,"AAAAAD35f0c=")</f>
        <v>#REF!</v>
      </c>
      <c r="BU77" t="str">
        <f>AND(#REF!,"AAAAAD35f0g=")</f>
        <v>#REF!</v>
      </c>
      <c r="BV77" t="str">
        <f>AND(#REF!,"AAAAAD35f0k=")</f>
        <v>#REF!</v>
      </c>
      <c r="BW77" t="str">
        <f>AND(#REF!,"AAAAAD35f0o=")</f>
        <v>#REF!</v>
      </c>
      <c r="BX77" t="str">
        <f>AND(#REF!,"AAAAAD35f0s=")</f>
        <v>#REF!</v>
      </c>
      <c r="BY77" t="str">
        <f>AND(#REF!,"AAAAAD35f0w=")</f>
        <v>#REF!</v>
      </c>
      <c r="BZ77" t="str">
        <f>AND(#REF!,"AAAAAD35f00=")</f>
        <v>#REF!</v>
      </c>
      <c r="CA77" t="str">
        <f>AND(#REF!,"AAAAAD35f04=")</f>
        <v>#REF!</v>
      </c>
      <c r="CB77" t="str">
        <f>AND(#REF!,"AAAAAD35f08=")</f>
        <v>#REF!</v>
      </c>
      <c r="CC77" t="str">
        <f>AND(#REF!,"AAAAAD35f1A=")</f>
        <v>#REF!</v>
      </c>
      <c r="CD77" t="str">
        <f>AND(#REF!,"AAAAAD35f1E=")</f>
        <v>#REF!</v>
      </c>
      <c r="CE77" t="str">
        <f>AND(#REF!,"AAAAAD35f1I=")</f>
        <v>#REF!</v>
      </c>
      <c r="CF77" t="str">
        <f>AND(#REF!,"AAAAAD35f1M=")</f>
        <v>#REF!</v>
      </c>
      <c r="CG77" t="str">
        <f>AND(#REF!,"AAAAAD35f1Q=")</f>
        <v>#REF!</v>
      </c>
      <c r="CH77" t="str">
        <f>AND(#REF!,"AAAAAD35f1U=")</f>
        <v>#REF!</v>
      </c>
      <c r="CI77" t="str">
        <f>AND(#REF!,"AAAAAD35f1Y=")</f>
        <v>#REF!</v>
      </c>
      <c r="CJ77" t="str">
        <f>AND(#REF!,"AAAAAD35f1c=")</f>
        <v>#REF!</v>
      </c>
      <c r="CK77" t="str">
        <f>AND(#REF!,"AAAAAD35f1g=")</f>
        <v>#REF!</v>
      </c>
      <c r="CL77" t="str">
        <f>AND(#REF!,"AAAAAD35f1k=")</f>
        <v>#REF!</v>
      </c>
      <c r="CM77" t="str">
        <f>AND(#REF!,"AAAAAD35f1o=")</f>
        <v>#REF!</v>
      </c>
      <c r="CN77" t="str">
        <f>AND(#REF!,"AAAAAD35f1s=")</f>
        <v>#REF!</v>
      </c>
      <c r="CO77" t="str">
        <f>AND(#REF!,"AAAAAD35f1w=")</f>
        <v>#REF!</v>
      </c>
      <c r="CP77" t="str">
        <f>AND(#REF!,"AAAAAD35f10=")</f>
        <v>#REF!</v>
      </c>
      <c r="CQ77" t="str">
        <f>AND(#REF!,"AAAAAD35f14=")</f>
        <v>#REF!</v>
      </c>
      <c r="CR77" t="str">
        <f>AND(#REF!,"AAAAAD35f18=")</f>
        <v>#REF!</v>
      </c>
      <c r="CS77" t="str">
        <f>AND(#REF!,"AAAAAD35f2A=")</f>
        <v>#REF!</v>
      </c>
      <c r="CT77" t="str">
        <f>AND(#REF!,"AAAAAD35f2E=")</f>
        <v>#REF!</v>
      </c>
      <c r="CU77" t="str">
        <f>AND(#REF!,"AAAAAD35f2I=")</f>
        <v>#REF!</v>
      </c>
      <c r="CV77" t="str">
        <f>AND(#REF!,"AAAAAD35f2M=")</f>
        <v>#REF!</v>
      </c>
      <c r="CW77" t="str">
        <f>AND(#REF!,"AAAAAD35f2Q=")</f>
        <v>#REF!</v>
      </c>
      <c r="CX77" t="str">
        <f>AND(#REF!,"AAAAAD35f2U=")</f>
        <v>#REF!</v>
      </c>
      <c r="CY77" t="str">
        <f>AND(#REF!,"AAAAAD35f2Y=")</f>
        <v>#REF!</v>
      </c>
      <c r="CZ77" t="str">
        <f>AND(#REF!,"AAAAAD35f2c=")</f>
        <v>#REF!</v>
      </c>
      <c r="DA77" t="str">
        <f>AND(#REF!,"AAAAAD35f2g=")</f>
        <v>#REF!</v>
      </c>
      <c r="DB77" t="str">
        <f>AND(#REF!,"AAAAAD35f2k=")</f>
        <v>#REF!</v>
      </c>
      <c r="DC77" t="str">
        <f>AND(#REF!,"AAAAAD35f2o=")</f>
        <v>#REF!</v>
      </c>
      <c r="DD77" t="str">
        <f>AND(#REF!,"AAAAAD35f2s=")</f>
        <v>#REF!</v>
      </c>
      <c r="DE77" t="str">
        <f>AND(#REF!,"AAAAAD35f2w=")</f>
        <v>#REF!</v>
      </c>
      <c r="DF77" t="str">
        <f>AND(#REF!,"AAAAAD35f20=")</f>
        <v>#REF!</v>
      </c>
      <c r="DG77" t="str">
        <f>AND(#REF!,"AAAAAD35f24=")</f>
        <v>#REF!</v>
      </c>
      <c r="DH77" t="str">
        <f>AND(#REF!,"AAAAAD35f28=")</f>
        <v>#REF!</v>
      </c>
      <c r="DI77" t="str">
        <f>AND(#REF!,"AAAAAD35f3A=")</f>
        <v>#REF!</v>
      </c>
      <c r="DJ77" t="str">
        <f>AND(#REF!,"AAAAAD35f3E=")</f>
        <v>#REF!</v>
      </c>
      <c r="DK77" t="str">
        <f>AND(#REF!,"AAAAAD35f3I=")</f>
        <v>#REF!</v>
      </c>
      <c r="DL77" t="str">
        <f>AND(#REF!,"AAAAAD35f3M=")</f>
        <v>#REF!</v>
      </c>
      <c r="DM77" t="str">
        <f>AND(#REF!,"AAAAAD35f3Q=")</f>
        <v>#REF!</v>
      </c>
      <c r="DN77" t="str">
        <f>AND(#REF!,"AAAAAD35f3U=")</f>
        <v>#REF!</v>
      </c>
      <c r="DO77" t="str">
        <f>AND(#REF!,"AAAAAD35f3Y=")</f>
        <v>#REF!</v>
      </c>
      <c r="DP77" t="str">
        <f>AND(#REF!,"AAAAAD35f3c=")</f>
        <v>#REF!</v>
      </c>
      <c r="DQ77" t="str">
        <f>AND(#REF!,"AAAAAD35f3g=")</f>
        <v>#REF!</v>
      </c>
      <c r="DR77" t="str">
        <f>IF(#REF!,"AAAAAD35f3k=",0)</f>
        <v>#REF!</v>
      </c>
      <c r="DS77" t="str">
        <f>AND(#REF!,"AAAAAD35f3o=")</f>
        <v>#REF!</v>
      </c>
      <c r="DT77" t="str">
        <f>AND(#REF!,"AAAAAD35f3s=")</f>
        <v>#REF!</v>
      </c>
      <c r="DU77" t="str">
        <f>AND(#REF!,"AAAAAD35f3w=")</f>
        <v>#REF!</v>
      </c>
      <c r="DV77" t="str">
        <f>AND(#REF!,"AAAAAD35f30=")</f>
        <v>#REF!</v>
      </c>
      <c r="DW77" t="str">
        <f>AND(#REF!,"AAAAAD35f34=")</f>
        <v>#REF!</v>
      </c>
      <c r="DX77" t="str">
        <f>AND(#REF!,"AAAAAD35f38=")</f>
        <v>#REF!</v>
      </c>
      <c r="DY77" t="str">
        <f>AND(#REF!,"AAAAAD35f4A=")</f>
        <v>#REF!</v>
      </c>
      <c r="DZ77" t="str">
        <f>AND(#REF!,"AAAAAD35f4E=")</f>
        <v>#REF!</v>
      </c>
      <c r="EA77" t="str">
        <f>AND(#REF!,"AAAAAD35f4I=")</f>
        <v>#REF!</v>
      </c>
      <c r="EB77" t="str">
        <f>AND(#REF!,"AAAAAD35f4M=")</f>
        <v>#REF!</v>
      </c>
      <c r="EC77" t="str">
        <f>AND(#REF!,"AAAAAD35f4Q=")</f>
        <v>#REF!</v>
      </c>
      <c r="ED77" t="str">
        <f>AND(#REF!,"AAAAAD35f4U=")</f>
        <v>#REF!</v>
      </c>
      <c r="EE77" t="str">
        <f>AND(#REF!,"AAAAAD35f4Y=")</f>
        <v>#REF!</v>
      </c>
      <c r="EF77" t="str">
        <f>AND(#REF!,"AAAAAD35f4c=")</f>
        <v>#REF!</v>
      </c>
      <c r="EG77" t="str">
        <f>AND(#REF!,"AAAAAD35f4g=")</f>
        <v>#REF!</v>
      </c>
      <c r="EH77" t="str">
        <f>AND(#REF!,"AAAAAD35f4k=")</f>
        <v>#REF!</v>
      </c>
      <c r="EI77" t="str">
        <f>AND(#REF!,"AAAAAD35f4o=")</f>
        <v>#REF!</v>
      </c>
      <c r="EJ77" t="str">
        <f>AND(#REF!,"AAAAAD35f4s=")</f>
        <v>#REF!</v>
      </c>
      <c r="EK77" t="str">
        <f>AND(#REF!,"AAAAAD35f4w=")</f>
        <v>#REF!</v>
      </c>
      <c r="EL77" t="str">
        <f>AND(#REF!,"AAAAAD35f40=")</f>
        <v>#REF!</v>
      </c>
      <c r="EM77" t="str">
        <f>AND(#REF!,"AAAAAD35f44=")</f>
        <v>#REF!</v>
      </c>
      <c r="EN77" t="str">
        <f>AND(#REF!,"AAAAAD35f48=")</f>
        <v>#REF!</v>
      </c>
      <c r="EO77" t="str">
        <f>AND(#REF!,"AAAAAD35f5A=")</f>
        <v>#REF!</v>
      </c>
      <c r="EP77" t="str">
        <f>AND(#REF!,"AAAAAD35f5E=")</f>
        <v>#REF!</v>
      </c>
      <c r="EQ77" t="str">
        <f>AND(#REF!,"AAAAAD35f5I=")</f>
        <v>#REF!</v>
      </c>
      <c r="ER77" t="str">
        <f>AND(#REF!,"AAAAAD35f5M=")</f>
        <v>#REF!</v>
      </c>
      <c r="ES77" t="str">
        <f>AND(#REF!,"AAAAAD35f5Q=")</f>
        <v>#REF!</v>
      </c>
      <c r="ET77" t="str">
        <f>AND(#REF!,"AAAAAD35f5U=")</f>
        <v>#REF!</v>
      </c>
      <c r="EU77" t="str">
        <f>AND(#REF!,"AAAAAD35f5Y=")</f>
        <v>#REF!</v>
      </c>
      <c r="EV77" t="str">
        <f>AND(#REF!,"AAAAAD35f5c=")</f>
        <v>#REF!</v>
      </c>
      <c r="EW77" t="str">
        <f>AND(#REF!,"AAAAAD35f5g=")</f>
        <v>#REF!</v>
      </c>
      <c r="EX77" t="str">
        <f>AND(#REF!,"AAAAAD35f5k=")</f>
        <v>#REF!</v>
      </c>
      <c r="EY77" t="str">
        <f>AND(#REF!,"AAAAAD35f5o=")</f>
        <v>#REF!</v>
      </c>
      <c r="EZ77" t="str">
        <f>AND(#REF!,"AAAAAD35f5s=")</f>
        <v>#REF!</v>
      </c>
      <c r="FA77" t="str">
        <f>AND(#REF!,"AAAAAD35f5w=")</f>
        <v>#REF!</v>
      </c>
      <c r="FB77" t="str">
        <f>AND(#REF!,"AAAAAD35f50=")</f>
        <v>#REF!</v>
      </c>
      <c r="FC77" t="str">
        <f>AND(#REF!,"AAAAAD35f54=")</f>
        <v>#REF!</v>
      </c>
      <c r="FD77" t="str">
        <f>AND(#REF!,"AAAAAD35f58=")</f>
        <v>#REF!</v>
      </c>
      <c r="FE77" t="str">
        <f>AND(#REF!,"AAAAAD35f6A=")</f>
        <v>#REF!</v>
      </c>
      <c r="FF77" t="str">
        <f>AND(#REF!,"AAAAAD35f6E=")</f>
        <v>#REF!</v>
      </c>
      <c r="FG77" t="str">
        <f>AND(#REF!,"AAAAAD35f6I=")</f>
        <v>#REF!</v>
      </c>
      <c r="FH77" t="str">
        <f>AND(#REF!,"AAAAAD35f6M=")</f>
        <v>#REF!</v>
      </c>
      <c r="FI77" t="str">
        <f>AND(#REF!,"AAAAAD35f6Q=")</f>
        <v>#REF!</v>
      </c>
      <c r="FJ77" t="str">
        <f>AND(#REF!,"AAAAAD35f6U=")</f>
        <v>#REF!</v>
      </c>
      <c r="FK77" t="str">
        <f>AND(#REF!,"AAAAAD35f6Y=")</f>
        <v>#REF!</v>
      </c>
      <c r="FL77" t="str">
        <f>AND(#REF!,"AAAAAD35f6c=")</f>
        <v>#REF!</v>
      </c>
      <c r="FM77" t="str">
        <f>AND(#REF!,"AAAAAD35f6g=")</f>
        <v>#REF!</v>
      </c>
      <c r="FN77" t="str">
        <f>AND(#REF!,"AAAAAD35f6k=")</f>
        <v>#REF!</v>
      </c>
      <c r="FO77" t="str">
        <f>AND(#REF!,"AAAAAD35f6o=")</f>
        <v>#REF!</v>
      </c>
      <c r="FP77" t="str">
        <f>AND(#REF!,"AAAAAD35f6s=")</f>
        <v>#REF!</v>
      </c>
      <c r="FQ77" t="str">
        <f>AND(#REF!,"AAAAAD35f6w=")</f>
        <v>#REF!</v>
      </c>
      <c r="FR77" t="str">
        <f>AND(#REF!,"AAAAAD35f60=")</f>
        <v>#REF!</v>
      </c>
      <c r="FS77" t="str">
        <f>AND(#REF!,"AAAAAD35f64=")</f>
        <v>#REF!</v>
      </c>
      <c r="FT77" t="str">
        <f>AND(#REF!,"AAAAAD35f68=")</f>
        <v>#REF!</v>
      </c>
      <c r="FU77" t="str">
        <f>AND(#REF!,"AAAAAD35f7A=")</f>
        <v>#REF!</v>
      </c>
      <c r="FV77" t="str">
        <f>AND(#REF!,"AAAAAD35f7E=")</f>
        <v>#REF!</v>
      </c>
      <c r="FW77" t="str">
        <f>AND(#REF!,"AAAAAD35f7I=")</f>
        <v>#REF!</v>
      </c>
      <c r="FX77" t="str">
        <f>AND(#REF!,"AAAAAD35f7M=")</f>
        <v>#REF!</v>
      </c>
      <c r="FY77" t="str">
        <f>AND(#REF!,"AAAAAD35f7Q=")</f>
        <v>#REF!</v>
      </c>
      <c r="FZ77" t="str">
        <f>AND(#REF!,"AAAAAD35f7U=")</f>
        <v>#REF!</v>
      </c>
      <c r="GA77" t="str">
        <f>AND(#REF!,"AAAAAD35f7Y=")</f>
        <v>#REF!</v>
      </c>
      <c r="GB77" t="str">
        <f>AND(#REF!,"AAAAAD35f7c=")</f>
        <v>#REF!</v>
      </c>
      <c r="GC77" t="str">
        <f>AND(#REF!,"AAAAAD35f7g=")</f>
        <v>#REF!</v>
      </c>
      <c r="GD77" t="str">
        <f>AND(#REF!,"AAAAAD35f7k=")</f>
        <v>#REF!</v>
      </c>
      <c r="GE77" t="str">
        <f>AND(#REF!,"AAAAAD35f7o=")</f>
        <v>#REF!</v>
      </c>
      <c r="GF77" t="str">
        <f>AND(#REF!,"AAAAAD35f7s=")</f>
        <v>#REF!</v>
      </c>
      <c r="GG77" t="str">
        <f>AND(#REF!,"AAAAAD35f7w=")</f>
        <v>#REF!</v>
      </c>
      <c r="GH77" t="str">
        <f>AND(#REF!,"AAAAAD35f70=")</f>
        <v>#REF!</v>
      </c>
      <c r="GI77" t="str">
        <f>AND(#REF!,"AAAAAD35f74=")</f>
        <v>#REF!</v>
      </c>
      <c r="GJ77" t="str">
        <f>AND(#REF!,"AAAAAD35f78=")</f>
        <v>#REF!</v>
      </c>
      <c r="GK77" t="str">
        <f>AND(#REF!,"AAAAAD35f8A=")</f>
        <v>#REF!</v>
      </c>
      <c r="GL77" t="str">
        <f>AND(#REF!,"AAAAAD35f8E=")</f>
        <v>#REF!</v>
      </c>
      <c r="GM77" t="str">
        <f>AND(#REF!,"AAAAAD35f8I=")</f>
        <v>#REF!</v>
      </c>
      <c r="GN77" t="str">
        <f>AND(#REF!,"AAAAAD35f8M=")</f>
        <v>#REF!</v>
      </c>
      <c r="GO77" t="str">
        <f>AND(#REF!,"AAAAAD35f8Q=")</f>
        <v>#REF!</v>
      </c>
      <c r="GP77" t="str">
        <f>IF(#REF!,"AAAAAD35f8U=",0)</f>
        <v>#REF!</v>
      </c>
      <c r="GQ77" t="str">
        <f>AND(#REF!,"AAAAAD35f8Y=")</f>
        <v>#REF!</v>
      </c>
      <c r="GR77" t="str">
        <f>AND(#REF!,"AAAAAD35f8c=")</f>
        <v>#REF!</v>
      </c>
      <c r="GS77" t="str">
        <f>AND(#REF!,"AAAAAD35f8g=")</f>
        <v>#REF!</v>
      </c>
      <c r="GT77" t="str">
        <f>AND(#REF!,"AAAAAD35f8k=")</f>
        <v>#REF!</v>
      </c>
      <c r="GU77" t="str">
        <f>AND(#REF!,"AAAAAD35f8o=")</f>
        <v>#REF!</v>
      </c>
      <c r="GV77" t="str">
        <f>AND(#REF!,"AAAAAD35f8s=")</f>
        <v>#REF!</v>
      </c>
      <c r="GW77" t="str">
        <f>AND(#REF!,"AAAAAD35f8w=")</f>
        <v>#REF!</v>
      </c>
      <c r="GX77" t="str">
        <f>AND(#REF!,"AAAAAD35f80=")</f>
        <v>#REF!</v>
      </c>
      <c r="GY77" t="str">
        <f>AND(#REF!,"AAAAAD35f84=")</f>
        <v>#REF!</v>
      </c>
      <c r="GZ77" t="str">
        <f>AND(#REF!,"AAAAAD35f88=")</f>
        <v>#REF!</v>
      </c>
      <c r="HA77" t="str">
        <f>AND(#REF!,"AAAAAD35f9A=")</f>
        <v>#REF!</v>
      </c>
      <c r="HB77" t="str">
        <f>AND(#REF!,"AAAAAD35f9E=")</f>
        <v>#REF!</v>
      </c>
      <c r="HC77" t="str">
        <f>AND(#REF!,"AAAAAD35f9I=")</f>
        <v>#REF!</v>
      </c>
      <c r="HD77" t="str">
        <f>AND(#REF!,"AAAAAD35f9M=")</f>
        <v>#REF!</v>
      </c>
      <c r="HE77" t="str">
        <f>AND(#REF!,"AAAAAD35f9Q=")</f>
        <v>#REF!</v>
      </c>
      <c r="HF77" t="str">
        <f>AND(#REF!,"AAAAAD35f9U=")</f>
        <v>#REF!</v>
      </c>
      <c r="HG77" t="str">
        <f>AND(#REF!,"AAAAAD35f9Y=")</f>
        <v>#REF!</v>
      </c>
      <c r="HH77" t="str">
        <f>AND(#REF!,"AAAAAD35f9c=")</f>
        <v>#REF!</v>
      </c>
      <c r="HI77" t="str">
        <f>AND(#REF!,"AAAAAD35f9g=")</f>
        <v>#REF!</v>
      </c>
      <c r="HJ77" t="str">
        <f>AND(#REF!,"AAAAAD35f9k=")</f>
        <v>#REF!</v>
      </c>
      <c r="HK77" t="str">
        <f>AND(#REF!,"AAAAAD35f9o=")</f>
        <v>#REF!</v>
      </c>
      <c r="HL77" t="str">
        <f>AND(#REF!,"AAAAAD35f9s=")</f>
        <v>#REF!</v>
      </c>
      <c r="HM77" t="str">
        <f>AND(#REF!,"AAAAAD35f9w=")</f>
        <v>#REF!</v>
      </c>
      <c r="HN77" t="str">
        <f>AND(#REF!,"AAAAAD35f90=")</f>
        <v>#REF!</v>
      </c>
      <c r="HO77" t="str">
        <f>AND(#REF!,"AAAAAD35f94=")</f>
        <v>#REF!</v>
      </c>
      <c r="HP77" t="str">
        <f>AND(#REF!,"AAAAAD35f98=")</f>
        <v>#REF!</v>
      </c>
      <c r="HQ77" t="str">
        <f>AND(#REF!,"AAAAAD35f+A=")</f>
        <v>#REF!</v>
      </c>
      <c r="HR77" t="str">
        <f>AND(#REF!,"AAAAAD35f+E=")</f>
        <v>#REF!</v>
      </c>
      <c r="HS77" t="str">
        <f>AND(#REF!,"AAAAAD35f+I=")</f>
        <v>#REF!</v>
      </c>
      <c r="HT77" t="str">
        <f>AND(#REF!,"AAAAAD35f+M=")</f>
        <v>#REF!</v>
      </c>
      <c r="HU77" t="str">
        <f>AND(#REF!,"AAAAAD35f+Q=")</f>
        <v>#REF!</v>
      </c>
      <c r="HV77" t="str">
        <f>AND(#REF!,"AAAAAD35f+U=")</f>
        <v>#REF!</v>
      </c>
      <c r="HW77" t="str">
        <f>AND(#REF!,"AAAAAD35f+Y=")</f>
        <v>#REF!</v>
      </c>
      <c r="HX77" t="str">
        <f>AND(#REF!,"AAAAAD35f+c=")</f>
        <v>#REF!</v>
      </c>
      <c r="HY77" t="str">
        <f>AND(#REF!,"AAAAAD35f+g=")</f>
        <v>#REF!</v>
      </c>
      <c r="HZ77" t="str">
        <f>AND(#REF!,"AAAAAD35f+k=")</f>
        <v>#REF!</v>
      </c>
      <c r="IA77" t="str">
        <f>AND(#REF!,"AAAAAD35f+o=")</f>
        <v>#REF!</v>
      </c>
      <c r="IB77" t="str">
        <f>AND(#REF!,"AAAAAD35f+s=")</f>
        <v>#REF!</v>
      </c>
      <c r="IC77" t="str">
        <f>AND(#REF!,"AAAAAD35f+w=")</f>
        <v>#REF!</v>
      </c>
      <c r="ID77" t="str">
        <f>AND(#REF!,"AAAAAD35f+0=")</f>
        <v>#REF!</v>
      </c>
      <c r="IE77" t="str">
        <f>AND(#REF!,"AAAAAD35f+4=")</f>
        <v>#REF!</v>
      </c>
      <c r="IF77" t="str">
        <f>AND(#REF!,"AAAAAD35f+8=")</f>
        <v>#REF!</v>
      </c>
      <c r="IG77" t="str">
        <f>AND(#REF!,"AAAAAD35f/A=")</f>
        <v>#REF!</v>
      </c>
      <c r="IH77" t="str">
        <f>AND(#REF!,"AAAAAD35f/E=")</f>
        <v>#REF!</v>
      </c>
      <c r="II77" t="str">
        <f>AND(#REF!,"AAAAAD35f/I=")</f>
        <v>#REF!</v>
      </c>
      <c r="IJ77" t="str">
        <f>AND(#REF!,"AAAAAD35f/M=")</f>
        <v>#REF!</v>
      </c>
      <c r="IK77" t="str">
        <f>AND(#REF!,"AAAAAD35f/Q=")</f>
        <v>#REF!</v>
      </c>
      <c r="IL77" t="str">
        <f>AND(#REF!,"AAAAAD35f/U=")</f>
        <v>#REF!</v>
      </c>
      <c r="IM77" t="str">
        <f>AND(#REF!,"AAAAAD35f/Y=")</f>
        <v>#REF!</v>
      </c>
      <c r="IN77" t="str">
        <f>AND(#REF!,"AAAAAD35f/c=")</f>
        <v>#REF!</v>
      </c>
      <c r="IO77" t="str">
        <f>AND(#REF!,"AAAAAD35f/g=")</f>
        <v>#REF!</v>
      </c>
      <c r="IP77" t="str">
        <f>AND(#REF!,"AAAAAD35f/k=")</f>
        <v>#REF!</v>
      </c>
      <c r="IQ77" t="str">
        <f>AND(#REF!,"AAAAAD35f/o=")</f>
        <v>#REF!</v>
      </c>
      <c r="IR77" t="str">
        <f>AND(#REF!,"AAAAAD35f/s=")</f>
        <v>#REF!</v>
      </c>
      <c r="IS77" t="str">
        <f>AND(#REF!,"AAAAAD35f/w=")</f>
        <v>#REF!</v>
      </c>
      <c r="IT77" t="str">
        <f>AND(#REF!,"AAAAAD35f/0=")</f>
        <v>#REF!</v>
      </c>
      <c r="IU77" t="str">
        <f>AND(#REF!,"AAAAAD35f/4=")</f>
        <v>#REF!</v>
      </c>
      <c r="IV77" t="str">
        <f>AND(#REF!,"AAAAAD35f/8=")</f>
        <v>#REF!</v>
      </c>
    </row>
    <row r="78" ht="15.75" customHeight="1">
      <c r="A78" t="str">
        <f>AND(#REF!,"AAAAAGEn/wA=")</f>
        <v>#REF!</v>
      </c>
      <c r="B78" t="str">
        <f>AND(#REF!,"AAAAAGEn/wE=")</f>
        <v>#REF!</v>
      </c>
      <c r="C78" t="str">
        <f>AND(#REF!,"AAAAAGEn/wI=")</f>
        <v>#REF!</v>
      </c>
      <c r="D78" t="str">
        <f>AND(#REF!,"AAAAAGEn/wM=")</f>
        <v>#REF!</v>
      </c>
      <c r="E78" t="str">
        <f>AND(#REF!,"AAAAAGEn/wQ=")</f>
        <v>#REF!</v>
      </c>
      <c r="F78" t="str">
        <f>AND(#REF!,"AAAAAGEn/wU=")</f>
        <v>#REF!</v>
      </c>
      <c r="G78" t="str">
        <f>AND(#REF!,"AAAAAGEn/wY=")</f>
        <v>#REF!</v>
      </c>
      <c r="H78" t="str">
        <f>AND(#REF!,"AAAAAGEn/wc=")</f>
        <v>#REF!</v>
      </c>
      <c r="I78" t="str">
        <f>AND(#REF!,"AAAAAGEn/wg=")</f>
        <v>#REF!</v>
      </c>
      <c r="J78" t="str">
        <f>AND(#REF!,"AAAAAGEn/wk=")</f>
        <v>#REF!</v>
      </c>
      <c r="K78" t="str">
        <f>AND(#REF!,"AAAAAGEn/wo=")</f>
        <v>#REF!</v>
      </c>
      <c r="L78" t="str">
        <f>AND(#REF!,"AAAAAGEn/ws=")</f>
        <v>#REF!</v>
      </c>
      <c r="M78" t="str">
        <f>AND(#REF!,"AAAAAGEn/ww=")</f>
        <v>#REF!</v>
      </c>
      <c r="N78" t="str">
        <f>AND(#REF!,"AAAAAGEn/w0=")</f>
        <v>#REF!</v>
      </c>
      <c r="O78" t="str">
        <f>AND(#REF!,"AAAAAGEn/w4=")</f>
        <v>#REF!</v>
      </c>
      <c r="P78" t="str">
        <f>AND(#REF!,"AAAAAGEn/w8=")</f>
        <v>#REF!</v>
      </c>
      <c r="Q78" t="str">
        <f>AND(#REF!,"AAAAAGEn/xA=")</f>
        <v>#REF!</v>
      </c>
      <c r="R78" t="str">
        <f>IF(#REF!,"AAAAAGEn/xE=",0)</f>
        <v>#REF!</v>
      </c>
      <c r="S78" t="str">
        <f>AND(#REF!,"AAAAAGEn/xI=")</f>
        <v>#REF!</v>
      </c>
      <c r="T78" t="str">
        <f>AND(#REF!,"AAAAAGEn/xM=")</f>
        <v>#REF!</v>
      </c>
      <c r="U78" t="str">
        <f>AND(#REF!,"AAAAAGEn/xQ=")</f>
        <v>#REF!</v>
      </c>
      <c r="V78" t="str">
        <f>AND(#REF!,"AAAAAGEn/xU=")</f>
        <v>#REF!</v>
      </c>
      <c r="W78" t="str">
        <f>AND(#REF!,"AAAAAGEn/xY=")</f>
        <v>#REF!</v>
      </c>
      <c r="X78" t="str">
        <f>AND(#REF!,"AAAAAGEn/xc=")</f>
        <v>#REF!</v>
      </c>
      <c r="Y78" t="str">
        <f>AND(#REF!,"AAAAAGEn/xg=")</f>
        <v>#REF!</v>
      </c>
      <c r="Z78" t="str">
        <f>AND(#REF!,"AAAAAGEn/xk=")</f>
        <v>#REF!</v>
      </c>
      <c r="AA78" t="str">
        <f>AND(#REF!,"AAAAAGEn/xo=")</f>
        <v>#REF!</v>
      </c>
      <c r="AB78" t="str">
        <f>AND(#REF!,"AAAAAGEn/xs=")</f>
        <v>#REF!</v>
      </c>
      <c r="AC78" t="str">
        <f>AND(#REF!,"AAAAAGEn/xw=")</f>
        <v>#REF!</v>
      </c>
      <c r="AD78" t="str">
        <f>AND(#REF!,"AAAAAGEn/x0=")</f>
        <v>#REF!</v>
      </c>
      <c r="AE78" t="str">
        <f>AND(#REF!,"AAAAAGEn/x4=")</f>
        <v>#REF!</v>
      </c>
      <c r="AF78" t="str">
        <f>AND(#REF!,"AAAAAGEn/x8=")</f>
        <v>#REF!</v>
      </c>
      <c r="AG78" t="str">
        <f>AND(#REF!,"AAAAAGEn/yA=")</f>
        <v>#REF!</v>
      </c>
      <c r="AH78" t="str">
        <f>AND(#REF!,"AAAAAGEn/yE=")</f>
        <v>#REF!</v>
      </c>
      <c r="AI78" t="str">
        <f>AND(#REF!,"AAAAAGEn/yI=")</f>
        <v>#REF!</v>
      </c>
      <c r="AJ78" t="str">
        <f>AND(#REF!,"AAAAAGEn/yM=")</f>
        <v>#REF!</v>
      </c>
      <c r="AK78" t="str">
        <f>AND(#REF!,"AAAAAGEn/yQ=")</f>
        <v>#REF!</v>
      </c>
      <c r="AL78" t="str">
        <f>AND(#REF!,"AAAAAGEn/yU=")</f>
        <v>#REF!</v>
      </c>
      <c r="AM78" t="str">
        <f>AND(#REF!,"AAAAAGEn/yY=")</f>
        <v>#REF!</v>
      </c>
      <c r="AN78" t="str">
        <f>AND(#REF!,"AAAAAGEn/yc=")</f>
        <v>#REF!</v>
      </c>
      <c r="AO78" t="str">
        <f>AND(#REF!,"AAAAAGEn/yg=")</f>
        <v>#REF!</v>
      </c>
      <c r="AP78" t="str">
        <f>AND(#REF!,"AAAAAGEn/yk=")</f>
        <v>#REF!</v>
      </c>
      <c r="AQ78" t="str">
        <f>AND(#REF!,"AAAAAGEn/yo=")</f>
        <v>#REF!</v>
      </c>
      <c r="AR78" t="str">
        <f>AND(#REF!,"AAAAAGEn/ys=")</f>
        <v>#REF!</v>
      </c>
      <c r="AS78" t="str">
        <f>AND(#REF!,"AAAAAGEn/yw=")</f>
        <v>#REF!</v>
      </c>
      <c r="AT78" t="str">
        <f>AND(#REF!,"AAAAAGEn/y0=")</f>
        <v>#REF!</v>
      </c>
      <c r="AU78" t="str">
        <f>AND(#REF!,"AAAAAGEn/y4=")</f>
        <v>#REF!</v>
      </c>
      <c r="AV78" t="str">
        <f>AND(#REF!,"AAAAAGEn/y8=")</f>
        <v>#REF!</v>
      </c>
      <c r="AW78" t="str">
        <f>AND(#REF!,"AAAAAGEn/zA=")</f>
        <v>#REF!</v>
      </c>
      <c r="AX78" t="str">
        <f>AND(#REF!,"AAAAAGEn/zE=")</f>
        <v>#REF!</v>
      </c>
      <c r="AY78" t="str">
        <f>AND(#REF!,"AAAAAGEn/zI=")</f>
        <v>#REF!</v>
      </c>
      <c r="AZ78" t="str">
        <f>AND(#REF!,"AAAAAGEn/zM=")</f>
        <v>#REF!</v>
      </c>
      <c r="BA78" t="str">
        <f>AND(#REF!,"AAAAAGEn/zQ=")</f>
        <v>#REF!</v>
      </c>
      <c r="BB78" t="str">
        <f>AND(#REF!,"AAAAAGEn/zU=")</f>
        <v>#REF!</v>
      </c>
      <c r="BC78" t="str">
        <f>AND(#REF!,"AAAAAGEn/zY=")</f>
        <v>#REF!</v>
      </c>
      <c r="BD78" t="str">
        <f>AND(#REF!,"AAAAAGEn/zc=")</f>
        <v>#REF!</v>
      </c>
      <c r="BE78" t="str">
        <f>AND(#REF!,"AAAAAGEn/zg=")</f>
        <v>#REF!</v>
      </c>
      <c r="BF78" t="str">
        <f>AND(#REF!,"AAAAAGEn/zk=")</f>
        <v>#REF!</v>
      </c>
      <c r="BG78" t="str">
        <f>AND(#REF!,"AAAAAGEn/zo=")</f>
        <v>#REF!</v>
      </c>
      <c r="BH78" t="str">
        <f>AND(#REF!,"AAAAAGEn/zs=")</f>
        <v>#REF!</v>
      </c>
      <c r="BI78" t="str">
        <f>AND(#REF!,"AAAAAGEn/zw=")</f>
        <v>#REF!</v>
      </c>
      <c r="BJ78" t="str">
        <f>AND(#REF!,"AAAAAGEn/z0=")</f>
        <v>#REF!</v>
      </c>
      <c r="BK78" t="str">
        <f>AND(#REF!,"AAAAAGEn/z4=")</f>
        <v>#REF!</v>
      </c>
      <c r="BL78" t="str">
        <f>AND(#REF!,"AAAAAGEn/z8=")</f>
        <v>#REF!</v>
      </c>
      <c r="BM78" t="str">
        <f>AND(#REF!,"AAAAAGEn/0A=")</f>
        <v>#REF!</v>
      </c>
      <c r="BN78" t="str">
        <f>AND(#REF!,"AAAAAGEn/0E=")</f>
        <v>#REF!</v>
      </c>
      <c r="BO78" t="str">
        <f>AND(#REF!,"AAAAAGEn/0I=")</f>
        <v>#REF!</v>
      </c>
      <c r="BP78" t="str">
        <f>AND(#REF!,"AAAAAGEn/0M=")</f>
        <v>#REF!</v>
      </c>
      <c r="BQ78" t="str">
        <f>AND(#REF!,"AAAAAGEn/0Q=")</f>
        <v>#REF!</v>
      </c>
      <c r="BR78" t="str">
        <f>AND(#REF!,"AAAAAGEn/0U=")</f>
        <v>#REF!</v>
      </c>
      <c r="BS78" t="str">
        <f>AND(#REF!,"AAAAAGEn/0Y=")</f>
        <v>#REF!</v>
      </c>
      <c r="BT78" t="str">
        <f>AND(#REF!,"AAAAAGEn/0c=")</f>
        <v>#REF!</v>
      </c>
      <c r="BU78" t="str">
        <f>AND(#REF!,"AAAAAGEn/0g=")</f>
        <v>#REF!</v>
      </c>
      <c r="BV78" t="str">
        <f>AND(#REF!,"AAAAAGEn/0k=")</f>
        <v>#REF!</v>
      </c>
      <c r="BW78" t="str">
        <f>AND(#REF!,"AAAAAGEn/0o=")</f>
        <v>#REF!</v>
      </c>
      <c r="BX78" t="str">
        <f>AND(#REF!,"AAAAAGEn/0s=")</f>
        <v>#REF!</v>
      </c>
      <c r="BY78" t="str">
        <f>AND(#REF!,"AAAAAGEn/0w=")</f>
        <v>#REF!</v>
      </c>
      <c r="BZ78" t="str">
        <f>AND(#REF!,"AAAAAGEn/00=")</f>
        <v>#REF!</v>
      </c>
      <c r="CA78" t="str">
        <f>AND(#REF!,"AAAAAGEn/04=")</f>
        <v>#REF!</v>
      </c>
      <c r="CB78" t="str">
        <f>AND(#REF!,"AAAAAGEn/08=")</f>
        <v>#REF!</v>
      </c>
      <c r="CC78" t="str">
        <f>AND(#REF!,"AAAAAGEn/1A=")</f>
        <v>#REF!</v>
      </c>
      <c r="CD78" t="str">
        <f>AND(#REF!,"AAAAAGEn/1E=")</f>
        <v>#REF!</v>
      </c>
      <c r="CE78" t="str">
        <f>AND(#REF!,"AAAAAGEn/1I=")</f>
        <v>#REF!</v>
      </c>
      <c r="CF78" t="str">
        <f>AND(#REF!,"AAAAAGEn/1M=")</f>
        <v>#REF!</v>
      </c>
      <c r="CG78" t="str">
        <f>AND(#REF!,"AAAAAGEn/1Q=")</f>
        <v>#REF!</v>
      </c>
      <c r="CH78" t="str">
        <f>AND(#REF!,"AAAAAGEn/1U=")</f>
        <v>#REF!</v>
      </c>
      <c r="CI78" t="str">
        <f>AND(#REF!,"AAAAAGEn/1Y=")</f>
        <v>#REF!</v>
      </c>
      <c r="CJ78" t="str">
        <f>AND(#REF!,"AAAAAGEn/1c=")</f>
        <v>#REF!</v>
      </c>
      <c r="CK78" t="str">
        <f>AND(#REF!,"AAAAAGEn/1g=")</f>
        <v>#REF!</v>
      </c>
      <c r="CL78" t="str">
        <f>AND(#REF!,"AAAAAGEn/1k=")</f>
        <v>#REF!</v>
      </c>
      <c r="CM78" t="str">
        <f>AND(#REF!,"AAAAAGEn/1o=")</f>
        <v>#REF!</v>
      </c>
      <c r="CN78" t="str">
        <f>AND(#REF!,"AAAAAGEn/1s=")</f>
        <v>#REF!</v>
      </c>
      <c r="CO78" t="str">
        <f>AND(#REF!,"AAAAAGEn/1w=")</f>
        <v>#REF!</v>
      </c>
      <c r="CP78" t="str">
        <f>IF(#REF!,"AAAAAGEn/10=",0)</f>
        <v>#REF!</v>
      </c>
      <c r="CQ78" t="str">
        <f>AND(#REF!,"AAAAAGEn/14=")</f>
        <v>#REF!</v>
      </c>
      <c r="CR78" t="str">
        <f>AND(#REF!,"AAAAAGEn/18=")</f>
        <v>#REF!</v>
      </c>
      <c r="CS78" t="str">
        <f>AND(#REF!,"AAAAAGEn/2A=")</f>
        <v>#REF!</v>
      </c>
      <c r="CT78" t="str">
        <f>AND(#REF!,"AAAAAGEn/2E=")</f>
        <v>#REF!</v>
      </c>
      <c r="CU78" t="str">
        <f>AND(#REF!,"AAAAAGEn/2I=")</f>
        <v>#REF!</v>
      </c>
      <c r="CV78" t="str">
        <f>AND(#REF!,"AAAAAGEn/2M=")</f>
        <v>#REF!</v>
      </c>
      <c r="CW78" t="str">
        <f>AND(#REF!,"AAAAAGEn/2Q=")</f>
        <v>#REF!</v>
      </c>
      <c r="CX78" t="str">
        <f>AND(#REF!,"AAAAAGEn/2U=")</f>
        <v>#REF!</v>
      </c>
      <c r="CY78" t="str">
        <f>AND(#REF!,"AAAAAGEn/2Y=")</f>
        <v>#REF!</v>
      </c>
      <c r="CZ78" t="str">
        <f>AND(#REF!,"AAAAAGEn/2c=")</f>
        <v>#REF!</v>
      </c>
      <c r="DA78" t="str">
        <f>AND(#REF!,"AAAAAGEn/2g=")</f>
        <v>#REF!</v>
      </c>
      <c r="DB78" t="str">
        <f>AND(#REF!,"AAAAAGEn/2k=")</f>
        <v>#REF!</v>
      </c>
      <c r="DC78" t="str">
        <f>AND(#REF!,"AAAAAGEn/2o=")</f>
        <v>#REF!</v>
      </c>
      <c r="DD78" t="str">
        <f>AND(#REF!,"AAAAAGEn/2s=")</f>
        <v>#REF!</v>
      </c>
      <c r="DE78" t="str">
        <f>AND(#REF!,"AAAAAGEn/2w=")</f>
        <v>#REF!</v>
      </c>
      <c r="DF78" t="str">
        <f>AND(#REF!,"AAAAAGEn/20=")</f>
        <v>#REF!</v>
      </c>
      <c r="DG78" t="str">
        <f>AND(#REF!,"AAAAAGEn/24=")</f>
        <v>#REF!</v>
      </c>
      <c r="DH78" t="str">
        <f>AND(#REF!,"AAAAAGEn/28=")</f>
        <v>#REF!</v>
      </c>
      <c r="DI78" t="str">
        <f>AND(#REF!,"AAAAAGEn/3A=")</f>
        <v>#REF!</v>
      </c>
      <c r="DJ78" t="str">
        <f>AND(#REF!,"AAAAAGEn/3E=")</f>
        <v>#REF!</v>
      </c>
      <c r="DK78" t="str">
        <f>AND(#REF!,"AAAAAGEn/3I=")</f>
        <v>#REF!</v>
      </c>
      <c r="DL78" t="str">
        <f>AND(#REF!,"AAAAAGEn/3M=")</f>
        <v>#REF!</v>
      </c>
      <c r="DM78" t="str">
        <f>AND(#REF!,"AAAAAGEn/3Q=")</f>
        <v>#REF!</v>
      </c>
      <c r="DN78" t="str">
        <f>AND(#REF!,"AAAAAGEn/3U=")</f>
        <v>#REF!</v>
      </c>
      <c r="DO78" t="str">
        <f>AND(#REF!,"AAAAAGEn/3Y=")</f>
        <v>#REF!</v>
      </c>
      <c r="DP78" t="str">
        <f>AND(#REF!,"AAAAAGEn/3c=")</f>
        <v>#REF!</v>
      </c>
      <c r="DQ78" t="str">
        <f>AND(#REF!,"AAAAAGEn/3g=")</f>
        <v>#REF!</v>
      </c>
      <c r="DR78" t="str">
        <f>AND(#REF!,"AAAAAGEn/3k=")</f>
        <v>#REF!</v>
      </c>
      <c r="DS78" t="str">
        <f>AND(#REF!,"AAAAAGEn/3o=")</f>
        <v>#REF!</v>
      </c>
      <c r="DT78" t="str">
        <f>AND(#REF!,"AAAAAGEn/3s=")</f>
        <v>#REF!</v>
      </c>
      <c r="DU78" t="str">
        <f>AND(#REF!,"AAAAAGEn/3w=")</f>
        <v>#REF!</v>
      </c>
      <c r="DV78" t="str">
        <f>AND(#REF!,"AAAAAGEn/30=")</f>
        <v>#REF!</v>
      </c>
      <c r="DW78" t="str">
        <f>AND(#REF!,"AAAAAGEn/34=")</f>
        <v>#REF!</v>
      </c>
      <c r="DX78" t="str">
        <f>AND(#REF!,"AAAAAGEn/38=")</f>
        <v>#REF!</v>
      </c>
      <c r="DY78" t="str">
        <f>AND(#REF!,"AAAAAGEn/4A=")</f>
        <v>#REF!</v>
      </c>
      <c r="DZ78" t="str">
        <f>AND(#REF!,"AAAAAGEn/4E=")</f>
        <v>#REF!</v>
      </c>
      <c r="EA78" t="str">
        <f>AND(#REF!,"AAAAAGEn/4I=")</f>
        <v>#REF!</v>
      </c>
      <c r="EB78" t="str">
        <f>AND(#REF!,"AAAAAGEn/4M=")</f>
        <v>#REF!</v>
      </c>
      <c r="EC78" t="str">
        <f>AND(#REF!,"AAAAAGEn/4Q=")</f>
        <v>#REF!</v>
      </c>
      <c r="ED78" t="str">
        <f>AND(#REF!,"AAAAAGEn/4U=")</f>
        <v>#REF!</v>
      </c>
      <c r="EE78" t="str">
        <f>AND(#REF!,"AAAAAGEn/4Y=")</f>
        <v>#REF!</v>
      </c>
      <c r="EF78" t="str">
        <f>AND(#REF!,"AAAAAGEn/4c=")</f>
        <v>#REF!</v>
      </c>
      <c r="EG78" t="str">
        <f>AND(#REF!,"AAAAAGEn/4g=")</f>
        <v>#REF!</v>
      </c>
      <c r="EH78" t="str">
        <f>AND(#REF!,"AAAAAGEn/4k=")</f>
        <v>#REF!</v>
      </c>
      <c r="EI78" t="str">
        <f>AND(#REF!,"AAAAAGEn/4o=")</f>
        <v>#REF!</v>
      </c>
      <c r="EJ78" t="str">
        <f>AND(#REF!,"AAAAAGEn/4s=")</f>
        <v>#REF!</v>
      </c>
      <c r="EK78" t="str">
        <f>AND(#REF!,"AAAAAGEn/4w=")</f>
        <v>#REF!</v>
      </c>
      <c r="EL78" t="str">
        <f>AND(#REF!,"AAAAAGEn/40=")</f>
        <v>#REF!</v>
      </c>
      <c r="EM78" t="str">
        <f>AND(#REF!,"AAAAAGEn/44=")</f>
        <v>#REF!</v>
      </c>
      <c r="EN78" t="str">
        <f>AND(#REF!,"AAAAAGEn/48=")</f>
        <v>#REF!</v>
      </c>
      <c r="EO78" t="str">
        <f>AND(#REF!,"AAAAAGEn/5A=")</f>
        <v>#REF!</v>
      </c>
      <c r="EP78" t="str">
        <f>AND(#REF!,"AAAAAGEn/5E=")</f>
        <v>#REF!</v>
      </c>
      <c r="EQ78" t="str">
        <f>AND(#REF!,"AAAAAGEn/5I=")</f>
        <v>#REF!</v>
      </c>
      <c r="ER78" t="str">
        <f>AND(#REF!,"AAAAAGEn/5M=")</f>
        <v>#REF!</v>
      </c>
      <c r="ES78" t="str">
        <f>AND(#REF!,"AAAAAGEn/5Q=")</f>
        <v>#REF!</v>
      </c>
      <c r="ET78" t="str">
        <f>AND(#REF!,"AAAAAGEn/5U=")</f>
        <v>#REF!</v>
      </c>
      <c r="EU78" t="str">
        <f>AND(#REF!,"AAAAAGEn/5Y=")</f>
        <v>#REF!</v>
      </c>
      <c r="EV78" t="str">
        <f>AND(#REF!,"AAAAAGEn/5c=")</f>
        <v>#REF!</v>
      </c>
      <c r="EW78" t="str">
        <f>AND(#REF!,"AAAAAGEn/5g=")</f>
        <v>#REF!</v>
      </c>
      <c r="EX78" t="str">
        <f>AND(#REF!,"AAAAAGEn/5k=")</f>
        <v>#REF!</v>
      </c>
      <c r="EY78" t="str">
        <f>AND(#REF!,"AAAAAGEn/5o=")</f>
        <v>#REF!</v>
      </c>
      <c r="EZ78" t="str">
        <f>AND(#REF!,"AAAAAGEn/5s=")</f>
        <v>#REF!</v>
      </c>
      <c r="FA78" t="str">
        <f>AND(#REF!,"AAAAAGEn/5w=")</f>
        <v>#REF!</v>
      </c>
      <c r="FB78" t="str">
        <f>AND(#REF!,"AAAAAGEn/50=")</f>
        <v>#REF!</v>
      </c>
      <c r="FC78" t="str">
        <f>AND(#REF!,"AAAAAGEn/54=")</f>
        <v>#REF!</v>
      </c>
      <c r="FD78" t="str">
        <f>AND(#REF!,"AAAAAGEn/58=")</f>
        <v>#REF!</v>
      </c>
      <c r="FE78" t="str">
        <f>AND(#REF!,"AAAAAGEn/6A=")</f>
        <v>#REF!</v>
      </c>
      <c r="FF78" t="str">
        <f>AND(#REF!,"AAAAAGEn/6E=")</f>
        <v>#REF!</v>
      </c>
      <c r="FG78" t="str">
        <f>AND(#REF!,"AAAAAGEn/6I=")</f>
        <v>#REF!</v>
      </c>
      <c r="FH78" t="str">
        <f>AND(#REF!,"AAAAAGEn/6M=")</f>
        <v>#REF!</v>
      </c>
      <c r="FI78" t="str">
        <f>AND(#REF!,"AAAAAGEn/6Q=")</f>
        <v>#REF!</v>
      </c>
      <c r="FJ78" t="str">
        <f>AND(#REF!,"AAAAAGEn/6U=")</f>
        <v>#REF!</v>
      </c>
      <c r="FK78" t="str">
        <f>AND(#REF!,"AAAAAGEn/6Y=")</f>
        <v>#REF!</v>
      </c>
      <c r="FL78" t="str">
        <f>AND(#REF!,"AAAAAGEn/6c=")</f>
        <v>#REF!</v>
      </c>
      <c r="FM78" t="str">
        <f>AND(#REF!,"AAAAAGEn/6g=")</f>
        <v>#REF!</v>
      </c>
      <c r="FN78" t="str">
        <f>IF(#REF!,"AAAAAGEn/6k=",0)</f>
        <v>#REF!</v>
      </c>
      <c r="FO78" t="str">
        <f>AND(#REF!,"AAAAAGEn/6o=")</f>
        <v>#REF!</v>
      </c>
      <c r="FP78" t="str">
        <f>AND(#REF!,"AAAAAGEn/6s=")</f>
        <v>#REF!</v>
      </c>
      <c r="FQ78" t="str">
        <f>AND(#REF!,"AAAAAGEn/6w=")</f>
        <v>#REF!</v>
      </c>
      <c r="FR78" t="str">
        <f>AND(#REF!,"AAAAAGEn/60=")</f>
        <v>#REF!</v>
      </c>
      <c r="FS78" t="str">
        <f>AND(#REF!,"AAAAAGEn/64=")</f>
        <v>#REF!</v>
      </c>
      <c r="FT78" t="str">
        <f>AND(#REF!,"AAAAAGEn/68=")</f>
        <v>#REF!</v>
      </c>
      <c r="FU78" t="str">
        <f>AND(#REF!,"AAAAAGEn/7A=")</f>
        <v>#REF!</v>
      </c>
      <c r="FV78" t="str">
        <f>AND(#REF!,"AAAAAGEn/7E=")</f>
        <v>#REF!</v>
      </c>
      <c r="FW78" t="str">
        <f>AND(#REF!,"AAAAAGEn/7I=")</f>
        <v>#REF!</v>
      </c>
      <c r="FX78" t="str">
        <f>AND(#REF!,"AAAAAGEn/7M=")</f>
        <v>#REF!</v>
      </c>
      <c r="FY78" t="str">
        <f>AND(#REF!,"AAAAAGEn/7Q=")</f>
        <v>#REF!</v>
      </c>
      <c r="FZ78" t="str">
        <f>AND(#REF!,"AAAAAGEn/7U=")</f>
        <v>#REF!</v>
      </c>
      <c r="GA78" t="str">
        <f>AND(#REF!,"AAAAAGEn/7Y=")</f>
        <v>#REF!</v>
      </c>
      <c r="GB78" t="str">
        <f>AND(#REF!,"AAAAAGEn/7c=")</f>
        <v>#REF!</v>
      </c>
      <c r="GC78" t="str">
        <f>AND(#REF!,"AAAAAGEn/7g=")</f>
        <v>#REF!</v>
      </c>
      <c r="GD78" t="str">
        <f>AND(#REF!,"AAAAAGEn/7k=")</f>
        <v>#REF!</v>
      </c>
      <c r="GE78" t="str">
        <f>AND(#REF!,"AAAAAGEn/7o=")</f>
        <v>#REF!</v>
      </c>
      <c r="GF78" t="str">
        <f>AND(#REF!,"AAAAAGEn/7s=")</f>
        <v>#REF!</v>
      </c>
      <c r="GG78" t="str">
        <f>AND(#REF!,"AAAAAGEn/7w=")</f>
        <v>#REF!</v>
      </c>
      <c r="GH78" t="str">
        <f>AND(#REF!,"AAAAAGEn/70=")</f>
        <v>#REF!</v>
      </c>
      <c r="GI78" t="str">
        <f>AND(#REF!,"AAAAAGEn/74=")</f>
        <v>#REF!</v>
      </c>
      <c r="GJ78" t="str">
        <f>AND(#REF!,"AAAAAGEn/78=")</f>
        <v>#REF!</v>
      </c>
      <c r="GK78" t="str">
        <f>AND(#REF!,"AAAAAGEn/8A=")</f>
        <v>#REF!</v>
      </c>
      <c r="GL78" t="str">
        <f>AND(#REF!,"AAAAAGEn/8E=")</f>
        <v>#REF!</v>
      </c>
      <c r="GM78" t="str">
        <f>AND(#REF!,"AAAAAGEn/8I=")</f>
        <v>#REF!</v>
      </c>
      <c r="GN78" t="str">
        <f>AND(#REF!,"AAAAAGEn/8M=")</f>
        <v>#REF!</v>
      </c>
      <c r="GO78" t="str">
        <f>AND(#REF!,"AAAAAGEn/8Q=")</f>
        <v>#REF!</v>
      </c>
      <c r="GP78" t="str">
        <f>AND(#REF!,"AAAAAGEn/8U=")</f>
        <v>#REF!</v>
      </c>
      <c r="GQ78" t="str">
        <f>AND(#REF!,"AAAAAGEn/8Y=")</f>
        <v>#REF!</v>
      </c>
      <c r="GR78" t="str">
        <f>AND(#REF!,"AAAAAGEn/8c=")</f>
        <v>#REF!</v>
      </c>
      <c r="GS78" t="str">
        <f>AND(#REF!,"AAAAAGEn/8g=")</f>
        <v>#REF!</v>
      </c>
      <c r="GT78" t="str">
        <f>AND(#REF!,"AAAAAGEn/8k=")</f>
        <v>#REF!</v>
      </c>
      <c r="GU78" t="str">
        <f>AND(#REF!,"AAAAAGEn/8o=")</f>
        <v>#REF!</v>
      </c>
      <c r="GV78" t="str">
        <f>AND(#REF!,"AAAAAGEn/8s=")</f>
        <v>#REF!</v>
      </c>
      <c r="GW78" t="str">
        <f>AND(#REF!,"AAAAAGEn/8w=")</f>
        <v>#REF!</v>
      </c>
      <c r="GX78" t="str">
        <f>AND(#REF!,"AAAAAGEn/80=")</f>
        <v>#REF!</v>
      </c>
      <c r="GY78" t="str">
        <f>AND(#REF!,"AAAAAGEn/84=")</f>
        <v>#REF!</v>
      </c>
      <c r="GZ78" t="str">
        <f>AND(#REF!,"AAAAAGEn/88=")</f>
        <v>#REF!</v>
      </c>
      <c r="HA78" t="str">
        <f>AND(#REF!,"AAAAAGEn/9A=")</f>
        <v>#REF!</v>
      </c>
      <c r="HB78" t="str">
        <f>AND(#REF!,"AAAAAGEn/9E=")</f>
        <v>#REF!</v>
      </c>
      <c r="HC78" t="str">
        <f>AND(#REF!,"AAAAAGEn/9I=")</f>
        <v>#REF!</v>
      </c>
      <c r="HD78" t="str">
        <f>AND(#REF!,"AAAAAGEn/9M=")</f>
        <v>#REF!</v>
      </c>
      <c r="HE78" t="str">
        <f>AND(#REF!,"AAAAAGEn/9Q=")</f>
        <v>#REF!</v>
      </c>
      <c r="HF78" t="str">
        <f>AND(#REF!,"AAAAAGEn/9U=")</f>
        <v>#REF!</v>
      </c>
      <c r="HG78" t="str">
        <f>AND(#REF!,"AAAAAGEn/9Y=")</f>
        <v>#REF!</v>
      </c>
      <c r="HH78" t="str">
        <f>AND(#REF!,"AAAAAGEn/9c=")</f>
        <v>#REF!</v>
      </c>
      <c r="HI78" t="str">
        <f>AND(#REF!,"AAAAAGEn/9g=")</f>
        <v>#REF!</v>
      </c>
      <c r="HJ78" t="str">
        <f>AND(#REF!,"AAAAAGEn/9k=")</f>
        <v>#REF!</v>
      </c>
      <c r="HK78" t="str">
        <f>AND(#REF!,"AAAAAGEn/9o=")</f>
        <v>#REF!</v>
      </c>
      <c r="HL78" t="str">
        <f>AND(#REF!,"AAAAAGEn/9s=")</f>
        <v>#REF!</v>
      </c>
      <c r="HM78" t="str">
        <f>AND(#REF!,"AAAAAGEn/9w=")</f>
        <v>#REF!</v>
      </c>
      <c r="HN78" t="str">
        <f>AND(#REF!,"AAAAAGEn/90=")</f>
        <v>#REF!</v>
      </c>
      <c r="HO78" t="str">
        <f>AND(#REF!,"AAAAAGEn/94=")</f>
        <v>#REF!</v>
      </c>
      <c r="HP78" t="str">
        <f>AND(#REF!,"AAAAAGEn/98=")</f>
        <v>#REF!</v>
      </c>
      <c r="HQ78" t="str">
        <f>AND(#REF!,"AAAAAGEn/+A=")</f>
        <v>#REF!</v>
      </c>
      <c r="HR78" t="str">
        <f>AND(#REF!,"AAAAAGEn/+E=")</f>
        <v>#REF!</v>
      </c>
      <c r="HS78" t="str">
        <f>AND(#REF!,"AAAAAGEn/+I=")</f>
        <v>#REF!</v>
      </c>
      <c r="HT78" t="str">
        <f>AND(#REF!,"AAAAAGEn/+M=")</f>
        <v>#REF!</v>
      </c>
      <c r="HU78" t="str">
        <f>AND(#REF!,"AAAAAGEn/+Q=")</f>
        <v>#REF!</v>
      </c>
      <c r="HV78" t="str">
        <f>AND(#REF!,"AAAAAGEn/+U=")</f>
        <v>#REF!</v>
      </c>
      <c r="HW78" t="str">
        <f>AND(#REF!,"AAAAAGEn/+Y=")</f>
        <v>#REF!</v>
      </c>
      <c r="HX78" t="str">
        <f>AND(#REF!,"AAAAAGEn/+c=")</f>
        <v>#REF!</v>
      </c>
      <c r="HY78" t="str">
        <f>AND(#REF!,"AAAAAGEn/+g=")</f>
        <v>#REF!</v>
      </c>
      <c r="HZ78" t="str">
        <f>AND(#REF!,"AAAAAGEn/+k=")</f>
        <v>#REF!</v>
      </c>
      <c r="IA78" t="str">
        <f>AND(#REF!,"AAAAAGEn/+o=")</f>
        <v>#REF!</v>
      </c>
      <c r="IB78" t="str">
        <f>AND(#REF!,"AAAAAGEn/+s=")</f>
        <v>#REF!</v>
      </c>
      <c r="IC78" t="str">
        <f>AND(#REF!,"AAAAAGEn/+w=")</f>
        <v>#REF!</v>
      </c>
      <c r="ID78" t="str">
        <f>AND(#REF!,"AAAAAGEn/+0=")</f>
        <v>#REF!</v>
      </c>
      <c r="IE78" t="str">
        <f>AND(#REF!,"AAAAAGEn/+4=")</f>
        <v>#REF!</v>
      </c>
      <c r="IF78" t="str">
        <f>AND(#REF!,"AAAAAGEn/+8=")</f>
        <v>#REF!</v>
      </c>
      <c r="IG78" t="str">
        <f>AND(#REF!,"AAAAAGEn//A=")</f>
        <v>#REF!</v>
      </c>
      <c r="IH78" t="str">
        <f>AND(#REF!,"AAAAAGEn//E=")</f>
        <v>#REF!</v>
      </c>
      <c r="II78" t="str">
        <f>AND(#REF!,"AAAAAGEn//I=")</f>
        <v>#REF!</v>
      </c>
      <c r="IJ78" t="str">
        <f>AND(#REF!,"AAAAAGEn//M=")</f>
        <v>#REF!</v>
      </c>
      <c r="IK78" t="str">
        <f>AND(#REF!,"AAAAAGEn//Q=")</f>
        <v>#REF!</v>
      </c>
      <c r="IL78" t="str">
        <f>IF(#REF!,"AAAAAGEn//U=",0)</f>
        <v>#REF!</v>
      </c>
      <c r="IM78" t="str">
        <f>AND(#REF!,"AAAAAGEn//Y=")</f>
        <v>#REF!</v>
      </c>
      <c r="IN78" t="str">
        <f>AND(#REF!,"AAAAAGEn//c=")</f>
        <v>#REF!</v>
      </c>
      <c r="IO78" t="str">
        <f>AND(#REF!,"AAAAAGEn//g=")</f>
        <v>#REF!</v>
      </c>
      <c r="IP78" t="str">
        <f>AND(#REF!,"AAAAAGEn//k=")</f>
        <v>#REF!</v>
      </c>
      <c r="IQ78" t="str">
        <f>AND(#REF!,"AAAAAGEn//o=")</f>
        <v>#REF!</v>
      </c>
      <c r="IR78" t="str">
        <f>AND(#REF!,"AAAAAGEn//s=")</f>
        <v>#REF!</v>
      </c>
      <c r="IS78" t="str">
        <f>AND(#REF!,"AAAAAGEn//w=")</f>
        <v>#REF!</v>
      </c>
      <c r="IT78" t="str">
        <f>AND(#REF!,"AAAAAGEn//0=")</f>
        <v>#REF!</v>
      </c>
      <c r="IU78" t="str">
        <f>AND(#REF!,"AAAAAGEn//4=")</f>
        <v>#REF!</v>
      </c>
      <c r="IV78" t="str">
        <f>AND(#REF!,"AAAAAGEn//8=")</f>
        <v>#REF!</v>
      </c>
    </row>
    <row r="79" ht="15.75" customHeight="1">
      <c r="A79" t="str">
        <f>AND(#REF!,"AAAAAC7f/wA=")</f>
        <v>#REF!</v>
      </c>
      <c r="B79" t="str">
        <f>AND(#REF!,"AAAAAC7f/wE=")</f>
        <v>#REF!</v>
      </c>
      <c r="C79" t="str">
        <f>AND(#REF!,"AAAAAC7f/wI=")</f>
        <v>#REF!</v>
      </c>
      <c r="D79" t="str">
        <f>AND(#REF!,"AAAAAC7f/wM=")</f>
        <v>#REF!</v>
      </c>
      <c r="E79" t="str">
        <f>AND(#REF!,"AAAAAC7f/wQ=")</f>
        <v>#REF!</v>
      </c>
      <c r="F79" t="str">
        <f>AND(#REF!,"AAAAAC7f/wU=")</f>
        <v>#REF!</v>
      </c>
      <c r="G79" t="str">
        <f>AND(#REF!,"AAAAAC7f/wY=")</f>
        <v>#REF!</v>
      </c>
      <c r="H79" t="str">
        <f>AND(#REF!,"AAAAAC7f/wc=")</f>
        <v>#REF!</v>
      </c>
      <c r="I79" t="str">
        <f>AND(#REF!,"AAAAAC7f/wg=")</f>
        <v>#REF!</v>
      </c>
      <c r="J79" t="str">
        <f>AND(#REF!,"AAAAAC7f/wk=")</f>
        <v>#REF!</v>
      </c>
      <c r="K79" t="str">
        <f>AND(#REF!,"AAAAAC7f/wo=")</f>
        <v>#REF!</v>
      </c>
      <c r="L79" t="str">
        <f>AND(#REF!,"AAAAAC7f/ws=")</f>
        <v>#REF!</v>
      </c>
      <c r="M79" t="str">
        <f>AND(#REF!,"AAAAAC7f/ww=")</f>
        <v>#REF!</v>
      </c>
      <c r="N79" t="str">
        <f>AND(#REF!,"AAAAAC7f/w0=")</f>
        <v>#REF!</v>
      </c>
      <c r="O79" t="str">
        <f>AND(#REF!,"AAAAAC7f/w4=")</f>
        <v>#REF!</v>
      </c>
      <c r="P79" t="str">
        <f>AND(#REF!,"AAAAAC7f/w8=")</f>
        <v>#REF!</v>
      </c>
      <c r="Q79" t="str">
        <f>AND(#REF!,"AAAAAC7f/xA=")</f>
        <v>#REF!</v>
      </c>
      <c r="R79" t="str">
        <f>AND(#REF!,"AAAAAC7f/xE=")</f>
        <v>#REF!</v>
      </c>
      <c r="S79" t="str">
        <f>AND(#REF!,"AAAAAC7f/xI=")</f>
        <v>#REF!</v>
      </c>
      <c r="T79" t="str">
        <f>AND(#REF!,"AAAAAC7f/xM=")</f>
        <v>#REF!</v>
      </c>
      <c r="U79" t="str">
        <f>AND(#REF!,"AAAAAC7f/xQ=")</f>
        <v>#REF!</v>
      </c>
      <c r="V79" t="str">
        <f>AND(#REF!,"AAAAAC7f/xU=")</f>
        <v>#REF!</v>
      </c>
      <c r="W79" t="str">
        <f>AND(#REF!,"AAAAAC7f/xY=")</f>
        <v>#REF!</v>
      </c>
      <c r="X79" t="str">
        <f>AND(#REF!,"AAAAAC7f/xc=")</f>
        <v>#REF!</v>
      </c>
      <c r="Y79" t="str">
        <f>AND(#REF!,"AAAAAC7f/xg=")</f>
        <v>#REF!</v>
      </c>
      <c r="Z79" t="str">
        <f>AND(#REF!,"AAAAAC7f/xk=")</f>
        <v>#REF!</v>
      </c>
      <c r="AA79" t="str">
        <f>AND(#REF!,"AAAAAC7f/xo=")</f>
        <v>#REF!</v>
      </c>
      <c r="AB79" t="str">
        <f>AND(#REF!,"AAAAAC7f/xs=")</f>
        <v>#REF!</v>
      </c>
      <c r="AC79" t="str">
        <f>AND(#REF!,"AAAAAC7f/xw=")</f>
        <v>#REF!</v>
      </c>
      <c r="AD79" t="str">
        <f>AND(#REF!,"AAAAAC7f/x0=")</f>
        <v>#REF!</v>
      </c>
      <c r="AE79" t="str">
        <f>AND(#REF!,"AAAAAC7f/x4=")</f>
        <v>#REF!</v>
      </c>
      <c r="AF79" t="str">
        <f>AND(#REF!,"AAAAAC7f/x8=")</f>
        <v>#REF!</v>
      </c>
      <c r="AG79" t="str">
        <f>AND(#REF!,"AAAAAC7f/yA=")</f>
        <v>#REF!</v>
      </c>
      <c r="AH79" t="str">
        <f>AND(#REF!,"AAAAAC7f/yE=")</f>
        <v>#REF!</v>
      </c>
      <c r="AI79" t="str">
        <f>AND(#REF!,"AAAAAC7f/yI=")</f>
        <v>#REF!</v>
      </c>
      <c r="AJ79" t="str">
        <f>AND(#REF!,"AAAAAC7f/yM=")</f>
        <v>#REF!</v>
      </c>
      <c r="AK79" t="str">
        <f>AND(#REF!,"AAAAAC7f/yQ=")</f>
        <v>#REF!</v>
      </c>
      <c r="AL79" t="str">
        <f>AND(#REF!,"AAAAAC7f/yU=")</f>
        <v>#REF!</v>
      </c>
      <c r="AM79" t="str">
        <f>AND(#REF!,"AAAAAC7f/yY=")</f>
        <v>#REF!</v>
      </c>
      <c r="AN79" t="str">
        <f>AND(#REF!,"AAAAAC7f/yc=")</f>
        <v>#REF!</v>
      </c>
      <c r="AO79" t="str">
        <f>AND(#REF!,"AAAAAC7f/yg=")</f>
        <v>#REF!</v>
      </c>
      <c r="AP79" t="str">
        <f>AND(#REF!,"AAAAAC7f/yk=")</f>
        <v>#REF!</v>
      </c>
      <c r="AQ79" t="str">
        <f>AND(#REF!,"AAAAAC7f/yo=")</f>
        <v>#REF!</v>
      </c>
      <c r="AR79" t="str">
        <f>AND(#REF!,"AAAAAC7f/ys=")</f>
        <v>#REF!</v>
      </c>
      <c r="AS79" t="str">
        <f>AND(#REF!,"AAAAAC7f/yw=")</f>
        <v>#REF!</v>
      </c>
      <c r="AT79" t="str">
        <f>AND(#REF!,"AAAAAC7f/y0=")</f>
        <v>#REF!</v>
      </c>
      <c r="AU79" t="str">
        <f>AND(#REF!,"AAAAAC7f/y4=")</f>
        <v>#REF!</v>
      </c>
      <c r="AV79" t="str">
        <f>AND(#REF!,"AAAAAC7f/y8=")</f>
        <v>#REF!</v>
      </c>
      <c r="AW79" t="str">
        <f>AND(#REF!,"AAAAAC7f/zA=")</f>
        <v>#REF!</v>
      </c>
      <c r="AX79" t="str">
        <f>AND(#REF!,"AAAAAC7f/zE=")</f>
        <v>#REF!</v>
      </c>
      <c r="AY79" t="str">
        <f>AND(#REF!,"AAAAAC7f/zI=")</f>
        <v>#REF!</v>
      </c>
      <c r="AZ79" t="str">
        <f>AND(#REF!,"AAAAAC7f/zM=")</f>
        <v>#REF!</v>
      </c>
      <c r="BA79" t="str">
        <f>AND(#REF!,"AAAAAC7f/zQ=")</f>
        <v>#REF!</v>
      </c>
      <c r="BB79" t="str">
        <f>AND(#REF!,"AAAAAC7f/zU=")</f>
        <v>#REF!</v>
      </c>
      <c r="BC79" t="str">
        <f>AND(#REF!,"AAAAAC7f/zY=")</f>
        <v>#REF!</v>
      </c>
      <c r="BD79" t="str">
        <f>AND(#REF!,"AAAAAC7f/zc=")</f>
        <v>#REF!</v>
      </c>
      <c r="BE79" t="str">
        <f>AND(#REF!,"AAAAAC7f/zg=")</f>
        <v>#REF!</v>
      </c>
      <c r="BF79" t="str">
        <f>AND(#REF!,"AAAAAC7f/zk=")</f>
        <v>#REF!</v>
      </c>
      <c r="BG79" t="str">
        <f>AND(#REF!,"AAAAAC7f/zo=")</f>
        <v>#REF!</v>
      </c>
      <c r="BH79" t="str">
        <f>AND(#REF!,"AAAAAC7f/zs=")</f>
        <v>#REF!</v>
      </c>
      <c r="BI79" t="str">
        <f>AND(#REF!,"AAAAAC7f/zw=")</f>
        <v>#REF!</v>
      </c>
      <c r="BJ79" t="str">
        <f>AND(#REF!,"AAAAAC7f/z0=")</f>
        <v>#REF!</v>
      </c>
      <c r="BK79" t="str">
        <f>AND(#REF!,"AAAAAC7f/z4=")</f>
        <v>#REF!</v>
      </c>
      <c r="BL79" t="str">
        <f>AND(#REF!,"AAAAAC7f/z8=")</f>
        <v>#REF!</v>
      </c>
      <c r="BM79" t="str">
        <f>AND(#REF!,"AAAAAC7f/0A=")</f>
        <v>#REF!</v>
      </c>
      <c r="BN79" t="str">
        <f>IF(#REF!,"AAAAAC7f/0E=",0)</f>
        <v>#REF!</v>
      </c>
      <c r="BO79" t="str">
        <f>AND(#REF!,"AAAAAC7f/0I=")</f>
        <v>#REF!</v>
      </c>
      <c r="BP79" t="str">
        <f>AND(#REF!,"AAAAAC7f/0M=")</f>
        <v>#REF!</v>
      </c>
      <c r="BQ79" t="str">
        <f>AND(#REF!,"AAAAAC7f/0Q=")</f>
        <v>#REF!</v>
      </c>
      <c r="BR79" t="str">
        <f>AND(#REF!,"AAAAAC7f/0U=")</f>
        <v>#REF!</v>
      </c>
      <c r="BS79" t="str">
        <f>AND(#REF!,"AAAAAC7f/0Y=")</f>
        <v>#REF!</v>
      </c>
      <c r="BT79" t="str">
        <f>AND(#REF!,"AAAAAC7f/0c=")</f>
        <v>#REF!</v>
      </c>
      <c r="BU79" t="str">
        <f>AND(#REF!,"AAAAAC7f/0g=")</f>
        <v>#REF!</v>
      </c>
      <c r="BV79" t="str">
        <f>AND(#REF!,"AAAAAC7f/0k=")</f>
        <v>#REF!</v>
      </c>
      <c r="BW79" t="str">
        <f>AND(#REF!,"AAAAAC7f/0o=")</f>
        <v>#REF!</v>
      </c>
      <c r="BX79" t="str">
        <f>AND(#REF!,"AAAAAC7f/0s=")</f>
        <v>#REF!</v>
      </c>
      <c r="BY79" t="str">
        <f>AND(#REF!,"AAAAAC7f/0w=")</f>
        <v>#REF!</v>
      </c>
      <c r="BZ79" t="str">
        <f>AND(#REF!,"AAAAAC7f/00=")</f>
        <v>#REF!</v>
      </c>
      <c r="CA79" t="str">
        <f>AND(#REF!,"AAAAAC7f/04=")</f>
        <v>#REF!</v>
      </c>
      <c r="CB79" t="str">
        <f>AND(#REF!,"AAAAAC7f/08=")</f>
        <v>#REF!</v>
      </c>
      <c r="CC79" t="str">
        <f>AND(#REF!,"AAAAAC7f/1A=")</f>
        <v>#REF!</v>
      </c>
      <c r="CD79" t="str">
        <f>AND(#REF!,"AAAAAC7f/1E=")</f>
        <v>#REF!</v>
      </c>
      <c r="CE79" t="str">
        <f>AND(#REF!,"AAAAAC7f/1I=")</f>
        <v>#REF!</v>
      </c>
      <c r="CF79" t="str">
        <f>AND(#REF!,"AAAAAC7f/1M=")</f>
        <v>#REF!</v>
      </c>
      <c r="CG79" t="str">
        <f>AND(#REF!,"AAAAAC7f/1Q=")</f>
        <v>#REF!</v>
      </c>
      <c r="CH79" t="str">
        <f>AND(#REF!,"AAAAAC7f/1U=")</f>
        <v>#REF!</v>
      </c>
      <c r="CI79" t="str">
        <f>AND(#REF!,"AAAAAC7f/1Y=")</f>
        <v>#REF!</v>
      </c>
      <c r="CJ79" t="str">
        <f>AND(#REF!,"AAAAAC7f/1c=")</f>
        <v>#REF!</v>
      </c>
      <c r="CK79" t="str">
        <f>AND(#REF!,"AAAAAC7f/1g=")</f>
        <v>#REF!</v>
      </c>
      <c r="CL79" t="str">
        <f>AND(#REF!,"AAAAAC7f/1k=")</f>
        <v>#REF!</v>
      </c>
      <c r="CM79" t="str">
        <f>AND(#REF!,"AAAAAC7f/1o=")</f>
        <v>#REF!</v>
      </c>
      <c r="CN79" t="str">
        <f>AND(#REF!,"AAAAAC7f/1s=")</f>
        <v>#REF!</v>
      </c>
      <c r="CO79" t="str">
        <f>AND(#REF!,"AAAAAC7f/1w=")</f>
        <v>#REF!</v>
      </c>
      <c r="CP79" t="str">
        <f>AND(#REF!,"AAAAAC7f/10=")</f>
        <v>#REF!</v>
      </c>
      <c r="CQ79" t="str">
        <f>AND(#REF!,"AAAAAC7f/14=")</f>
        <v>#REF!</v>
      </c>
      <c r="CR79" t="str">
        <f>AND(#REF!,"AAAAAC7f/18=")</f>
        <v>#REF!</v>
      </c>
      <c r="CS79" t="str">
        <f>AND(#REF!,"AAAAAC7f/2A=")</f>
        <v>#REF!</v>
      </c>
      <c r="CT79" t="str">
        <f>AND(#REF!,"AAAAAC7f/2E=")</f>
        <v>#REF!</v>
      </c>
      <c r="CU79" t="str">
        <f>AND(#REF!,"AAAAAC7f/2I=")</f>
        <v>#REF!</v>
      </c>
      <c r="CV79" t="str">
        <f>AND(#REF!,"AAAAAC7f/2M=")</f>
        <v>#REF!</v>
      </c>
      <c r="CW79" t="str">
        <f>AND(#REF!,"AAAAAC7f/2Q=")</f>
        <v>#REF!</v>
      </c>
      <c r="CX79" t="str">
        <f>AND(#REF!,"AAAAAC7f/2U=")</f>
        <v>#REF!</v>
      </c>
      <c r="CY79" t="str">
        <f>AND(#REF!,"AAAAAC7f/2Y=")</f>
        <v>#REF!</v>
      </c>
      <c r="CZ79" t="str">
        <f>AND(#REF!,"AAAAAC7f/2c=")</f>
        <v>#REF!</v>
      </c>
      <c r="DA79" t="str">
        <f>AND(#REF!,"AAAAAC7f/2g=")</f>
        <v>#REF!</v>
      </c>
      <c r="DB79" t="str">
        <f>AND(#REF!,"AAAAAC7f/2k=")</f>
        <v>#REF!</v>
      </c>
      <c r="DC79" t="str">
        <f>AND(#REF!,"AAAAAC7f/2o=")</f>
        <v>#REF!</v>
      </c>
      <c r="DD79" t="str">
        <f>AND(#REF!,"AAAAAC7f/2s=")</f>
        <v>#REF!</v>
      </c>
      <c r="DE79" t="str">
        <f>AND(#REF!,"AAAAAC7f/2w=")</f>
        <v>#REF!</v>
      </c>
      <c r="DF79" t="str">
        <f>AND(#REF!,"AAAAAC7f/20=")</f>
        <v>#REF!</v>
      </c>
      <c r="DG79" t="str">
        <f>AND(#REF!,"AAAAAC7f/24=")</f>
        <v>#REF!</v>
      </c>
      <c r="DH79" t="str">
        <f>AND(#REF!,"AAAAAC7f/28=")</f>
        <v>#REF!</v>
      </c>
      <c r="DI79" t="str">
        <f>AND(#REF!,"AAAAAC7f/3A=")</f>
        <v>#REF!</v>
      </c>
      <c r="DJ79" t="str">
        <f>AND(#REF!,"AAAAAC7f/3E=")</f>
        <v>#REF!</v>
      </c>
      <c r="DK79" t="str">
        <f>AND(#REF!,"AAAAAC7f/3I=")</f>
        <v>#REF!</v>
      </c>
      <c r="DL79" t="str">
        <f>AND(#REF!,"AAAAAC7f/3M=")</f>
        <v>#REF!</v>
      </c>
      <c r="DM79" t="str">
        <f>AND(#REF!,"AAAAAC7f/3Q=")</f>
        <v>#REF!</v>
      </c>
      <c r="DN79" t="str">
        <f>AND(#REF!,"AAAAAC7f/3U=")</f>
        <v>#REF!</v>
      </c>
      <c r="DO79" t="str">
        <f>AND(#REF!,"AAAAAC7f/3Y=")</f>
        <v>#REF!</v>
      </c>
      <c r="DP79" t="str">
        <f>AND(#REF!,"AAAAAC7f/3c=")</f>
        <v>#REF!</v>
      </c>
      <c r="DQ79" t="str">
        <f>AND(#REF!,"AAAAAC7f/3g=")</f>
        <v>#REF!</v>
      </c>
      <c r="DR79" t="str">
        <f>AND(#REF!,"AAAAAC7f/3k=")</f>
        <v>#REF!</v>
      </c>
      <c r="DS79" t="str">
        <f>AND(#REF!,"AAAAAC7f/3o=")</f>
        <v>#REF!</v>
      </c>
      <c r="DT79" t="str">
        <f>AND(#REF!,"AAAAAC7f/3s=")</f>
        <v>#REF!</v>
      </c>
      <c r="DU79" t="str">
        <f>AND(#REF!,"AAAAAC7f/3w=")</f>
        <v>#REF!</v>
      </c>
      <c r="DV79" t="str">
        <f>AND(#REF!,"AAAAAC7f/30=")</f>
        <v>#REF!</v>
      </c>
      <c r="DW79" t="str">
        <f>AND(#REF!,"AAAAAC7f/34=")</f>
        <v>#REF!</v>
      </c>
      <c r="DX79" t="str">
        <f>AND(#REF!,"AAAAAC7f/38=")</f>
        <v>#REF!</v>
      </c>
      <c r="DY79" t="str">
        <f>AND(#REF!,"AAAAAC7f/4A=")</f>
        <v>#REF!</v>
      </c>
      <c r="DZ79" t="str">
        <f>AND(#REF!,"AAAAAC7f/4E=")</f>
        <v>#REF!</v>
      </c>
      <c r="EA79" t="str">
        <f>AND(#REF!,"AAAAAC7f/4I=")</f>
        <v>#REF!</v>
      </c>
      <c r="EB79" t="str">
        <f>AND(#REF!,"AAAAAC7f/4M=")</f>
        <v>#REF!</v>
      </c>
      <c r="EC79" t="str">
        <f>AND(#REF!,"AAAAAC7f/4Q=")</f>
        <v>#REF!</v>
      </c>
      <c r="ED79" t="str">
        <f>AND(#REF!,"AAAAAC7f/4U=")</f>
        <v>#REF!</v>
      </c>
      <c r="EE79" t="str">
        <f>AND(#REF!,"AAAAAC7f/4Y=")</f>
        <v>#REF!</v>
      </c>
      <c r="EF79" t="str">
        <f>AND(#REF!,"AAAAAC7f/4c=")</f>
        <v>#REF!</v>
      </c>
      <c r="EG79" t="str">
        <f>AND(#REF!,"AAAAAC7f/4g=")</f>
        <v>#REF!</v>
      </c>
      <c r="EH79" t="str">
        <f>AND(#REF!,"AAAAAC7f/4k=")</f>
        <v>#REF!</v>
      </c>
      <c r="EI79" t="str">
        <f>AND(#REF!,"AAAAAC7f/4o=")</f>
        <v>#REF!</v>
      </c>
      <c r="EJ79" t="str">
        <f>AND(#REF!,"AAAAAC7f/4s=")</f>
        <v>#REF!</v>
      </c>
      <c r="EK79" t="str">
        <f>AND(#REF!,"AAAAAC7f/4w=")</f>
        <v>#REF!</v>
      </c>
      <c r="EL79" t="str">
        <f>IF(#REF!,"AAAAAC7f/40=",0)</f>
        <v>#REF!</v>
      </c>
      <c r="EM79" t="str">
        <f>AND(#REF!,"AAAAAC7f/44=")</f>
        <v>#REF!</v>
      </c>
      <c r="EN79" t="str">
        <f>AND(#REF!,"AAAAAC7f/48=")</f>
        <v>#REF!</v>
      </c>
      <c r="EO79" t="str">
        <f>AND(#REF!,"AAAAAC7f/5A=")</f>
        <v>#REF!</v>
      </c>
      <c r="EP79" t="str">
        <f>AND(#REF!,"AAAAAC7f/5E=")</f>
        <v>#REF!</v>
      </c>
      <c r="EQ79" t="str">
        <f>AND(#REF!,"AAAAAC7f/5I=")</f>
        <v>#REF!</v>
      </c>
      <c r="ER79" t="str">
        <f>AND(#REF!,"AAAAAC7f/5M=")</f>
        <v>#REF!</v>
      </c>
      <c r="ES79" t="str">
        <f>AND(#REF!,"AAAAAC7f/5Q=")</f>
        <v>#REF!</v>
      </c>
      <c r="ET79" t="str">
        <f>AND(#REF!,"AAAAAC7f/5U=")</f>
        <v>#REF!</v>
      </c>
      <c r="EU79" t="str">
        <f>AND(#REF!,"AAAAAC7f/5Y=")</f>
        <v>#REF!</v>
      </c>
      <c r="EV79" t="str">
        <f>AND(#REF!,"AAAAAC7f/5c=")</f>
        <v>#REF!</v>
      </c>
      <c r="EW79" t="str">
        <f>AND(#REF!,"AAAAAC7f/5g=")</f>
        <v>#REF!</v>
      </c>
      <c r="EX79" t="str">
        <f>AND(#REF!,"AAAAAC7f/5k=")</f>
        <v>#REF!</v>
      </c>
      <c r="EY79" t="str">
        <f>AND(#REF!,"AAAAAC7f/5o=")</f>
        <v>#REF!</v>
      </c>
      <c r="EZ79" t="str">
        <f>AND(#REF!,"AAAAAC7f/5s=")</f>
        <v>#REF!</v>
      </c>
      <c r="FA79" t="str">
        <f>AND(#REF!,"AAAAAC7f/5w=")</f>
        <v>#REF!</v>
      </c>
      <c r="FB79" t="str">
        <f>AND(#REF!,"AAAAAC7f/50=")</f>
        <v>#REF!</v>
      </c>
      <c r="FC79" t="str">
        <f>AND(#REF!,"AAAAAC7f/54=")</f>
        <v>#REF!</v>
      </c>
      <c r="FD79" t="str">
        <f>AND(#REF!,"AAAAAC7f/58=")</f>
        <v>#REF!</v>
      </c>
      <c r="FE79" t="str">
        <f>AND(#REF!,"AAAAAC7f/6A=")</f>
        <v>#REF!</v>
      </c>
      <c r="FF79" t="str">
        <f>AND(#REF!,"AAAAAC7f/6E=")</f>
        <v>#REF!</v>
      </c>
      <c r="FG79" t="str">
        <f>AND(#REF!,"AAAAAC7f/6I=")</f>
        <v>#REF!</v>
      </c>
      <c r="FH79" t="str">
        <f>AND(#REF!,"AAAAAC7f/6M=")</f>
        <v>#REF!</v>
      </c>
      <c r="FI79" t="str">
        <f>AND(#REF!,"AAAAAC7f/6Q=")</f>
        <v>#REF!</v>
      </c>
      <c r="FJ79" t="str">
        <f>AND(#REF!,"AAAAAC7f/6U=")</f>
        <v>#REF!</v>
      </c>
      <c r="FK79" t="str">
        <f>AND(#REF!,"AAAAAC7f/6Y=")</f>
        <v>#REF!</v>
      </c>
      <c r="FL79" t="str">
        <f>AND(#REF!,"AAAAAC7f/6c=")</f>
        <v>#REF!</v>
      </c>
      <c r="FM79" t="str">
        <f>AND(#REF!,"AAAAAC7f/6g=")</f>
        <v>#REF!</v>
      </c>
      <c r="FN79" t="str">
        <f>AND(#REF!,"AAAAAC7f/6k=")</f>
        <v>#REF!</v>
      </c>
      <c r="FO79" t="str">
        <f>AND(#REF!,"AAAAAC7f/6o=")</f>
        <v>#REF!</v>
      </c>
      <c r="FP79" t="str">
        <f>AND(#REF!,"AAAAAC7f/6s=")</f>
        <v>#REF!</v>
      </c>
      <c r="FQ79" t="str">
        <f>AND(#REF!,"AAAAAC7f/6w=")</f>
        <v>#REF!</v>
      </c>
      <c r="FR79" t="str">
        <f>AND(#REF!,"AAAAAC7f/60=")</f>
        <v>#REF!</v>
      </c>
      <c r="FS79" t="str">
        <f>AND(#REF!,"AAAAAC7f/64=")</f>
        <v>#REF!</v>
      </c>
      <c r="FT79" t="str">
        <f>AND(#REF!,"AAAAAC7f/68=")</f>
        <v>#REF!</v>
      </c>
      <c r="FU79" t="str">
        <f>AND(#REF!,"AAAAAC7f/7A=")</f>
        <v>#REF!</v>
      </c>
      <c r="FV79" t="str">
        <f>AND(#REF!,"AAAAAC7f/7E=")</f>
        <v>#REF!</v>
      </c>
      <c r="FW79" t="str">
        <f>AND(#REF!,"AAAAAC7f/7I=")</f>
        <v>#REF!</v>
      </c>
      <c r="FX79" t="str">
        <f>AND(#REF!,"AAAAAC7f/7M=")</f>
        <v>#REF!</v>
      </c>
      <c r="FY79" t="str">
        <f>AND(#REF!,"AAAAAC7f/7Q=")</f>
        <v>#REF!</v>
      </c>
      <c r="FZ79" t="str">
        <f>AND(#REF!,"AAAAAC7f/7U=")</f>
        <v>#REF!</v>
      </c>
      <c r="GA79" t="str">
        <f>AND(#REF!,"AAAAAC7f/7Y=")</f>
        <v>#REF!</v>
      </c>
      <c r="GB79" t="str">
        <f>AND(#REF!,"AAAAAC7f/7c=")</f>
        <v>#REF!</v>
      </c>
      <c r="GC79" t="str">
        <f>AND(#REF!,"AAAAAC7f/7g=")</f>
        <v>#REF!</v>
      </c>
      <c r="GD79" t="str">
        <f>AND(#REF!,"AAAAAC7f/7k=")</f>
        <v>#REF!</v>
      </c>
      <c r="GE79" t="str">
        <f>AND(#REF!,"AAAAAC7f/7o=")</f>
        <v>#REF!</v>
      </c>
      <c r="GF79" t="str">
        <f>AND(#REF!,"AAAAAC7f/7s=")</f>
        <v>#REF!</v>
      </c>
      <c r="GG79" t="str">
        <f>AND(#REF!,"AAAAAC7f/7w=")</f>
        <v>#REF!</v>
      </c>
      <c r="GH79" t="str">
        <f>AND(#REF!,"AAAAAC7f/70=")</f>
        <v>#REF!</v>
      </c>
      <c r="GI79" t="str">
        <f>AND(#REF!,"AAAAAC7f/74=")</f>
        <v>#REF!</v>
      </c>
      <c r="GJ79" t="str">
        <f>AND(#REF!,"AAAAAC7f/78=")</f>
        <v>#REF!</v>
      </c>
      <c r="GK79" t="str">
        <f>AND(#REF!,"AAAAAC7f/8A=")</f>
        <v>#REF!</v>
      </c>
      <c r="GL79" t="str">
        <f>AND(#REF!,"AAAAAC7f/8E=")</f>
        <v>#REF!</v>
      </c>
      <c r="GM79" t="str">
        <f>AND(#REF!,"AAAAAC7f/8I=")</f>
        <v>#REF!</v>
      </c>
      <c r="GN79" t="str">
        <f>AND(#REF!,"AAAAAC7f/8M=")</f>
        <v>#REF!</v>
      </c>
      <c r="GO79" t="str">
        <f>AND(#REF!,"AAAAAC7f/8Q=")</f>
        <v>#REF!</v>
      </c>
      <c r="GP79" t="str">
        <f>AND(#REF!,"AAAAAC7f/8U=")</f>
        <v>#REF!</v>
      </c>
      <c r="GQ79" t="str">
        <f>AND(#REF!,"AAAAAC7f/8Y=")</f>
        <v>#REF!</v>
      </c>
      <c r="GR79" t="str">
        <f>AND(#REF!,"AAAAAC7f/8c=")</f>
        <v>#REF!</v>
      </c>
      <c r="GS79" t="str">
        <f>AND(#REF!,"AAAAAC7f/8g=")</f>
        <v>#REF!</v>
      </c>
      <c r="GT79" t="str">
        <f>AND(#REF!,"AAAAAC7f/8k=")</f>
        <v>#REF!</v>
      </c>
      <c r="GU79" t="str">
        <f>AND(#REF!,"AAAAAC7f/8o=")</f>
        <v>#REF!</v>
      </c>
      <c r="GV79" t="str">
        <f>AND(#REF!,"AAAAAC7f/8s=")</f>
        <v>#REF!</v>
      </c>
      <c r="GW79" t="str">
        <f>AND(#REF!,"AAAAAC7f/8w=")</f>
        <v>#REF!</v>
      </c>
      <c r="GX79" t="str">
        <f>AND(#REF!,"AAAAAC7f/80=")</f>
        <v>#REF!</v>
      </c>
      <c r="GY79" t="str">
        <f>AND(#REF!,"AAAAAC7f/84=")</f>
        <v>#REF!</v>
      </c>
      <c r="GZ79" t="str">
        <f>AND(#REF!,"AAAAAC7f/88=")</f>
        <v>#REF!</v>
      </c>
      <c r="HA79" t="str">
        <f>AND(#REF!,"AAAAAC7f/9A=")</f>
        <v>#REF!</v>
      </c>
      <c r="HB79" t="str">
        <f>AND(#REF!,"AAAAAC7f/9E=")</f>
        <v>#REF!</v>
      </c>
      <c r="HC79" t="str">
        <f>AND(#REF!,"AAAAAC7f/9I=")</f>
        <v>#REF!</v>
      </c>
      <c r="HD79" t="str">
        <f>AND(#REF!,"AAAAAC7f/9M=")</f>
        <v>#REF!</v>
      </c>
      <c r="HE79" t="str">
        <f>AND(#REF!,"AAAAAC7f/9Q=")</f>
        <v>#REF!</v>
      </c>
      <c r="HF79" t="str">
        <f>AND(#REF!,"AAAAAC7f/9U=")</f>
        <v>#REF!</v>
      </c>
      <c r="HG79" t="str">
        <f>AND(#REF!,"AAAAAC7f/9Y=")</f>
        <v>#REF!</v>
      </c>
      <c r="HH79" t="str">
        <f>AND(#REF!,"AAAAAC7f/9c=")</f>
        <v>#REF!</v>
      </c>
      <c r="HI79" t="str">
        <f>AND(#REF!,"AAAAAC7f/9g=")</f>
        <v>#REF!</v>
      </c>
      <c r="HJ79" t="str">
        <f>IF(#REF!,"AAAAAC7f/9k=",0)</f>
        <v>#REF!</v>
      </c>
      <c r="HK79" t="str">
        <f>AND(#REF!,"AAAAAC7f/9o=")</f>
        <v>#REF!</v>
      </c>
      <c r="HL79" t="str">
        <f>AND(#REF!,"AAAAAC7f/9s=")</f>
        <v>#REF!</v>
      </c>
      <c r="HM79" t="str">
        <f>AND(#REF!,"AAAAAC7f/9w=")</f>
        <v>#REF!</v>
      </c>
      <c r="HN79" t="str">
        <f>AND(#REF!,"AAAAAC7f/90=")</f>
        <v>#REF!</v>
      </c>
      <c r="HO79" t="str">
        <f>AND(#REF!,"AAAAAC7f/94=")</f>
        <v>#REF!</v>
      </c>
      <c r="HP79" t="str">
        <f>AND(#REF!,"AAAAAC7f/98=")</f>
        <v>#REF!</v>
      </c>
      <c r="HQ79" t="str">
        <f>AND(#REF!,"AAAAAC7f/+A=")</f>
        <v>#REF!</v>
      </c>
      <c r="HR79" t="str">
        <f>AND(#REF!,"AAAAAC7f/+E=")</f>
        <v>#REF!</v>
      </c>
      <c r="HS79" t="str">
        <f>AND(#REF!,"AAAAAC7f/+I=")</f>
        <v>#REF!</v>
      </c>
      <c r="HT79" t="str">
        <f>AND(#REF!,"AAAAAC7f/+M=")</f>
        <v>#REF!</v>
      </c>
      <c r="HU79" t="str">
        <f>AND(#REF!,"AAAAAC7f/+Q=")</f>
        <v>#REF!</v>
      </c>
      <c r="HV79" t="str">
        <f>AND(#REF!,"AAAAAC7f/+U=")</f>
        <v>#REF!</v>
      </c>
      <c r="HW79" t="str">
        <f>AND(#REF!,"AAAAAC7f/+Y=")</f>
        <v>#REF!</v>
      </c>
      <c r="HX79" t="str">
        <f>AND(#REF!,"AAAAAC7f/+c=")</f>
        <v>#REF!</v>
      </c>
      <c r="HY79" t="str">
        <f>AND(#REF!,"AAAAAC7f/+g=")</f>
        <v>#REF!</v>
      </c>
      <c r="HZ79" t="str">
        <f>AND(#REF!,"AAAAAC7f/+k=")</f>
        <v>#REF!</v>
      </c>
      <c r="IA79" t="str">
        <f>AND(#REF!,"AAAAAC7f/+o=")</f>
        <v>#REF!</v>
      </c>
      <c r="IB79" t="str">
        <f>AND(#REF!,"AAAAAC7f/+s=")</f>
        <v>#REF!</v>
      </c>
      <c r="IC79" t="str">
        <f>AND(#REF!,"AAAAAC7f/+w=")</f>
        <v>#REF!</v>
      </c>
      <c r="ID79" t="str">
        <f>AND(#REF!,"AAAAAC7f/+0=")</f>
        <v>#REF!</v>
      </c>
      <c r="IE79" t="str">
        <f>AND(#REF!,"AAAAAC7f/+4=")</f>
        <v>#REF!</v>
      </c>
      <c r="IF79" t="str">
        <f>AND(#REF!,"AAAAAC7f/+8=")</f>
        <v>#REF!</v>
      </c>
      <c r="IG79" t="str">
        <f>AND(#REF!,"AAAAAC7f//A=")</f>
        <v>#REF!</v>
      </c>
      <c r="IH79" t="str">
        <f>AND(#REF!,"AAAAAC7f//E=")</f>
        <v>#REF!</v>
      </c>
      <c r="II79" t="str">
        <f>AND(#REF!,"AAAAAC7f//I=")</f>
        <v>#REF!</v>
      </c>
      <c r="IJ79" t="str">
        <f>AND(#REF!,"AAAAAC7f//M=")</f>
        <v>#REF!</v>
      </c>
      <c r="IK79" t="str">
        <f>AND(#REF!,"AAAAAC7f//Q=")</f>
        <v>#REF!</v>
      </c>
      <c r="IL79" t="str">
        <f>AND(#REF!,"AAAAAC7f//U=")</f>
        <v>#REF!</v>
      </c>
      <c r="IM79" t="str">
        <f>AND(#REF!,"AAAAAC7f//Y=")</f>
        <v>#REF!</v>
      </c>
      <c r="IN79" t="str">
        <f>AND(#REF!,"AAAAAC7f//c=")</f>
        <v>#REF!</v>
      </c>
      <c r="IO79" t="str">
        <f>AND(#REF!,"AAAAAC7f//g=")</f>
        <v>#REF!</v>
      </c>
      <c r="IP79" t="str">
        <f>AND(#REF!,"AAAAAC7f//k=")</f>
        <v>#REF!</v>
      </c>
      <c r="IQ79" t="str">
        <f>AND(#REF!,"AAAAAC7f//o=")</f>
        <v>#REF!</v>
      </c>
      <c r="IR79" t="str">
        <f>AND(#REF!,"AAAAAC7f//s=")</f>
        <v>#REF!</v>
      </c>
      <c r="IS79" t="str">
        <f>AND(#REF!,"AAAAAC7f//w=")</f>
        <v>#REF!</v>
      </c>
      <c r="IT79" t="str">
        <f>AND(#REF!,"AAAAAC7f//0=")</f>
        <v>#REF!</v>
      </c>
      <c r="IU79" t="str">
        <f>AND(#REF!,"AAAAAC7f//4=")</f>
        <v>#REF!</v>
      </c>
      <c r="IV79" t="str">
        <f>AND(#REF!,"AAAAAC7f//8=")</f>
        <v>#REF!</v>
      </c>
    </row>
    <row r="80" ht="15.75" customHeight="1">
      <c r="A80" t="str">
        <f>AND(#REF!,"AAAAAGz1fwA=")</f>
        <v>#REF!</v>
      </c>
      <c r="B80" t="str">
        <f>AND(#REF!,"AAAAAGz1fwE=")</f>
        <v>#REF!</v>
      </c>
      <c r="C80" t="str">
        <f>AND(#REF!,"AAAAAGz1fwI=")</f>
        <v>#REF!</v>
      </c>
      <c r="D80" t="str">
        <f>AND(#REF!,"AAAAAGz1fwM=")</f>
        <v>#REF!</v>
      </c>
      <c r="E80" t="str">
        <f>AND(#REF!,"AAAAAGz1fwQ=")</f>
        <v>#REF!</v>
      </c>
      <c r="F80" t="str">
        <f>AND(#REF!,"AAAAAGz1fwU=")</f>
        <v>#REF!</v>
      </c>
      <c r="G80" t="str">
        <f>AND(#REF!,"AAAAAGz1fwY=")</f>
        <v>#REF!</v>
      </c>
      <c r="H80" t="str">
        <f>AND(#REF!,"AAAAAGz1fwc=")</f>
        <v>#REF!</v>
      </c>
      <c r="I80" t="str">
        <f>AND(#REF!,"AAAAAGz1fwg=")</f>
        <v>#REF!</v>
      </c>
      <c r="J80" t="str">
        <f>AND(#REF!,"AAAAAGz1fwk=")</f>
        <v>#REF!</v>
      </c>
      <c r="K80" t="str">
        <f>AND(#REF!,"AAAAAGz1fwo=")</f>
        <v>#REF!</v>
      </c>
      <c r="L80" t="str">
        <f>AND(#REF!,"AAAAAGz1fws=")</f>
        <v>#REF!</v>
      </c>
      <c r="M80" t="str">
        <f>AND(#REF!,"AAAAAGz1fww=")</f>
        <v>#REF!</v>
      </c>
      <c r="N80" t="str">
        <f>AND(#REF!,"AAAAAGz1fw0=")</f>
        <v>#REF!</v>
      </c>
      <c r="O80" t="str">
        <f>AND(#REF!,"AAAAAGz1fw4=")</f>
        <v>#REF!</v>
      </c>
      <c r="P80" t="str">
        <f>AND(#REF!,"AAAAAGz1fw8=")</f>
        <v>#REF!</v>
      </c>
      <c r="Q80" t="str">
        <f>AND(#REF!,"AAAAAGz1fxA=")</f>
        <v>#REF!</v>
      </c>
      <c r="R80" t="str">
        <f>AND(#REF!,"AAAAAGz1fxE=")</f>
        <v>#REF!</v>
      </c>
      <c r="S80" t="str">
        <f>AND(#REF!,"AAAAAGz1fxI=")</f>
        <v>#REF!</v>
      </c>
      <c r="T80" t="str">
        <f>AND(#REF!,"AAAAAGz1fxM=")</f>
        <v>#REF!</v>
      </c>
      <c r="U80" t="str">
        <f>AND(#REF!,"AAAAAGz1fxQ=")</f>
        <v>#REF!</v>
      </c>
      <c r="V80" t="str">
        <f>AND(#REF!,"AAAAAGz1fxU=")</f>
        <v>#REF!</v>
      </c>
      <c r="W80" t="str">
        <f>AND(#REF!,"AAAAAGz1fxY=")</f>
        <v>#REF!</v>
      </c>
      <c r="X80" t="str">
        <f>AND(#REF!,"AAAAAGz1fxc=")</f>
        <v>#REF!</v>
      </c>
      <c r="Y80" t="str">
        <f>AND(#REF!,"AAAAAGz1fxg=")</f>
        <v>#REF!</v>
      </c>
      <c r="Z80" t="str">
        <f>AND(#REF!,"AAAAAGz1fxk=")</f>
        <v>#REF!</v>
      </c>
      <c r="AA80" t="str">
        <f>AND(#REF!,"AAAAAGz1fxo=")</f>
        <v>#REF!</v>
      </c>
      <c r="AB80" t="str">
        <f>AND(#REF!,"AAAAAGz1fxs=")</f>
        <v>#REF!</v>
      </c>
      <c r="AC80" t="str">
        <f>AND(#REF!,"AAAAAGz1fxw=")</f>
        <v>#REF!</v>
      </c>
      <c r="AD80" t="str">
        <f>AND(#REF!,"AAAAAGz1fx0=")</f>
        <v>#REF!</v>
      </c>
      <c r="AE80" t="str">
        <f>AND(#REF!,"AAAAAGz1fx4=")</f>
        <v>#REF!</v>
      </c>
      <c r="AF80" t="str">
        <f>AND(#REF!,"AAAAAGz1fx8=")</f>
        <v>#REF!</v>
      </c>
      <c r="AG80" t="str">
        <f>AND(#REF!,"AAAAAGz1fyA=")</f>
        <v>#REF!</v>
      </c>
      <c r="AH80" t="str">
        <f>AND(#REF!,"AAAAAGz1fyE=")</f>
        <v>#REF!</v>
      </c>
      <c r="AI80" t="str">
        <f>AND(#REF!,"AAAAAGz1fyI=")</f>
        <v>#REF!</v>
      </c>
      <c r="AJ80" t="str">
        <f>AND(#REF!,"AAAAAGz1fyM=")</f>
        <v>#REF!</v>
      </c>
      <c r="AK80" t="str">
        <f>AND(#REF!,"AAAAAGz1fyQ=")</f>
        <v>#REF!</v>
      </c>
      <c r="AL80" t="str">
        <f>IF(#REF!,"AAAAAGz1fyU=",0)</f>
        <v>#REF!</v>
      </c>
      <c r="AM80" t="str">
        <f>AND(#REF!,"AAAAAGz1fyY=")</f>
        <v>#REF!</v>
      </c>
      <c r="AN80" t="str">
        <f>AND(#REF!,"AAAAAGz1fyc=")</f>
        <v>#REF!</v>
      </c>
      <c r="AO80" t="str">
        <f>AND(#REF!,"AAAAAGz1fyg=")</f>
        <v>#REF!</v>
      </c>
      <c r="AP80" t="str">
        <f>AND(#REF!,"AAAAAGz1fyk=")</f>
        <v>#REF!</v>
      </c>
      <c r="AQ80" t="str">
        <f>AND(#REF!,"AAAAAGz1fyo=")</f>
        <v>#REF!</v>
      </c>
      <c r="AR80" t="str">
        <f>AND(#REF!,"AAAAAGz1fys=")</f>
        <v>#REF!</v>
      </c>
      <c r="AS80" t="str">
        <f>AND(#REF!,"AAAAAGz1fyw=")</f>
        <v>#REF!</v>
      </c>
      <c r="AT80" t="str">
        <f>AND(#REF!,"AAAAAGz1fy0=")</f>
        <v>#REF!</v>
      </c>
      <c r="AU80" t="str">
        <f>AND(#REF!,"AAAAAGz1fy4=")</f>
        <v>#REF!</v>
      </c>
      <c r="AV80" t="str">
        <f>AND(#REF!,"AAAAAGz1fy8=")</f>
        <v>#REF!</v>
      </c>
      <c r="AW80" t="str">
        <f>AND(#REF!,"AAAAAGz1fzA=")</f>
        <v>#REF!</v>
      </c>
      <c r="AX80" t="str">
        <f>AND(#REF!,"AAAAAGz1fzE=")</f>
        <v>#REF!</v>
      </c>
      <c r="AY80" t="str">
        <f>AND(#REF!,"AAAAAGz1fzI=")</f>
        <v>#REF!</v>
      </c>
      <c r="AZ80" t="str">
        <f>AND(#REF!,"AAAAAGz1fzM=")</f>
        <v>#REF!</v>
      </c>
      <c r="BA80" t="str">
        <f>AND(#REF!,"AAAAAGz1fzQ=")</f>
        <v>#REF!</v>
      </c>
      <c r="BB80" t="str">
        <f>AND(#REF!,"AAAAAGz1fzU=")</f>
        <v>#REF!</v>
      </c>
      <c r="BC80" t="str">
        <f>AND(#REF!,"AAAAAGz1fzY=")</f>
        <v>#REF!</v>
      </c>
      <c r="BD80" t="str">
        <f>AND(#REF!,"AAAAAGz1fzc=")</f>
        <v>#REF!</v>
      </c>
      <c r="BE80" t="str">
        <f>AND(#REF!,"AAAAAGz1fzg=")</f>
        <v>#REF!</v>
      </c>
      <c r="BF80" t="str">
        <f>AND(#REF!,"AAAAAGz1fzk=")</f>
        <v>#REF!</v>
      </c>
      <c r="BG80" t="str">
        <f>AND(#REF!,"AAAAAGz1fzo=")</f>
        <v>#REF!</v>
      </c>
      <c r="BH80" t="str">
        <f>AND(#REF!,"AAAAAGz1fzs=")</f>
        <v>#REF!</v>
      </c>
      <c r="BI80" t="str">
        <f>AND(#REF!,"AAAAAGz1fzw=")</f>
        <v>#REF!</v>
      </c>
      <c r="BJ80" t="str">
        <f>AND(#REF!,"AAAAAGz1fz0=")</f>
        <v>#REF!</v>
      </c>
      <c r="BK80" t="str">
        <f>AND(#REF!,"AAAAAGz1fz4=")</f>
        <v>#REF!</v>
      </c>
      <c r="BL80" t="str">
        <f>AND(#REF!,"AAAAAGz1fz8=")</f>
        <v>#REF!</v>
      </c>
      <c r="BM80" t="str">
        <f>AND(#REF!,"AAAAAGz1f0A=")</f>
        <v>#REF!</v>
      </c>
      <c r="BN80" t="str">
        <f>AND(#REF!,"AAAAAGz1f0E=")</f>
        <v>#REF!</v>
      </c>
      <c r="BO80" t="str">
        <f>AND(#REF!,"AAAAAGz1f0I=")</f>
        <v>#REF!</v>
      </c>
      <c r="BP80" t="str">
        <f>AND(#REF!,"AAAAAGz1f0M=")</f>
        <v>#REF!</v>
      </c>
      <c r="BQ80" t="str">
        <f>AND(#REF!,"AAAAAGz1f0Q=")</f>
        <v>#REF!</v>
      </c>
      <c r="BR80" t="str">
        <f>AND(#REF!,"AAAAAGz1f0U=")</f>
        <v>#REF!</v>
      </c>
      <c r="BS80" t="str">
        <f>AND(#REF!,"AAAAAGz1f0Y=")</f>
        <v>#REF!</v>
      </c>
      <c r="BT80" t="str">
        <f>AND(#REF!,"AAAAAGz1f0c=")</f>
        <v>#REF!</v>
      </c>
      <c r="BU80" t="str">
        <f>AND(#REF!,"AAAAAGz1f0g=")</f>
        <v>#REF!</v>
      </c>
      <c r="BV80" t="str">
        <f>AND(#REF!,"AAAAAGz1f0k=")</f>
        <v>#REF!</v>
      </c>
      <c r="BW80" t="str">
        <f>AND(#REF!,"AAAAAGz1f0o=")</f>
        <v>#REF!</v>
      </c>
      <c r="BX80" t="str">
        <f>AND(#REF!,"AAAAAGz1f0s=")</f>
        <v>#REF!</v>
      </c>
      <c r="BY80" t="str">
        <f>AND(#REF!,"AAAAAGz1f0w=")</f>
        <v>#REF!</v>
      </c>
      <c r="BZ80" t="str">
        <f>AND(#REF!,"AAAAAGz1f00=")</f>
        <v>#REF!</v>
      </c>
      <c r="CA80" t="str">
        <f>AND(#REF!,"AAAAAGz1f04=")</f>
        <v>#REF!</v>
      </c>
      <c r="CB80" t="str">
        <f>AND(#REF!,"AAAAAGz1f08=")</f>
        <v>#REF!</v>
      </c>
      <c r="CC80" t="str">
        <f>AND(#REF!,"AAAAAGz1f1A=")</f>
        <v>#REF!</v>
      </c>
      <c r="CD80" t="str">
        <f>AND(#REF!,"AAAAAGz1f1E=")</f>
        <v>#REF!</v>
      </c>
      <c r="CE80" t="str">
        <f>AND(#REF!,"AAAAAGz1f1I=")</f>
        <v>#REF!</v>
      </c>
      <c r="CF80" t="str">
        <f>AND(#REF!,"AAAAAGz1f1M=")</f>
        <v>#REF!</v>
      </c>
      <c r="CG80" t="str">
        <f>AND(#REF!,"AAAAAGz1f1Q=")</f>
        <v>#REF!</v>
      </c>
      <c r="CH80" t="str">
        <f>AND(#REF!,"AAAAAGz1f1U=")</f>
        <v>#REF!</v>
      </c>
      <c r="CI80" t="str">
        <f>AND(#REF!,"AAAAAGz1f1Y=")</f>
        <v>#REF!</v>
      </c>
      <c r="CJ80" t="str">
        <f>AND(#REF!,"AAAAAGz1f1c=")</f>
        <v>#REF!</v>
      </c>
      <c r="CK80" t="str">
        <f>AND(#REF!,"AAAAAGz1f1g=")</f>
        <v>#REF!</v>
      </c>
      <c r="CL80" t="str">
        <f>AND(#REF!,"AAAAAGz1f1k=")</f>
        <v>#REF!</v>
      </c>
      <c r="CM80" t="str">
        <f>AND(#REF!,"AAAAAGz1f1o=")</f>
        <v>#REF!</v>
      </c>
      <c r="CN80" t="str">
        <f>AND(#REF!,"AAAAAGz1f1s=")</f>
        <v>#REF!</v>
      </c>
      <c r="CO80" t="str">
        <f>AND(#REF!,"AAAAAGz1f1w=")</f>
        <v>#REF!</v>
      </c>
      <c r="CP80" t="str">
        <f>AND(#REF!,"AAAAAGz1f10=")</f>
        <v>#REF!</v>
      </c>
      <c r="CQ80" t="str">
        <f>AND(#REF!,"AAAAAGz1f14=")</f>
        <v>#REF!</v>
      </c>
      <c r="CR80" t="str">
        <f>AND(#REF!,"AAAAAGz1f18=")</f>
        <v>#REF!</v>
      </c>
      <c r="CS80" t="str">
        <f>AND(#REF!,"AAAAAGz1f2A=")</f>
        <v>#REF!</v>
      </c>
      <c r="CT80" t="str">
        <f>AND(#REF!,"AAAAAGz1f2E=")</f>
        <v>#REF!</v>
      </c>
      <c r="CU80" t="str">
        <f>AND(#REF!,"AAAAAGz1f2I=")</f>
        <v>#REF!</v>
      </c>
      <c r="CV80" t="str">
        <f>AND(#REF!,"AAAAAGz1f2M=")</f>
        <v>#REF!</v>
      </c>
      <c r="CW80" t="str">
        <f>AND(#REF!,"AAAAAGz1f2Q=")</f>
        <v>#REF!</v>
      </c>
      <c r="CX80" t="str">
        <f>AND(#REF!,"AAAAAGz1f2U=")</f>
        <v>#REF!</v>
      </c>
      <c r="CY80" t="str">
        <f>AND(#REF!,"AAAAAGz1f2Y=")</f>
        <v>#REF!</v>
      </c>
      <c r="CZ80" t="str">
        <f>AND(#REF!,"AAAAAGz1f2c=")</f>
        <v>#REF!</v>
      </c>
      <c r="DA80" t="str">
        <f>AND(#REF!,"AAAAAGz1f2g=")</f>
        <v>#REF!</v>
      </c>
      <c r="DB80" t="str">
        <f>AND(#REF!,"AAAAAGz1f2k=")</f>
        <v>#REF!</v>
      </c>
      <c r="DC80" t="str">
        <f>AND(#REF!,"AAAAAGz1f2o=")</f>
        <v>#REF!</v>
      </c>
      <c r="DD80" t="str">
        <f>AND(#REF!,"AAAAAGz1f2s=")</f>
        <v>#REF!</v>
      </c>
      <c r="DE80" t="str">
        <f>AND(#REF!,"AAAAAGz1f2w=")</f>
        <v>#REF!</v>
      </c>
      <c r="DF80" t="str">
        <f>AND(#REF!,"AAAAAGz1f20=")</f>
        <v>#REF!</v>
      </c>
      <c r="DG80" t="str">
        <f>AND(#REF!,"AAAAAGz1f24=")</f>
        <v>#REF!</v>
      </c>
      <c r="DH80" t="str">
        <f>AND(#REF!,"AAAAAGz1f28=")</f>
        <v>#REF!</v>
      </c>
      <c r="DI80" t="str">
        <f>AND(#REF!,"AAAAAGz1f3A=")</f>
        <v>#REF!</v>
      </c>
      <c r="DJ80" t="str">
        <f>IF(#REF!,"AAAAAGz1f3E=",0)</f>
        <v>#REF!</v>
      </c>
      <c r="DK80" t="str">
        <f>AND(#REF!,"AAAAAGz1f3I=")</f>
        <v>#REF!</v>
      </c>
      <c r="DL80" t="str">
        <f>AND(#REF!,"AAAAAGz1f3M=")</f>
        <v>#REF!</v>
      </c>
      <c r="DM80" t="str">
        <f>AND(#REF!,"AAAAAGz1f3Q=")</f>
        <v>#REF!</v>
      </c>
      <c r="DN80" t="str">
        <f>AND(#REF!,"AAAAAGz1f3U=")</f>
        <v>#REF!</v>
      </c>
      <c r="DO80" t="str">
        <f>AND(#REF!,"AAAAAGz1f3Y=")</f>
        <v>#REF!</v>
      </c>
      <c r="DP80" t="str">
        <f>AND(#REF!,"AAAAAGz1f3c=")</f>
        <v>#REF!</v>
      </c>
      <c r="DQ80" t="str">
        <f>AND(#REF!,"AAAAAGz1f3g=")</f>
        <v>#REF!</v>
      </c>
      <c r="DR80" t="str">
        <f>AND(#REF!,"AAAAAGz1f3k=")</f>
        <v>#REF!</v>
      </c>
      <c r="DS80" t="str">
        <f>AND(#REF!,"AAAAAGz1f3o=")</f>
        <v>#REF!</v>
      </c>
      <c r="DT80" t="str">
        <f>AND(#REF!,"AAAAAGz1f3s=")</f>
        <v>#REF!</v>
      </c>
      <c r="DU80" t="str">
        <f>AND(#REF!,"AAAAAGz1f3w=")</f>
        <v>#REF!</v>
      </c>
      <c r="DV80" t="str">
        <f>AND(#REF!,"AAAAAGz1f30=")</f>
        <v>#REF!</v>
      </c>
      <c r="DW80" t="str">
        <f>AND(#REF!,"AAAAAGz1f34=")</f>
        <v>#REF!</v>
      </c>
      <c r="DX80" t="str">
        <f>AND(#REF!,"AAAAAGz1f38=")</f>
        <v>#REF!</v>
      </c>
      <c r="DY80" t="str">
        <f>AND(#REF!,"AAAAAGz1f4A=")</f>
        <v>#REF!</v>
      </c>
      <c r="DZ80" t="str">
        <f>AND(#REF!,"AAAAAGz1f4E=")</f>
        <v>#REF!</v>
      </c>
      <c r="EA80" t="str">
        <f>AND(#REF!,"AAAAAGz1f4I=")</f>
        <v>#REF!</v>
      </c>
      <c r="EB80" t="str">
        <f>AND(#REF!,"AAAAAGz1f4M=")</f>
        <v>#REF!</v>
      </c>
      <c r="EC80" t="str">
        <f>AND(#REF!,"AAAAAGz1f4Q=")</f>
        <v>#REF!</v>
      </c>
      <c r="ED80" t="str">
        <f>AND(#REF!,"AAAAAGz1f4U=")</f>
        <v>#REF!</v>
      </c>
      <c r="EE80" t="str">
        <f>AND(#REF!,"AAAAAGz1f4Y=")</f>
        <v>#REF!</v>
      </c>
      <c r="EF80" t="str">
        <f>AND(#REF!,"AAAAAGz1f4c=")</f>
        <v>#REF!</v>
      </c>
      <c r="EG80" t="str">
        <f>AND(#REF!,"AAAAAGz1f4g=")</f>
        <v>#REF!</v>
      </c>
      <c r="EH80" t="str">
        <f>AND(#REF!,"AAAAAGz1f4k=")</f>
        <v>#REF!</v>
      </c>
      <c r="EI80" t="str">
        <f>AND(#REF!,"AAAAAGz1f4o=")</f>
        <v>#REF!</v>
      </c>
      <c r="EJ80" t="str">
        <f>AND(#REF!,"AAAAAGz1f4s=")</f>
        <v>#REF!</v>
      </c>
      <c r="EK80" t="str">
        <f>AND(#REF!,"AAAAAGz1f4w=")</f>
        <v>#REF!</v>
      </c>
      <c r="EL80" t="str">
        <f>AND(#REF!,"AAAAAGz1f40=")</f>
        <v>#REF!</v>
      </c>
      <c r="EM80" t="str">
        <f>AND(#REF!,"AAAAAGz1f44=")</f>
        <v>#REF!</v>
      </c>
      <c r="EN80" t="str">
        <f>AND(#REF!,"AAAAAGz1f48=")</f>
        <v>#REF!</v>
      </c>
      <c r="EO80" t="str">
        <f>AND(#REF!,"AAAAAGz1f5A=")</f>
        <v>#REF!</v>
      </c>
      <c r="EP80" t="str">
        <f>AND(#REF!,"AAAAAGz1f5E=")</f>
        <v>#REF!</v>
      </c>
      <c r="EQ80" t="str">
        <f>AND(#REF!,"AAAAAGz1f5I=")</f>
        <v>#REF!</v>
      </c>
      <c r="ER80" t="str">
        <f>AND(#REF!,"AAAAAGz1f5M=")</f>
        <v>#REF!</v>
      </c>
      <c r="ES80" t="str">
        <f>AND(#REF!,"AAAAAGz1f5Q=")</f>
        <v>#REF!</v>
      </c>
      <c r="ET80" t="str">
        <f>AND(#REF!,"AAAAAGz1f5U=")</f>
        <v>#REF!</v>
      </c>
      <c r="EU80" t="str">
        <f>AND(#REF!,"AAAAAGz1f5Y=")</f>
        <v>#REF!</v>
      </c>
      <c r="EV80" t="str">
        <f>AND(#REF!,"AAAAAGz1f5c=")</f>
        <v>#REF!</v>
      </c>
      <c r="EW80" t="str">
        <f>AND(#REF!,"AAAAAGz1f5g=")</f>
        <v>#REF!</v>
      </c>
      <c r="EX80" t="str">
        <f>AND(#REF!,"AAAAAGz1f5k=")</f>
        <v>#REF!</v>
      </c>
      <c r="EY80" t="str">
        <f>AND(#REF!,"AAAAAGz1f5o=")</f>
        <v>#REF!</v>
      </c>
      <c r="EZ80" t="str">
        <f>AND(#REF!,"AAAAAGz1f5s=")</f>
        <v>#REF!</v>
      </c>
      <c r="FA80" t="str">
        <f>AND(#REF!,"AAAAAGz1f5w=")</f>
        <v>#REF!</v>
      </c>
      <c r="FB80" t="str">
        <f>AND(#REF!,"AAAAAGz1f50=")</f>
        <v>#REF!</v>
      </c>
      <c r="FC80" t="str">
        <f>AND(#REF!,"AAAAAGz1f54=")</f>
        <v>#REF!</v>
      </c>
      <c r="FD80" t="str">
        <f>AND(#REF!,"AAAAAGz1f58=")</f>
        <v>#REF!</v>
      </c>
      <c r="FE80" t="str">
        <f>AND(#REF!,"AAAAAGz1f6A=")</f>
        <v>#REF!</v>
      </c>
      <c r="FF80" t="str">
        <f>AND(#REF!,"AAAAAGz1f6E=")</f>
        <v>#REF!</v>
      </c>
      <c r="FG80" t="str">
        <f>AND(#REF!,"AAAAAGz1f6I=")</f>
        <v>#REF!</v>
      </c>
      <c r="FH80" t="str">
        <f>AND(#REF!,"AAAAAGz1f6M=")</f>
        <v>#REF!</v>
      </c>
      <c r="FI80" t="str">
        <f>AND(#REF!,"AAAAAGz1f6Q=")</f>
        <v>#REF!</v>
      </c>
      <c r="FJ80" t="str">
        <f>AND(#REF!,"AAAAAGz1f6U=")</f>
        <v>#REF!</v>
      </c>
      <c r="FK80" t="str">
        <f>AND(#REF!,"AAAAAGz1f6Y=")</f>
        <v>#REF!</v>
      </c>
      <c r="FL80" t="str">
        <f>AND(#REF!,"AAAAAGz1f6c=")</f>
        <v>#REF!</v>
      </c>
      <c r="FM80" t="str">
        <f>AND(#REF!,"AAAAAGz1f6g=")</f>
        <v>#REF!</v>
      </c>
      <c r="FN80" t="str">
        <f>AND(#REF!,"AAAAAGz1f6k=")</f>
        <v>#REF!</v>
      </c>
      <c r="FO80" t="str">
        <f>AND(#REF!,"AAAAAGz1f6o=")</f>
        <v>#REF!</v>
      </c>
      <c r="FP80" t="str">
        <f>AND(#REF!,"AAAAAGz1f6s=")</f>
        <v>#REF!</v>
      </c>
      <c r="FQ80" t="str">
        <f>AND(#REF!,"AAAAAGz1f6w=")</f>
        <v>#REF!</v>
      </c>
      <c r="FR80" t="str">
        <f>AND(#REF!,"AAAAAGz1f60=")</f>
        <v>#REF!</v>
      </c>
      <c r="FS80" t="str">
        <f>AND(#REF!,"AAAAAGz1f64=")</f>
        <v>#REF!</v>
      </c>
      <c r="FT80" t="str">
        <f>AND(#REF!,"AAAAAGz1f68=")</f>
        <v>#REF!</v>
      </c>
      <c r="FU80" t="str">
        <f>AND(#REF!,"AAAAAGz1f7A=")</f>
        <v>#REF!</v>
      </c>
      <c r="FV80" t="str">
        <f>AND(#REF!,"AAAAAGz1f7E=")</f>
        <v>#REF!</v>
      </c>
      <c r="FW80" t="str">
        <f>AND(#REF!,"AAAAAGz1f7I=")</f>
        <v>#REF!</v>
      </c>
      <c r="FX80" t="str">
        <f>AND(#REF!,"AAAAAGz1f7M=")</f>
        <v>#REF!</v>
      </c>
      <c r="FY80" t="str">
        <f>AND(#REF!,"AAAAAGz1f7Q=")</f>
        <v>#REF!</v>
      </c>
      <c r="FZ80" t="str">
        <f>AND(#REF!,"AAAAAGz1f7U=")</f>
        <v>#REF!</v>
      </c>
      <c r="GA80" t="str">
        <f>AND(#REF!,"AAAAAGz1f7Y=")</f>
        <v>#REF!</v>
      </c>
      <c r="GB80" t="str">
        <f>AND(#REF!,"AAAAAGz1f7c=")</f>
        <v>#REF!</v>
      </c>
      <c r="GC80" t="str">
        <f>AND(#REF!,"AAAAAGz1f7g=")</f>
        <v>#REF!</v>
      </c>
      <c r="GD80" t="str">
        <f>AND(#REF!,"AAAAAGz1f7k=")</f>
        <v>#REF!</v>
      </c>
      <c r="GE80" t="str">
        <f>AND(#REF!,"AAAAAGz1f7o=")</f>
        <v>#REF!</v>
      </c>
      <c r="GF80" t="str">
        <f>AND(#REF!,"AAAAAGz1f7s=")</f>
        <v>#REF!</v>
      </c>
      <c r="GG80" t="str">
        <f>AND(#REF!,"AAAAAGz1f7w=")</f>
        <v>#REF!</v>
      </c>
      <c r="GH80" t="str">
        <f>IF(#REF!,"AAAAAGz1f70=",0)</f>
        <v>#REF!</v>
      </c>
      <c r="GI80" t="str">
        <f>AND(#REF!,"AAAAAGz1f74=")</f>
        <v>#REF!</v>
      </c>
      <c r="GJ80" t="str">
        <f>AND(#REF!,"AAAAAGz1f78=")</f>
        <v>#REF!</v>
      </c>
      <c r="GK80" t="str">
        <f>AND(#REF!,"AAAAAGz1f8A=")</f>
        <v>#REF!</v>
      </c>
      <c r="GL80" t="str">
        <f>AND(#REF!,"AAAAAGz1f8E=")</f>
        <v>#REF!</v>
      </c>
      <c r="GM80" t="str">
        <f>AND(#REF!,"AAAAAGz1f8I=")</f>
        <v>#REF!</v>
      </c>
      <c r="GN80" t="str">
        <f>AND(#REF!,"AAAAAGz1f8M=")</f>
        <v>#REF!</v>
      </c>
      <c r="GO80" t="str">
        <f>AND(#REF!,"AAAAAGz1f8Q=")</f>
        <v>#REF!</v>
      </c>
      <c r="GP80" t="str">
        <f>AND(#REF!,"AAAAAGz1f8U=")</f>
        <v>#REF!</v>
      </c>
      <c r="GQ80" t="str">
        <f>AND(#REF!,"AAAAAGz1f8Y=")</f>
        <v>#REF!</v>
      </c>
      <c r="GR80" t="str">
        <f>AND(#REF!,"AAAAAGz1f8c=")</f>
        <v>#REF!</v>
      </c>
      <c r="GS80" t="str">
        <f>AND(#REF!,"AAAAAGz1f8g=")</f>
        <v>#REF!</v>
      </c>
      <c r="GT80" t="str">
        <f>AND(#REF!,"AAAAAGz1f8k=")</f>
        <v>#REF!</v>
      </c>
      <c r="GU80" t="str">
        <f>AND(#REF!,"AAAAAGz1f8o=")</f>
        <v>#REF!</v>
      </c>
      <c r="GV80" t="str">
        <f>AND(#REF!,"AAAAAGz1f8s=")</f>
        <v>#REF!</v>
      </c>
      <c r="GW80" t="str">
        <f>AND(#REF!,"AAAAAGz1f8w=")</f>
        <v>#REF!</v>
      </c>
      <c r="GX80" t="str">
        <f>AND(#REF!,"AAAAAGz1f80=")</f>
        <v>#REF!</v>
      </c>
      <c r="GY80" t="str">
        <f>AND(#REF!,"AAAAAGz1f84=")</f>
        <v>#REF!</v>
      </c>
      <c r="GZ80" t="str">
        <f>AND(#REF!,"AAAAAGz1f88=")</f>
        <v>#REF!</v>
      </c>
      <c r="HA80" t="str">
        <f>AND(#REF!,"AAAAAGz1f9A=")</f>
        <v>#REF!</v>
      </c>
      <c r="HB80" t="str">
        <f>AND(#REF!,"AAAAAGz1f9E=")</f>
        <v>#REF!</v>
      </c>
      <c r="HC80" t="str">
        <f>AND(#REF!,"AAAAAGz1f9I=")</f>
        <v>#REF!</v>
      </c>
      <c r="HD80" t="str">
        <f>AND(#REF!,"AAAAAGz1f9M=")</f>
        <v>#REF!</v>
      </c>
      <c r="HE80" t="str">
        <f>AND(#REF!,"AAAAAGz1f9Q=")</f>
        <v>#REF!</v>
      </c>
      <c r="HF80" t="str">
        <f>AND(#REF!,"AAAAAGz1f9U=")</f>
        <v>#REF!</v>
      </c>
      <c r="HG80" t="str">
        <f>AND(#REF!,"AAAAAGz1f9Y=")</f>
        <v>#REF!</v>
      </c>
      <c r="HH80" t="str">
        <f>AND(#REF!,"AAAAAGz1f9c=")</f>
        <v>#REF!</v>
      </c>
      <c r="HI80" t="str">
        <f>AND(#REF!,"AAAAAGz1f9g=")</f>
        <v>#REF!</v>
      </c>
      <c r="HJ80" t="str">
        <f>AND(#REF!,"AAAAAGz1f9k=")</f>
        <v>#REF!</v>
      </c>
      <c r="HK80" t="str">
        <f>AND(#REF!,"AAAAAGz1f9o=")</f>
        <v>#REF!</v>
      </c>
      <c r="HL80" t="str">
        <f>AND(#REF!,"AAAAAGz1f9s=")</f>
        <v>#REF!</v>
      </c>
      <c r="HM80" t="str">
        <f>AND(#REF!,"AAAAAGz1f9w=")</f>
        <v>#REF!</v>
      </c>
      <c r="HN80" t="str">
        <f>AND(#REF!,"AAAAAGz1f90=")</f>
        <v>#REF!</v>
      </c>
      <c r="HO80" t="str">
        <f>AND(#REF!,"AAAAAGz1f94=")</f>
        <v>#REF!</v>
      </c>
      <c r="HP80" t="str">
        <f>AND(#REF!,"AAAAAGz1f98=")</f>
        <v>#REF!</v>
      </c>
      <c r="HQ80" t="str">
        <f>AND(#REF!,"AAAAAGz1f+A=")</f>
        <v>#REF!</v>
      </c>
      <c r="HR80" t="str">
        <f>AND(#REF!,"AAAAAGz1f+E=")</f>
        <v>#REF!</v>
      </c>
      <c r="HS80" t="str">
        <f>AND(#REF!,"AAAAAGz1f+I=")</f>
        <v>#REF!</v>
      </c>
      <c r="HT80" t="str">
        <f>AND(#REF!,"AAAAAGz1f+M=")</f>
        <v>#REF!</v>
      </c>
      <c r="HU80" t="str">
        <f>AND(#REF!,"AAAAAGz1f+Q=")</f>
        <v>#REF!</v>
      </c>
      <c r="HV80" t="str">
        <f>AND(#REF!,"AAAAAGz1f+U=")</f>
        <v>#REF!</v>
      </c>
      <c r="HW80" t="str">
        <f>AND(#REF!,"AAAAAGz1f+Y=")</f>
        <v>#REF!</v>
      </c>
      <c r="HX80" t="str">
        <f>AND(#REF!,"AAAAAGz1f+c=")</f>
        <v>#REF!</v>
      </c>
      <c r="HY80" t="str">
        <f>AND(#REF!,"AAAAAGz1f+g=")</f>
        <v>#REF!</v>
      </c>
      <c r="HZ80" t="str">
        <f>AND(#REF!,"AAAAAGz1f+k=")</f>
        <v>#REF!</v>
      </c>
      <c r="IA80" t="str">
        <f>AND(#REF!,"AAAAAGz1f+o=")</f>
        <v>#REF!</v>
      </c>
      <c r="IB80" t="str">
        <f>AND(#REF!,"AAAAAGz1f+s=")</f>
        <v>#REF!</v>
      </c>
      <c r="IC80" t="str">
        <f>AND(#REF!,"AAAAAGz1f+w=")</f>
        <v>#REF!</v>
      </c>
      <c r="ID80" t="str">
        <f>AND(#REF!,"AAAAAGz1f+0=")</f>
        <v>#REF!</v>
      </c>
      <c r="IE80" t="str">
        <f>AND(#REF!,"AAAAAGz1f+4=")</f>
        <v>#REF!</v>
      </c>
      <c r="IF80" t="str">
        <f>AND(#REF!,"AAAAAGz1f+8=")</f>
        <v>#REF!</v>
      </c>
      <c r="IG80" t="str">
        <f>AND(#REF!,"AAAAAGz1f/A=")</f>
        <v>#REF!</v>
      </c>
      <c r="IH80" t="str">
        <f>AND(#REF!,"AAAAAGz1f/E=")</f>
        <v>#REF!</v>
      </c>
      <c r="II80" t="str">
        <f>AND(#REF!,"AAAAAGz1f/I=")</f>
        <v>#REF!</v>
      </c>
      <c r="IJ80" t="str">
        <f>AND(#REF!,"AAAAAGz1f/M=")</f>
        <v>#REF!</v>
      </c>
      <c r="IK80" t="str">
        <f>AND(#REF!,"AAAAAGz1f/Q=")</f>
        <v>#REF!</v>
      </c>
      <c r="IL80" t="str">
        <f>AND(#REF!,"AAAAAGz1f/U=")</f>
        <v>#REF!</v>
      </c>
      <c r="IM80" t="str">
        <f>AND(#REF!,"AAAAAGz1f/Y=")</f>
        <v>#REF!</v>
      </c>
      <c r="IN80" t="str">
        <f>AND(#REF!,"AAAAAGz1f/c=")</f>
        <v>#REF!</v>
      </c>
      <c r="IO80" t="str">
        <f>AND(#REF!,"AAAAAGz1f/g=")</f>
        <v>#REF!</v>
      </c>
      <c r="IP80" t="str">
        <f>AND(#REF!,"AAAAAGz1f/k=")</f>
        <v>#REF!</v>
      </c>
      <c r="IQ80" t="str">
        <f>AND(#REF!,"AAAAAGz1f/o=")</f>
        <v>#REF!</v>
      </c>
      <c r="IR80" t="str">
        <f>AND(#REF!,"AAAAAGz1f/s=")</f>
        <v>#REF!</v>
      </c>
      <c r="IS80" t="str">
        <f>AND(#REF!,"AAAAAGz1f/w=")</f>
        <v>#REF!</v>
      </c>
      <c r="IT80" t="str">
        <f>AND(#REF!,"AAAAAGz1f/0=")</f>
        <v>#REF!</v>
      </c>
      <c r="IU80" t="str">
        <f>AND(#REF!,"AAAAAGz1f/4=")</f>
        <v>#REF!</v>
      </c>
      <c r="IV80" t="str">
        <f>AND(#REF!,"AAAAAGz1f/8=")</f>
        <v>#REF!</v>
      </c>
    </row>
    <row r="81" ht="15.75" customHeight="1">
      <c r="A81" t="str">
        <f>AND(#REF!,"AAAAAHu8eQA=")</f>
        <v>#REF!</v>
      </c>
      <c r="B81" t="str">
        <f>AND(#REF!,"AAAAAHu8eQE=")</f>
        <v>#REF!</v>
      </c>
      <c r="C81" t="str">
        <f>AND(#REF!,"AAAAAHu8eQI=")</f>
        <v>#REF!</v>
      </c>
      <c r="D81" t="str">
        <f>AND(#REF!,"AAAAAHu8eQM=")</f>
        <v>#REF!</v>
      </c>
      <c r="E81" t="str">
        <f>AND(#REF!,"AAAAAHu8eQQ=")</f>
        <v>#REF!</v>
      </c>
      <c r="F81" t="str">
        <f>AND(#REF!,"AAAAAHu8eQU=")</f>
        <v>#REF!</v>
      </c>
      <c r="G81" t="str">
        <f>AND(#REF!,"AAAAAHu8eQY=")</f>
        <v>#REF!</v>
      </c>
      <c r="H81" t="str">
        <f>AND(#REF!,"AAAAAHu8eQc=")</f>
        <v>#REF!</v>
      </c>
      <c r="I81" t="str">
        <f>AND(#REF!,"AAAAAHu8eQg=")</f>
        <v>#REF!</v>
      </c>
      <c r="J81" t="str">
        <f>IF(#REF!,"AAAAAHu8eQk=",0)</f>
        <v>#REF!</v>
      </c>
      <c r="K81" t="str">
        <f>AND(#REF!,"AAAAAHu8eQo=")</f>
        <v>#REF!</v>
      </c>
      <c r="L81" t="str">
        <f>AND(#REF!,"AAAAAHu8eQs=")</f>
        <v>#REF!</v>
      </c>
      <c r="M81" t="str">
        <f>AND(#REF!,"AAAAAHu8eQw=")</f>
        <v>#REF!</v>
      </c>
      <c r="N81" t="str">
        <f>AND(#REF!,"AAAAAHu8eQ0=")</f>
        <v>#REF!</v>
      </c>
      <c r="O81" t="str">
        <f>AND(#REF!,"AAAAAHu8eQ4=")</f>
        <v>#REF!</v>
      </c>
      <c r="P81" t="str">
        <f>AND(#REF!,"AAAAAHu8eQ8=")</f>
        <v>#REF!</v>
      </c>
      <c r="Q81" t="str">
        <f>AND(#REF!,"AAAAAHu8eRA=")</f>
        <v>#REF!</v>
      </c>
      <c r="R81" t="str">
        <f>AND(#REF!,"AAAAAHu8eRE=")</f>
        <v>#REF!</v>
      </c>
      <c r="S81" t="str">
        <f>AND(#REF!,"AAAAAHu8eRI=")</f>
        <v>#REF!</v>
      </c>
      <c r="T81" t="str">
        <f>AND(#REF!,"AAAAAHu8eRM=")</f>
        <v>#REF!</v>
      </c>
      <c r="U81" t="str">
        <f>AND(#REF!,"AAAAAHu8eRQ=")</f>
        <v>#REF!</v>
      </c>
      <c r="V81" t="str">
        <f>AND(#REF!,"AAAAAHu8eRU=")</f>
        <v>#REF!</v>
      </c>
      <c r="W81" t="str">
        <f>AND(#REF!,"AAAAAHu8eRY=")</f>
        <v>#REF!</v>
      </c>
      <c r="X81" t="str">
        <f>AND(#REF!,"AAAAAHu8eRc=")</f>
        <v>#REF!</v>
      </c>
      <c r="Y81" t="str">
        <f>AND(#REF!,"AAAAAHu8eRg=")</f>
        <v>#REF!</v>
      </c>
      <c r="Z81" t="str">
        <f>AND(#REF!,"AAAAAHu8eRk=")</f>
        <v>#REF!</v>
      </c>
      <c r="AA81" t="str">
        <f>AND(#REF!,"AAAAAHu8eRo=")</f>
        <v>#REF!</v>
      </c>
      <c r="AB81" t="str">
        <f>AND(#REF!,"AAAAAHu8eRs=")</f>
        <v>#REF!</v>
      </c>
      <c r="AC81" t="str">
        <f>AND(#REF!,"AAAAAHu8eRw=")</f>
        <v>#REF!</v>
      </c>
      <c r="AD81" t="str">
        <f>AND(#REF!,"AAAAAHu8eR0=")</f>
        <v>#REF!</v>
      </c>
      <c r="AE81" t="str">
        <f>AND(#REF!,"AAAAAHu8eR4=")</f>
        <v>#REF!</v>
      </c>
      <c r="AF81" t="str">
        <f>AND(#REF!,"AAAAAHu8eR8=")</f>
        <v>#REF!</v>
      </c>
      <c r="AG81" t="str">
        <f>AND(#REF!,"AAAAAHu8eSA=")</f>
        <v>#REF!</v>
      </c>
      <c r="AH81" t="str">
        <f>AND(#REF!,"AAAAAHu8eSE=")</f>
        <v>#REF!</v>
      </c>
      <c r="AI81" t="str">
        <f>AND(#REF!,"AAAAAHu8eSI=")</f>
        <v>#REF!</v>
      </c>
      <c r="AJ81" t="str">
        <f>AND(#REF!,"AAAAAHu8eSM=")</f>
        <v>#REF!</v>
      </c>
      <c r="AK81" t="str">
        <f>AND(#REF!,"AAAAAHu8eSQ=")</f>
        <v>#REF!</v>
      </c>
      <c r="AL81" t="str">
        <f>AND(#REF!,"AAAAAHu8eSU=")</f>
        <v>#REF!</v>
      </c>
      <c r="AM81" t="str">
        <f>AND(#REF!,"AAAAAHu8eSY=")</f>
        <v>#REF!</v>
      </c>
      <c r="AN81" t="str">
        <f>AND(#REF!,"AAAAAHu8eSc=")</f>
        <v>#REF!</v>
      </c>
      <c r="AO81" t="str">
        <f>AND(#REF!,"AAAAAHu8eSg=")</f>
        <v>#REF!</v>
      </c>
      <c r="AP81" t="str">
        <f>AND(#REF!,"AAAAAHu8eSk=")</f>
        <v>#REF!</v>
      </c>
      <c r="AQ81" t="str">
        <f>AND(#REF!,"AAAAAHu8eSo=")</f>
        <v>#REF!</v>
      </c>
      <c r="AR81" t="str">
        <f>AND(#REF!,"AAAAAHu8eSs=")</f>
        <v>#REF!</v>
      </c>
      <c r="AS81" t="str">
        <f>AND(#REF!,"AAAAAHu8eSw=")</f>
        <v>#REF!</v>
      </c>
      <c r="AT81" t="str">
        <f>AND(#REF!,"AAAAAHu8eS0=")</f>
        <v>#REF!</v>
      </c>
      <c r="AU81" t="str">
        <f>AND(#REF!,"AAAAAHu8eS4=")</f>
        <v>#REF!</v>
      </c>
      <c r="AV81" t="str">
        <f>AND(#REF!,"AAAAAHu8eS8=")</f>
        <v>#REF!</v>
      </c>
      <c r="AW81" t="str">
        <f>AND(#REF!,"AAAAAHu8eTA=")</f>
        <v>#REF!</v>
      </c>
      <c r="AX81" t="str">
        <f>AND(#REF!,"AAAAAHu8eTE=")</f>
        <v>#REF!</v>
      </c>
      <c r="AY81" t="str">
        <f>AND(#REF!,"AAAAAHu8eTI=")</f>
        <v>#REF!</v>
      </c>
      <c r="AZ81" t="str">
        <f>AND(#REF!,"AAAAAHu8eTM=")</f>
        <v>#REF!</v>
      </c>
      <c r="BA81" t="str">
        <f>AND(#REF!,"AAAAAHu8eTQ=")</f>
        <v>#REF!</v>
      </c>
      <c r="BB81" t="str">
        <f>AND(#REF!,"AAAAAHu8eTU=")</f>
        <v>#REF!</v>
      </c>
      <c r="BC81" t="str">
        <f>AND(#REF!,"AAAAAHu8eTY=")</f>
        <v>#REF!</v>
      </c>
      <c r="BD81" t="str">
        <f>AND(#REF!,"AAAAAHu8eTc=")</f>
        <v>#REF!</v>
      </c>
      <c r="BE81" t="str">
        <f>AND(#REF!,"AAAAAHu8eTg=")</f>
        <v>#REF!</v>
      </c>
      <c r="BF81" t="str">
        <f>AND(#REF!,"AAAAAHu8eTk=")</f>
        <v>#REF!</v>
      </c>
      <c r="BG81" t="str">
        <f>AND(#REF!,"AAAAAHu8eTo=")</f>
        <v>#REF!</v>
      </c>
      <c r="BH81" t="str">
        <f>AND(#REF!,"AAAAAHu8eTs=")</f>
        <v>#REF!</v>
      </c>
      <c r="BI81" t="str">
        <f>AND(#REF!,"AAAAAHu8eTw=")</f>
        <v>#REF!</v>
      </c>
      <c r="BJ81" t="str">
        <f>AND(#REF!,"AAAAAHu8eT0=")</f>
        <v>#REF!</v>
      </c>
      <c r="BK81" t="str">
        <f>AND(#REF!,"AAAAAHu8eT4=")</f>
        <v>#REF!</v>
      </c>
      <c r="BL81" t="str">
        <f>AND(#REF!,"AAAAAHu8eT8=")</f>
        <v>#REF!</v>
      </c>
      <c r="BM81" t="str">
        <f>AND(#REF!,"AAAAAHu8eUA=")</f>
        <v>#REF!</v>
      </c>
      <c r="BN81" t="str">
        <f>AND(#REF!,"AAAAAHu8eUE=")</f>
        <v>#REF!</v>
      </c>
      <c r="BO81" t="str">
        <f>AND(#REF!,"AAAAAHu8eUI=")</f>
        <v>#REF!</v>
      </c>
      <c r="BP81" t="str">
        <f>AND(#REF!,"AAAAAHu8eUM=")</f>
        <v>#REF!</v>
      </c>
      <c r="BQ81" t="str">
        <f>AND(#REF!,"AAAAAHu8eUQ=")</f>
        <v>#REF!</v>
      </c>
      <c r="BR81" t="str">
        <f>AND(#REF!,"AAAAAHu8eUU=")</f>
        <v>#REF!</v>
      </c>
      <c r="BS81" t="str">
        <f>AND(#REF!,"AAAAAHu8eUY=")</f>
        <v>#REF!</v>
      </c>
      <c r="BT81" t="str">
        <f>AND(#REF!,"AAAAAHu8eUc=")</f>
        <v>#REF!</v>
      </c>
      <c r="BU81" t="str">
        <f>AND(#REF!,"AAAAAHu8eUg=")</f>
        <v>#REF!</v>
      </c>
      <c r="BV81" t="str">
        <f>AND(#REF!,"AAAAAHu8eUk=")</f>
        <v>#REF!</v>
      </c>
      <c r="BW81" t="str">
        <f>AND(#REF!,"AAAAAHu8eUo=")</f>
        <v>#REF!</v>
      </c>
      <c r="BX81" t="str">
        <f>AND(#REF!,"AAAAAHu8eUs=")</f>
        <v>#REF!</v>
      </c>
      <c r="BY81" t="str">
        <f>AND(#REF!,"AAAAAHu8eUw=")</f>
        <v>#REF!</v>
      </c>
      <c r="BZ81" t="str">
        <f>AND(#REF!,"AAAAAHu8eU0=")</f>
        <v>#REF!</v>
      </c>
      <c r="CA81" t="str">
        <f>AND(#REF!,"AAAAAHu8eU4=")</f>
        <v>#REF!</v>
      </c>
      <c r="CB81" t="str">
        <f>AND(#REF!,"AAAAAHu8eU8=")</f>
        <v>#REF!</v>
      </c>
      <c r="CC81" t="str">
        <f>AND(#REF!,"AAAAAHu8eVA=")</f>
        <v>#REF!</v>
      </c>
      <c r="CD81" t="str">
        <f>AND(#REF!,"AAAAAHu8eVE=")</f>
        <v>#REF!</v>
      </c>
      <c r="CE81" t="str">
        <f>AND(#REF!,"AAAAAHu8eVI=")</f>
        <v>#REF!</v>
      </c>
      <c r="CF81" t="str">
        <f>AND(#REF!,"AAAAAHu8eVM=")</f>
        <v>#REF!</v>
      </c>
      <c r="CG81" t="str">
        <f>AND(#REF!,"AAAAAHu8eVQ=")</f>
        <v>#REF!</v>
      </c>
      <c r="CH81" t="str">
        <f>IF(#REF!,"AAAAAHu8eVU=",0)</f>
        <v>#REF!</v>
      </c>
      <c r="CI81" t="str">
        <f>AND(#REF!,"AAAAAHu8eVY=")</f>
        <v>#REF!</v>
      </c>
      <c r="CJ81" t="str">
        <f>AND(#REF!,"AAAAAHu8eVc=")</f>
        <v>#REF!</v>
      </c>
      <c r="CK81" t="str">
        <f>AND(#REF!,"AAAAAHu8eVg=")</f>
        <v>#REF!</v>
      </c>
      <c r="CL81" t="str">
        <f>AND(#REF!,"AAAAAHu8eVk=")</f>
        <v>#REF!</v>
      </c>
      <c r="CM81" t="str">
        <f>AND(#REF!,"AAAAAHu8eVo=")</f>
        <v>#REF!</v>
      </c>
      <c r="CN81" t="str">
        <f>AND(#REF!,"AAAAAHu8eVs=")</f>
        <v>#REF!</v>
      </c>
      <c r="CO81" t="str">
        <f>AND(#REF!,"AAAAAHu8eVw=")</f>
        <v>#REF!</v>
      </c>
      <c r="CP81" t="str">
        <f>AND(#REF!,"AAAAAHu8eV0=")</f>
        <v>#REF!</v>
      </c>
      <c r="CQ81" t="str">
        <f>AND(#REF!,"AAAAAHu8eV4=")</f>
        <v>#REF!</v>
      </c>
      <c r="CR81" t="str">
        <f>AND(#REF!,"AAAAAHu8eV8=")</f>
        <v>#REF!</v>
      </c>
      <c r="CS81" t="str">
        <f>AND(#REF!,"AAAAAHu8eWA=")</f>
        <v>#REF!</v>
      </c>
      <c r="CT81" t="str">
        <f>AND(#REF!,"AAAAAHu8eWE=")</f>
        <v>#REF!</v>
      </c>
      <c r="CU81" t="str">
        <f>AND(#REF!,"AAAAAHu8eWI=")</f>
        <v>#REF!</v>
      </c>
      <c r="CV81" t="str">
        <f>AND(#REF!,"AAAAAHu8eWM=")</f>
        <v>#REF!</v>
      </c>
      <c r="CW81" t="str">
        <f>AND(#REF!,"AAAAAHu8eWQ=")</f>
        <v>#REF!</v>
      </c>
      <c r="CX81" t="str">
        <f>AND(#REF!,"AAAAAHu8eWU=")</f>
        <v>#REF!</v>
      </c>
      <c r="CY81" t="str">
        <f>AND(#REF!,"AAAAAHu8eWY=")</f>
        <v>#REF!</v>
      </c>
      <c r="CZ81" t="str">
        <f>AND(#REF!,"AAAAAHu8eWc=")</f>
        <v>#REF!</v>
      </c>
      <c r="DA81" t="str">
        <f>AND(#REF!,"AAAAAHu8eWg=")</f>
        <v>#REF!</v>
      </c>
      <c r="DB81" t="str">
        <f>AND(#REF!,"AAAAAHu8eWk=")</f>
        <v>#REF!</v>
      </c>
      <c r="DC81" t="str">
        <f>AND(#REF!,"AAAAAHu8eWo=")</f>
        <v>#REF!</v>
      </c>
      <c r="DD81" t="str">
        <f>AND(#REF!,"AAAAAHu8eWs=")</f>
        <v>#REF!</v>
      </c>
      <c r="DE81" t="str">
        <f>AND(#REF!,"AAAAAHu8eWw=")</f>
        <v>#REF!</v>
      </c>
      <c r="DF81" t="str">
        <f>AND(#REF!,"AAAAAHu8eW0=")</f>
        <v>#REF!</v>
      </c>
      <c r="DG81" t="str">
        <f>AND(#REF!,"AAAAAHu8eW4=")</f>
        <v>#REF!</v>
      </c>
      <c r="DH81" t="str">
        <f>AND(#REF!,"AAAAAHu8eW8=")</f>
        <v>#REF!</v>
      </c>
      <c r="DI81" t="str">
        <f>AND(#REF!,"AAAAAHu8eXA=")</f>
        <v>#REF!</v>
      </c>
      <c r="DJ81" t="str">
        <f>AND(#REF!,"AAAAAHu8eXE=")</f>
        <v>#REF!</v>
      </c>
      <c r="DK81" t="str">
        <f>AND(#REF!,"AAAAAHu8eXI=")</f>
        <v>#REF!</v>
      </c>
      <c r="DL81" t="str">
        <f>AND(#REF!,"AAAAAHu8eXM=")</f>
        <v>#REF!</v>
      </c>
      <c r="DM81" t="str">
        <f>AND(#REF!,"AAAAAHu8eXQ=")</f>
        <v>#REF!</v>
      </c>
      <c r="DN81" t="str">
        <f>AND(#REF!,"AAAAAHu8eXU=")</f>
        <v>#REF!</v>
      </c>
      <c r="DO81" t="str">
        <f>AND(#REF!,"AAAAAHu8eXY=")</f>
        <v>#REF!</v>
      </c>
      <c r="DP81" t="str">
        <f>AND(#REF!,"AAAAAHu8eXc=")</f>
        <v>#REF!</v>
      </c>
      <c r="DQ81" t="str">
        <f>AND(#REF!,"AAAAAHu8eXg=")</f>
        <v>#REF!</v>
      </c>
      <c r="DR81" t="str">
        <f>AND(#REF!,"AAAAAHu8eXk=")</f>
        <v>#REF!</v>
      </c>
      <c r="DS81" t="str">
        <f>AND(#REF!,"AAAAAHu8eXo=")</f>
        <v>#REF!</v>
      </c>
      <c r="DT81" t="str">
        <f>AND(#REF!,"AAAAAHu8eXs=")</f>
        <v>#REF!</v>
      </c>
      <c r="DU81" t="str">
        <f>AND(#REF!,"AAAAAHu8eXw=")</f>
        <v>#REF!</v>
      </c>
      <c r="DV81" t="str">
        <f>AND(#REF!,"AAAAAHu8eX0=")</f>
        <v>#REF!</v>
      </c>
      <c r="DW81" t="str">
        <f>AND(#REF!,"AAAAAHu8eX4=")</f>
        <v>#REF!</v>
      </c>
      <c r="DX81" t="str">
        <f>AND(#REF!,"AAAAAHu8eX8=")</f>
        <v>#REF!</v>
      </c>
      <c r="DY81" t="str">
        <f>AND(#REF!,"AAAAAHu8eYA=")</f>
        <v>#REF!</v>
      </c>
      <c r="DZ81" t="str">
        <f>AND(#REF!,"AAAAAHu8eYE=")</f>
        <v>#REF!</v>
      </c>
      <c r="EA81" t="str">
        <f>AND(#REF!,"AAAAAHu8eYI=")</f>
        <v>#REF!</v>
      </c>
      <c r="EB81" t="str">
        <f>AND(#REF!,"AAAAAHu8eYM=")</f>
        <v>#REF!</v>
      </c>
      <c r="EC81" t="str">
        <f>AND(#REF!,"AAAAAHu8eYQ=")</f>
        <v>#REF!</v>
      </c>
      <c r="ED81" t="str">
        <f>AND(#REF!,"AAAAAHu8eYU=")</f>
        <v>#REF!</v>
      </c>
      <c r="EE81" t="str">
        <f>AND(#REF!,"AAAAAHu8eYY=")</f>
        <v>#REF!</v>
      </c>
      <c r="EF81" t="str">
        <f>AND(#REF!,"AAAAAHu8eYc=")</f>
        <v>#REF!</v>
      </c>
      <c r="EG81" t="str">
        <f>AND(#REF!,"AAAAAHu8eYg=")</f>
        <v>#REF!</v>
      </c>
      <c r="EH81" t="str">
        <f>AND(#REF!,"AAAAAHu8eYk=")</f>
        <v>#REF!</v>
      </c>
      <c r="EI81" t="str">
        <f>AND(#REF!,"AAAAAHu8eYo=")</f>
        <v>#REF!</v>
      </c>
      <c r="EJ81" t="str">
        <f>AND(#REF!,"AAAAAHu8eYs=")</f>
        <v>#REF!</v>
      </c>
      <c r="EK81" t="str">
        <f>AND(#REF!,"AAAAAHu8eYw=")</f>
        <v>#REF!</v>
      </c>
      <c r="EL81" t="str">
        <f>AND(#REF!,"AAAAAHu8eY0=")</f>
        <v>#REF!</v>
      </c>
      <c r="EM81" t="str">
        <f>AND(#REF!,"AAAAAHu8eY4=")</f>
        <v>#REF!</v>
      </c>
      <c r="EN81" t="str">
        <f>AND(#REF!,"AAAAAHu8eY8=")</f>
        <v>#REF!</v>
      </c>
      <c r="EO81" t="str">
        <f>AND(#REF!,"AAAAAHu8eZA=")</f>
        <v>#REF!</v>
      </c>
      <c r="EP81" t="str">
        <f>AND(#REF!,"AAAAAHu8eZE=")</f>
        <v>#REF!</v>
      </c>
      <c r="EQ81" t="str">
        <f>AND(#REF!,"AAAAAHu8eZI=")</f>
        <v>#REF!</v>
      </c>
      <c r="ER81" t="str">
        <f>AND(#REF!,"AAAAAHu8eZM=")</f>
        <v>#REF!</v>
      </c>
      <c r="ES81" t="str">
        <f>AND(#REF!,"AAAAAHu8eZQ=")</f>
        <v>#REF!</v>
      </c>
      <c r="ET81" t="str">
        <f>AND(#REF!,"AAAAAHu8eZU=")</f>
        <v>#REF!</v>
      </c>
      <c r="EU81" t="str">
        <f>AND(#REF!,"AAAAAHu8eZY=")</f>
        <v>#REF!</v>
      </c>
      <c r="EV81" t="str">
        <f>AND(#REF!,"AAAAAHu8eZc=")</f>
        <v>#REF!</v>
      </c>
      <c r="EW81" t="str">
        <f>AND(#REF!,"AAAAAHu8eZg=")</f>
        <v>#REF!</v>
      </c>
      <c r="EX81" t="str">
        <f>AND(#REF!,"AAAAAHu8eZk=")</f>
        <v>#REF!</v>
      </c>
      <c r="EY81" t="str">
        <f>AND(#REF!,"AAAAAHu8eZo=")</f>
        <v>#REF!</v>
      </c>
      <c r="EZ81" t="str">
        <f>AND(#REF!,"AAAAAHu8eZs=")</f>
        <v>#REF!</v>
      </c>
      <c r="FA81" t="str">
        <f>AND(#REF!,"AAAAAHu8eZw=")</f>
        <v>#REF!</v>
      </c>
      <c r="FB81" t="str">
        <f>AND(#REF!,"AAAAAHu8eZ0=")</f>
        <v>#REF!</v>
      </c>
      <c r="FC81" t="str">
        <f>AND(#REF!,"AAAAAHu8eZ4=")</f>
        <v>#REF!</v>
      </c>
      <c r="FD81" t="str">
        <f>AND(#REF!,"AAAAAHu8eZ8=")</f>
        <v>#REF!</v>
      </c>
      <c r="FE81" t="str">
        <f>AND(#REF!,"AAAAAHu8eaA=")</f>
        <v>#REF!</v>
      </c>
      <c r="FF81" t="str">
        <f>IF(#REF!,"AAAAAHu8eaE=",0)</f>
        <v>#REF!</v>
      </c>
      <c r="FG81" t="str">
        <f>AND(#REF!,"AAAAAHu8eaI=")</f>
        <v>#REF!</v>
      </c>
      <c r="FH81" t="str">
        <f>AND(#REF!,"AAAAAHu8eaM=")</f>
        <v>#REF!</v>
      </c>
      <c r="FI81" t="str">
        <f>AND(#REF!,"AAAAAHu8eaQ=")</f>
        <v>#REF!</v>
      </c>
      <c r="FJ81" t="str">
        <f>AND(#REF!,"AAAAAHu8eaU=")</f>
        <v>#REF!</v>
      </c>
      <c r="FK81" t="str">
        <f>AND(#REF!,"AAAAAHu8eaY=")</f>
        <v>#REF!</v>
      </c>
      <c r="FL81" t="str">
        <f>AND(#REF!,"AAAAAHu8eac=")</f>
        <v>#REF!</v>
      </c>
      <c r="FM81" t="str">
        <f>AND(#REF!,"AAAAAHu8eag=")</f>
        <v>#REF!</v>
      </c>
      <c r="FN81" t="str">
        <f>AND(#REF!,"AAAAAHu8eak=")</f>
        <v>#REF!</v>
      </c>
      <c r="FO81" t="str">
        <f>AND(#REF!,"AAAAAHu8eao=")</f>
        <v>#REF!</v>
      </c>
      <c r="FP81" t="str">
        <f>AND(#REF!,"AAAAAHu8eas=")</f>
        <v>#REF!</v>
      </c>
      <c r="FQ81" t="str">
        <f>AND(#REF!,"AAAAAHu8eaw=")</f>
        <v>#REF!</v>
      </c>
      <c r="FR81" t="str">
        <f>AND(#REF!,"AAAAAHu8ea0=")</f>
        <v>#REF!</v>
      </c>
      <c r="FS81" t="str">
        <f>AND(#REF!,"AAAAAHu8ea4=")</f>
        <v>#REF!</v>
      </c>
      <c r="FT81" t="str">
        <f>AND(#REF!,"AAAAAHu8ea8=")</f>
        <v>#REF!</v>
      </c>
      <c r="FU81" t="str">
        <f>AND(#REF!,"AAAAAHu8ebA=")</f>
        <v>#REF!</v>
      </c>
      <c r="FV81" t="str">
        <f>AND(#REF!,"AAAAAHu8ebE=")</f>
        <v>#REF!</v>
      </c>
      <c r="FW81" t="str">
        <f>AND(#REF!,"AAAAAHu8ebI=")</f>
        <v>#REF!</v>
      </c>
      <c r="FX81" t="str">
        <f>AND(#REF!,"AAAAAHu8ebM=")</f>
        <v>#REF!</v>
      </c>
      <c r="FY81" t="str">
        <f>AND(#REF!,"AAAAAHu8ebQ=")</f>
        <v>#REF!</v>
      </c>
      <c r="FZ81" t="str">
        <f>AND(#REF!,"AAAAAHu8ebU=")</f>
        <v>#REF!</v>
      </c>
      <c r="GA81" t="str">
        <f>AND(#REF!,"AAAAAHu8ebY=")</f>
        <v>#REF!</v>
      </c>
      <c r="GB81" t="str">
        <f>AND(#REF!,"AAAAAHu8ebc=")</f>
        <v>#REF!</v>
      </c>
      <c r="GC81" t="str">
        <f>AND(#REF!,"AAAAAHu8ebg=")</f>
        <v>#REF!</v>
      </c>
      <c r="GD81" t="str">
        <f>AND(#REF!,"AAAAAHu8ebk=")</f>
        <v>#REF!</v>
      </c>
      <c r="GE81" t="str">
        <f>AND(#REF!,"AAAAAHu8ebo=")</f>
        <v>#REF!</v>
      </c>
      <c r="GF81" t="str">
        <f>AND(#REF!,"AAAAAHu8ebs=")</f>
        <v>#REF!</v>
      </c>
      <c r="GG81" t="str">
        <f>AND(#REF!,"AAAAAHu8ebw=")</f>
        <v>#REF!</v>
      </c>
      <c r="GH81" t="str">
        <f>AND(#REF!,"AAAAAHu8eb0=")</f>
        <v>#REF!</v>
      </c>
      <c r="GI81" t="str">
        <f>AND(#REF!,"AAAAAHu8eb4=")</f>
        <v>#REF!</v>
      </c>
      <c r="GJ81" t="str">
        <f>AND(#REF!,"AAAAAHu8eb8=")</f>
        <v>#REF!</v>
      </c>
      <c r="GK81" t="str">
        <f>AND(#REF!,"AAAAAHu8ecA=")</f>
        <v>#REF!</v>
      </c>
      <c r="GL81" t="str">
        <f>AND(#REF!,"AAAAAHu8ecE=")</f>
        <v>#REF!</v>
      </c>
      <c r="GM81" t="str">
        <f>AND(#REF!,"AAAAAHu8ecI=")</f>
        <v>#REF!</v>
      </c>
      <c r="GN81" t="str">
        <f>AND(#REF!,"AAAAAHu8ecM=")</f>
        <v>#REF!</v>
      </c>
      <c r="GO81" t="str">
        <f>AND(#REF!,"AAAAAHu8ecQ=")</f>
        <v>#REF!</v>
      </c>
      <c r="GP81" t="str">
        <f>AND(#REF!,"AAAAAHu8ecU=")</f>
        <v>#REF!</v>
      </c>
      <c r="GQ81" t="str">
        <f>AND(#REF!,"AAAAAHu8ecY=")</f>
        <v>#REF!</v>
      </c>
      <c r="GR81" t="str">
        <f>AND(#REF!,"AAAAAHu8ecc=")</f>
        <v>#REF!</v>
      </c>
      <c r="GS81" t="str">
        <f>AND(#REF!,"AAAAAHu8ecg=")</f>
        <v>#REF!</v>
      </c>
      <c r="GT81" t="str">
        <f>AND(#REF!,"AAAAAHu8eck=")</f>
        <v>#REF!</v>
      </c>
      <c r="GU81" t="str">
        <f>AND(#REF!,"AAAAAHu8eco=")</f>
        <v>#REF!</v>
      </c>
      <c r="GV81" t="str">
        <f>AND(#REF!,"AAAAAHu8ecs=")</f>
        <v>#REF!</v>
      </c>
      <c r="GW81" t="str">
        <f>AND(#REF!,"AAAAAHu8ecw=")</f>
        <v>#REF!</v>
      </c>
      <c r="GX81" t="str">
        <f>AND(#REF!,"AAAAAHu8ec0=")</f>
        <v>#REF!</v>
      </c>
      <c r="GY81" t="str">
        <f>AND(#REF!,"AAAAAHu8ec4=")</f>
        <v>#REF!</v>
      </c>
      <c r="GZ81" t="str">
        <f>AND(#REF!,"AAAAAHu8ec8=")</f>
        <v>#REF!</v>
      </c>
      <c r="HA81" t="str">
        <f>AND(#REF!,"AAAAAHu8edA=")</f>
        <v>#REF!</v>
      </c>
      <c r="HB81" t="str">
        <f>AND(#REF!,"AAAAAHu8edE=")</f>
        <v>#REF!</v>
      </c>
      <c r="HC81" t="str">
        <f>AND(#REF!,"AAAAAHu8edI=")</f>
        <v>#REF!</v>
      </c>
      <c r="HD81" t="str">
        <f>AND(#REF!,"AAAAAHu8edM=")</f>
        <v>#REF!</v>
      </c>
      <c r="HE81" t="str">
        <f>AND(#REF!,"AAAAAHu8edQ=")</f>
        <v>#REF!</v>
      </c>
      <c r="HF81" t="str">
        <f>AND(#REF!,"AAAAAHu8edU=")</f>
        <v>#REF!</v>
      </c>
      <c r="HG81" t="str">
        <f>AND(#REF!,"AAAAAHu8edY=")</f>
        <v>#REF!</v>
      </c>
      <c r="HH81" t="str">
        <f>AND(#REF!,"AAAAAHu8edc=")</f>
        <v>#REF!</v>
      </c>
      <c r="HI81" t="str">
        <f>AND(#REF!,"AAAAAHu8edg=")</f>
        <v>#REF!</v>
      </c>
      <c r="HJ81" t="str">
        <f>AND(#REF!,"AAAAAHu8edk=")</f>
        <v>#REF!</v>
      </c>
      <c r="HK81" t="str">
        <f>AND(#REF!,"AAAAAHu8edo=")</f>
        <v>#REF!</v>
      </c>
      <c r="HL81" t="str">
        <f>AND(#REF!,"AAAAAHu8eds=")</f>
        <v>#REF!</v>
      </c>
      <c r="HM81" t="str">
        <f>AND(#REF!,"AAAAAHu8edw=")</f>
        <v>#REF!</v>
      </c>
      <c r="HN81" t="str">
        <f>AND(#REF!,"AAAAAHu8ed0=")</f>
        <v>#REF!</v>
      </c>
      <c r="HO81" t="str">
        <f>AND(#REF!,"AAAAAHu8ed4=")</f>
        <v>#REF!</v>
      </c>
      <c r="HP81" t="str">
        <f>AND(#REF!,"AAAAAHu8ed8=")</f>
        <v>#REF!</v>
      </c>
      <c r="HQ81" t="str">
        <f>AND(#REF!,"AAAAAHu8eeA=")</f>
        <v>#REF!</v>
      </c>
      <c r="HR81" t="str">
        <f>AND(#REF!,"AAAAAHu8eeE=")</f>
        <v>#REF!</v>
      </c>
      <c r="HS81" t="str">
        <f>AND(#REF!,"AAAAAHu8eeI=")</f>
        <v>#REF!</v>
      </c>
      <c r="HT81" t="str">
        <f>AND(#REF!,"AAAAAHu8eeM=")</f>
        <v>#REF!</v>
      </c>
      <c r="HU81" t="str">
        <f>AND(#REF!,"AAAAAHu8eeQ=")</f>
        <v>#REF!</v>
      </c>
      <c r="HV81" t="str">
        <f>AND(#REF!,"AAAAAHu8eeU=")</f>
        <v>#REF!</v>
      </c>
      <c r="HW81" t="str">
        <f>AND(#REF!,"AAAAAHu8eeY=")</f>
        <v>#REF!</v>
      </c>
      <c r="HX81" t="str">
        <f>AND(#REF!,"AAAAAHu8eec=")</f>
        <v>#REF!</v>
      </c>
      <c r="HY81" t="str">
        <f>AND(#REF!,"AAAAAHu8eeg=")</f>
        <v>#REF!</v>
      </c>
      <c r="HZ81" t="str">
        <f>AND(#REF!,"AAAAAHu8eek=")</f>
        <v>#REF!</v>
      </c>
      <c r="IA81" t="str">
        <f>AND(#REF!,"AAAAAHu8eeo=")</f>
        <v>#REF!</v>
      </c>
      <c r="IB81" t="str">
        <f>AND(#REF!,"AAAAAHu8ees=")</f>
        <v>#REF!</v>
      </c>
      <c r="IC81" t="str">
        <f>AND(#REF!,"AAAAAHu8eew=")</f>
        <v>#REF!</v>
      </c>
      <c r="ID81" t="str">
        <f>IF(#REF!,"AAAAAHu8ee0=",0)</f>
        <v>#REF!</v>
      </c>
      <c r="IE81" t="str">
        <f>AND(#REF!,"AAAAAHu8ee4=")</f>
        <v>#REF!</v>
      </c>
      <c r="IF81" t="str">
        <f>AND(#REF!,"AAAAAHu8ee8=")</f>
        <v>#REF!</v>
      </c>
      <c r="IG81" t="str">
        <f>AND(#REF!,"AAAAAHu8efA=")</f>
        <v>#REF!</v>
      </c>
      <c r="IH81" t="str">
        <f>AND(#REF!,"AAAAAHu8efE=")</f>
        <v>#REF!</v>
      </c>
      <c r="II81" t="str">
        <f>AND(#REF!,"AAAAAHu8efI=")</f>
        <v>#REF!</v>
      </c>
      <c r="IJ81" t="str">
        <f>AND(#REF!,"AAAAAHu8efM=")</f>
        <v>#REF!</v>
      </c>
      <c r="IK81" t="str">
        <f>AND(#REF!,"AAAAAHu8efQ=")</f>
        <v>#REF!</v>
      </c>
      <c r="IL81" t="str">
        <f>AND(#REF!,"AAAAAHu8efU=")</f>
        <v>#REF!</v>
      </c>
      <c r="IM81" t="str">
        <f>AND(#REF!,"AAAAAHu8efY=")</f>
        <v>#REF!</v>
      </c>
      <c r="IN81" t="str">
        <f>AND(#REF!,"AAAAAHu8efc=")</f>
        <v>#REF!</v>
      </c>
      <c r="IO81" t="str">
        <f>AND(#REF!,"AAAAAHu8efg=")</f>
        <v>#REF!</v>
      </c>
      <c r="IP81" t="str">
        <f>AND(#REF!,"AAAAAHu8efk=")</f>
        <v>#REF!</v>
      </c>
      <c r="IQ81" t="str">
        <f>AND(#REF!,"AAAAAHu8efo=")</f>
        <v>#REF!</v>
      </c>
      <c r="IR81" t="str">
        <f>AND(#REF!,"AAAAAHu8efs=")</f>
        <v>#REF!</v>
      </c>
      <c r="IS81" t="str">
        <f>AND(#REF!,"AAAAAHu8efw=")</f>
        <v>#REF!</v>
      </c>
      <c r="IT81" t="str">
        <f>AND(#REF!,"AAAAAHu8ef0=")</f>
        <v>#REF!</v>
      </c>
      <c r="IU81" t="str">
        <f>AND(#REF!,"AAAAAHu8ef4=")</f>
        <v>#REF!</v>
      </c>
      <c r="IV81" t="str">
        <f>AND(#REF!,"AAAAAHu8ef8=")</f>
        <v>#REF!</v>
      </c>
    </row>
    <row r="82" ht="15.75" customHeight="1">
      <c r="A82" t="str">
        <f>AND(#REF!,"AAAAAHv7nwA=")</f>
        <v>#REF!</v>
      </c>
      <c r="B82" t="str">
        <f>AND(#REF!,"AAAAAHv7nwE=")</f>
        <v>#REF!</v>
      </c>
      <c r="C82" t="str">
        <f>AND(#REF!,"AAAAAHv7nwI=")</f>
        <v>#REF!</v>
      </c>
      <c r="D82" t="str">
        <f>AND(#REF!,"AAAAAHv7nwM=")</f>
        <v>#REF!</v>
      </c>
      <c r="E82" t="str">
        <f>AND(#REF!,"AAAAAHv7nwQ=")</f>
        <v>#REF!</v>
      </c>
      <c r="F82" t="str">
        <f>AND(#REF!,"AAAAAHv7nwU=")</f>
        <v>#REF!</v>
      </c>
      <c r="G82" t="str">
        <f>AND(#REF!,"AAAAAHv7nwY=")</f>
        <v>#REF!</v>
      </c>
      <c r="H82" t="str">
        <f>AND(#REF!,"AAAAAHv7nwc=")</f>
        <v>#REF!</v>
      </c>
      <c r="I82" t="str">
        <f>AND(#REF!,"AAAAAHv7nwg=")</f>
        <v>#REF!</v>
      </c>
      <c r="J82" t="str">
        <f>AND(#REF!,"AAAAAHv7nwk=")</f>
        <v>#REF!</v>
      </c>
      <c r="K82" t="str">
        <f>AND(#REF!,"AAAAAHv7nwo=")</f>
        <v>#REF!</v>
      </c>
      <c r="L82" t="str">
        <f>AND(#REF!,"AAAAAHv7nws=")</f>
        <v>#REF!</v>
      </c>
      <c r="M82" t="str">
        <f>AND(#REF!,"AAAAAHv7nww=")</f>
        <v>#REF!</v>
      </c>
      <c r="N82" t="str">
        <f>AND(#REF!,"AAAAAHv7nw0=")</f>
        <v>#REF!</v>
      </c>
      <c r="O82" t="str">
        <f>AND(#REF!,"AAAAAHv7nw4=")</f>
        <v>#REF!</v>
      </c>
      <c r="P82" t="str">
        <f>AND(#REF!,"AAAAAHv7nw8=")</f>
        <v>#REF!</v>
      </c>
      <c r="Q82" t="str">
        <f>AND(#REF!,"AAAAAHv7nxA=")</f>
        <v>#REF!</v>
      </c>
      <c r="R82" t="str">
        <f>AND(#REF!,"AAAAAHv7nxE=")</f>
        <v>#REF!</v>
      </c>
      <c r="S82" t="str">
        <f>AND(#REF!,"AAAAAHv7nxI=")</f>
        <v>#REF!</v>
      </c>
      <c r="T82" t="str">
        <f>AND(#REF!,"AAAAAHv7nxM=")</f>
        <v>#REF!</v>
      </c>
      <c r="U82" t="str">
        <f>AND(#REF!,"AAAAAHv7nxQ=")</f>
        <v>#REF!</v>
      </c>
      <c r="V82" t="str">
        <f>AND(#REF!,"AAAAAHv7nxU=")</f>
        <v>#REF!</v>
      </c>
      <c r="W82" t="str">
        <f>AND(#REF!,"AAAAAHv7nxY=")</f>
        <v>#REF!</v>
      </c>
      <c r="X82" t="str">
        <f>AND(#REF!,"AAAAAHv7nxc=")</f>
        <v>#REF!</v>
      </c>
      <c r="Y82" t="str">
        <f>AND(#REF!,"AAAAAHv7nxg=")</f>
        <v>#REF!</v>
      </c>
      <c r="Z82" t="str">
        <f>AND(#REF!,"AAAAAHv7nxk=")</f>
        <v>#REF!</v>
      </c>
      <c r="AA82" t="str">
        <f>AND(#REF!,"AAAAAHv7nxo=")</f>
        <v>#REF!</v>
      </c>
      <c r="AB82" t="str">
        <f>AND(#REF!,"AAAAAHv7nxs=")</f>
        <v>#REF!</v>
      </c>
      <c r="AC82" t="str">
        <f>AND(#REF!,"AAAAAHv7nxw=")</f>
        <v>#REF!</v>
      </c>
      <c r="AD82" t="str">
        <f>AND(#REF!,"AAAAAHv7nx0=")</f>
        <v>#REF!</v>
      </c>
      <c r="AE82" t="str">
        <f>AND(#REF!,"AAAAAHv7nx4=")</f>
        <v>#REF!</v>
      </c>
      <c r="AF82" t="str">
        <f>AND(#REF!,"AAAAAHv7nx8=")</f>
        <v>#REF!</v>
      </c>
      <c r="AG82" t="str">
        <f>AND(#REF!,"AAAAAHv7nyA=")</f>
        <v>#REF!</v>
      </c>
      <c r="AH82" t="str">
        <f>AND(#REF!,"AAAAAHv7nyE=")</f>
        <v>#REF!</v>
      </c>
      <c r="AI82" t="str">
        <f>AND(#REF!,"AAAAAHv7nyI=")</f>
        <v>#REF!</v>
      </c>
      <c r="AJ82" t="str">
        <f>AND(#REF!,"AAAAAHv7nyM=")</f>
        <v>#REF!</v>
      </c>
      <c r="AK82" t="str">
        <f>AND(#REF!,"AAAAAHv7nyQ=")</f>
        <v>#REF!</v>
      </c>
      <c r="AL82" t="str">
        <f>AND(#REF!,"AAAAAHv7nyU=")</f>
        <v>#REF!</v>
      </c>
      <c r="AM82" t="str">
        <f>AND(#REF!,"AAAAAHv7nyY=")</f>
        <v>#REF!</v>
      </c>
      <c r="AN82" t="str">
        <f>AND(#REF!,"AAAAAHv7nyc=")</f>
        <v>#REF!</v>
      </c>
      <c r="AO82" t="str">
        <f>AND(#REF!,"AAAAAHv7nyg=")</f>
        <v>#REF!</v>
      </c>
      <c r="AP82" t="str">
        <f>AND(#REF!,"AAAAAHv7nyk=")</f>
        <v>#REF!</v>
      </c>
      <c r="AQ82" t="str">
        <f>AND(#REF!,"AAAAAHv7nyo=")</f>
        <v>#REF!</v>
      </c>
      <c r="AR82" t="str">
        <f>AND(#REF!,"AAAAAHv7nys=")</f>
        <v>#REF!</v>
      </c>
      <c r="AS82" t="str">
        <f>AND(#REF!,"AAAAAHv7nyw=")</f>
        <v>#REF!</v>
      </c>
      <c r="AT82" t="str">
        <f>AND(#REF!,"AAAAAHv7ny0=")</f>
        <v>#REF!</v>
      </c>
      <c r="AU82" t="str">
        <f>AND(#REF!,"AAAAAHv7ny4=")</f>
        <v>#REF!</v>
      </c>
      <c r="AV82" t="str">
        <f>AND(#REF!,"AAAAAHv7ny8=")</f>
        <v>#REF!</v>
      </c>
      <c r="AW82" t="str">
        <f>AND(#REF!,"AAAAAHv7nzA=")</f>
        <v>#REF!</v>
      </c>
      <c r="AX82" t="str">
        <f>AND(#REF!,"AAAAAHv7nzE=")</f>
        <v>#REF!</v>
      </c>
      <c r="AY82" t="str">
        <f>AND(#REF!,"AAAAAHv7nzI=")</f>
        <v>#REF!</v>
      </c>
      <c r="AZ82" t="str">
        <f>AND(#REF!,"AAAAAHv7nzM=")</f>
        <v>#REF!</v>
      </c>
      <c r="BA82" t="str">
        <f>AND(#REF!,"AAAAAHv7nzQ=")</f>
        <v>#REF!</v>
      </c>
      <c r="BB82" t="str">
        <f>AND(#REF!,"AAAAAHv7nzU=")</f>
        <v>#REF!</v>
      </c>
      <c r="BC82" t="str">
        <f>AND(#REF!,"AAAAAHv7nzY=")</f>
        <v>#REF!</v>
      </c>
      <c r="BD82" t="str">
        <f>AND(#REF!,"AAAAAHv7nzc=")</f>
        <v>#REF!</v>
      </c>
      <c r="BE82" t="str">
        <f>AND(#REF!,"AAAAAHv7nzg=")</f>
        <v>#REF!</v>
      </c>
      <c r="BF82" t="str">
        <f>IF(#REF!,"AAAAAHv7nzk=",0)</f>
        <v>#REF!</v>
      </c>
      <c r="BG82" t="str">
        <f>AND(#REF!,"AAAAAHv7nzo=")</f>
        <v>#REF!</v>
      </c>
      <c r="BH82" t="str">
        <f>AND(#REF!,"AAAAAHv7nzs=")</f>
        <v>#REF!</v>
      </c>
      <c r="BI82" t="str">
        <f>AND(#REF!,"AAAAAHv7nzw=")</f>
        <v>#REF!</v>
      </c>
      <c r="BJ82" t="str">
        <f>AND(#REF!,"AAAAAHv7nz0=")</f>
        <v>#REF!</v>
      </c>
      <c r="BK82" t="str">
        <f>AND(#REF!,"AAAAAHv7nz4=")</f>
        <v>#REF!</v>
      </c>
      <c r="BL82" t="str">
        <f>AND(#REF!,"AAAAAHv7nz8=")</f>
        <v>#REF!</v>
      </c>
      <c r="BM82" t="str">
        <f>AND(#REF!,"AAAAAHv7n0A=")</f>
        <v>#REF!</v>
      </c>
      <c r="BN82" t="str">
        <f>AND(#REF!,"AAAAAHv7n0E=")</f>
        <v>#REF!</v>
      </c>
      <c r="BO82" t="str">
        <f>AND(#REF!,"AAAAAHv7n0I=")</f>
        <v>#REF!</v>
      </c>
      <c r="BP82" t="str">
        <f>AND(#REF!,"AAAAAHv7n0M=")</f>
        <v>#REF!</v>
      </c>
      <c r="BQ82" t="str">
        <f>AND(#REF!,"AAAAAHv7n0Q=")</f>
        <v>#REF!</v>
      </c>
      <c r="BR82" t="str">
        <f>AND(#REF!,"AAAAAHv7n0U=")</f>
        <v>#REF!</v>
      </c>
      <c r="BS82" t="str">
        <f>AND(#REF!,"AAAAAHv7n0Y=")</f>
        <v>#REF!</v>
      </c>
      <c r="BT82" t="str">
        <f>AND(#REF!,"AAAAAHv7n0c=")</f>
        <v>#REF!</v>
      </c>
      <c r="BU82" t="str">
        <f>AND(#REF!,"AAAAAHv7n0g=")</f>
        <v>#REF!</v>
      </c>
      <c r="BV82" t="str">
        <f>AND(#REF!,"AAAAAHv7n0k=")</f>
        <v>#REF!</v>
      </c>
      <c r="BW82" t="str">
        <f>AND(#REF!,"AAAAAHv7n0o=")</f>
        <v>#REF!</v>
      </c>
      <c r="BX82" t="str">
        <f>AND(#REF!,"AAAAAHv7n0s=")</f>
        <v>#REF!</v>
      </c>
      <c r="BY82" t="str">
        <f>AND(#REF!,"AAAAAHv7n0w=")</f>
        <v>#REF!</v>
      </c>
      <c r="BZ82" t="str">
        <f>AND(#REF!,"AAAAAHv7n00=")</f>
        <v>#REF!</v>
      </c>
      <c r="CA82" t="str">
        <f>AND(#REF!,"AAAAAHv7n04=")</f>
        <v>#REF!</v>
      </c>
      <c r="CB82" t="str">
        <f>AND(#REF!,"AAAAAHv7n08=")</f>
        <v>#REF!</v>
      </c>
      <c r="CC82" t="str">
        <f>AND(#REF!,"AAAAAHv7n1A=")</f>
        <v>#REF!</v>
      </c>
      <c r="CD82" t="str">
        <f>AND(#REF!,"AAAAAHv7n1E=")</f>
        <v>#REF!</v>
      </c>
      <c r="CE82" t="str">
        <f>AND(#REF!,"AAAAAHv7n1I=")</f>
        <v>#REF!</v>
      </c>
      <c r="CF82" t="str">
        <f>AND(#REF!,"AAAAAHv7n1M=")</f>
        <v>#REF!</v>
      </c>
      <c r="CG82" t="str">
        <f>AND(#REF!,"AAAAAHv7n1Q=")</f>
        <v>#REF!</v>
      </c>
      <c r="CH82" t="str">
        <f>AND(#REF!,"AAAAAHv7n1U=")</f>
        <v>#REF!</v>
      </c>
      <c r="CI82" t="str">
        <f>AND(#REF!,"AAAAAHv7n1Y=")</f>
        <v>#REF!</v>
      </c>
      <c r="CJ82" t="str">
        <f>AND(#REF!,"AAAAAHv7n1c=")</f>
        <v>#REF!</v>
      </c>
      <c r="CK82" t="str">
        <f>AND(#REF!,"AAAAAHv7n1g=")</f>
        <v>#REF!</v>
      </c>
      <c r="CL82" t="str">
        <f>AND(#REF!,"AAAAAHv7n1k=")</f>
        <v>#REF!</v>
      </c>
      <c r="CM82" t="str">
        <f>AND(#REF!,"AAAAAHv7n1o=")</f>
        <v>#REF!</v>
      </c>
      <c r="CN82" t="str">
        <f>AND(#REF!,"AAAAAHv7n1s=")</f>
        <v>#REF!</v>
      </c>
      <c r="CO82" t="str">
        <f>AND(#REF!,"AAAAAHv7n1w=")</f>
        <v>#REF!</v>
      </c>
      <c r="CP82" t="str">
        <f>AND(#REF!,"AAAAAHv7n10=")</f>
        <v>#REF!</v>
      </c>
      <c r="CQ82" t="str">
        <f>AND(#REF!,"AAAAAHv7n14=")</f>
        <v>#REF!</v>
      </c>
      <c r="CR82" t="str">
        <f>AND(#REF!,"AAAAAHv7n18=")</f>
        <v>#REF!</v>
      </c>
      <c r="CS82" t="str">
        <f>AND(#REF!,"AAAAAHv7n2A=")</f>
        <v>#REF!</v>
      </c>
      <c r="CT82" t="str">
        <f>AND(#REF!,"AAAAAHv7n2E=")</f>
        <v>#REF!</v>
      </c>
      <c r="CU82" t="str">
        <f>AND(#REF!,"AAAAAHv7n2I=")</f>
        <v>#REF!</v>
      </c>
      <c r="CV82" t="str">
        <f>AND(#REF!,"AAAAAHv7n2M=")</f>
        <v>#REF!</v>
      </c>
      <c r="CW82" t="str">
        <f>AND(#REF!,"AAAAAHv7n2Q=")</f>
        <v>#REF!</v>
      </c>
      <c r="CX82" t="str">
        <f>AND(#REF!,"AAAAAHv7n2U=")</f>
        <v>#REF!</v>
      </c>
      <c r="CY82" t="str">
        <f>AND(#REF!,"AAAAAHv7n2Y=")</f>
        <v>#REF!</v>
      </c>
      <c r="CZ82" t="str">
        <f>AND(#REF!,"AAAAAHv7n2c=")</f>
        <v>#REF!</v>
      </c>
      <c r="DA82" t="str">
        <f>AND(#REF!,"AAAAAHv7n2g=")</f>
        <v>#REF!</v>
      </c>
      <c r="DB82" t="str">
        <f>AND(#REF!,"AAAAAHv7n2k=")</f>
        <v>#REF!</v>
      </c>
      <c r="DC82" t="str">
        <f>AND(#REF!,"AAAAAHv7n2o=")</f>
        <v>#REF!</v>
      </c>
      <c r="DD82" t="str">
        <f>AND(#REF!,"AAAAAHv7n2s=")</f>
        <v>#REF!</v>
      </c>
      <c r="DE82" t="str">
        <f>AND(#REF!,"AAAAAHv7n2w=")</f>
        <v>#REF!</v>
      </c>
      <c r="DF82" t="str">
        <f>AND(#REF!,"AAAAAHv7n20=")</f>
        <v>#REF!</v>
      </c>
      <c r="DG82" t="str">
        <f>AND(#REF!,"AAAAAHv7n24=")</f>
        <v>#REF!</v>
      </c>
      <c r="DH82" t="str">
        <f>AND(#REF!,"AAAAAHv7n28=")</f>
        <v>#REF!</v>
      </c>
      <c r="DI82" t="str">
        <f>AND(#REF!,"AAAAAHv7n3A=")</f>
        <v>#REF!</v>
      </c>
      <c r="DJ82" t="str">
        <f>AND(#REF!,"AAAAAHv7n3E=")</f>
        <v>#REF!</v>
      </c>
      <c r="DK82" t="str">
        <f>AND(#REF!,"AAAAAHv7n3I=")</f>
        <v>#REF!</v>
      </c>
      <c r="DL82" t="str">
        <f>AND(#REF!,"AAAAAHv7n3M=")</f>
        <v>#REF!</v>
      </c>
      <c r="DM82" t="str">
        <f>AND(#REF!,"AAAAAHv7n3Q=")</f>
        <v>#REF!</v>
      </c>
      <c r="DN82" t="str">
        <f>AND(#REF!,"AAAAAHv7n3U=")</f>
        <v>#REF!</v>
      </c>
      <c r="DO82" t="str">
        <f>AND(#REF!,"AAAAAHv7n3Y=")</f>
        <v>#REF!</v>
      </c>
      <c r="DP82" t="str">
        <f>AND(#REF!,"AAAAAHv7n3c=")</f>
        <v>#REF!</v>
      </c>
      <c r="DQ82" t="str">
        <f>AND(#REF!,"AAAAAHv7n3g=")</f>
        <v>#REF!</v>
      </c>
      <c r="DR82" t="str">
        <f>AND(#REF!,"AAAAAHv7n3k=")</f>
        <v>#REF!</v>
      </c>
      <c r="DS82" t="str">
        <f>AND(#REF!,"AAAAAHv7n3o=")</f>
        <v>#REF!</v>
      </c>
      <c r="DT82" t="str">
        <f>AND(#REF!,"AAAAAHv7n3s=")</f>
        <v>#REF!</v>
      </c>
      <c r="DU82" t="str">
        <f>AND(#REF!,"AAAAAHv7n3w=")</f>
        <v>#REF!</v>
      </c>
      <c r="DV82" t="str">
        <f>AND(#REF!,"AAAAAHv7n30=")</f>
        <v>#REF!</v>
      </c>
      <c r="DW82" t="str">
        <f>AND(#REF!,"AAAAAHv7n34=")</f>
        <v>#REF!</v>
      </c>
      <c r="DX82" t="str">
        <f>AND(#REF!,"AAAAAHv7n38=")</f>
        <v>#REF!</v>
      </c>
      <c r="DY82" t="str">
        <f>AND(#REF!,"AAAAAHv7n4A=")</f>
        <v>#REF!</v>
      </c>
      <c r="DZ82" t="str">
        <f>AND(#REF!,"AAAAAHv7n4E=")</f>
        <v>#REF!</v>
      </c>
      <c r="EA82" t="str">
        <f>AND(#REF!,"AAAAAHv7n4I=")</f>
        <v>#REF!</v>
      </c>
      <c r="EB82" t="str">
        <f>AND(#REF!,"AAAAAHv7n4M=")</f>
        <v>#REF!</v>
      </c>
      <c r="EC82" t="str">
        <f>AND(#REF!,"AAAAAHv7n4Q=")</f>
        <v>#REF!</v>
      </c>
      <c r="ED82" t="str">
        <f>IF(#REF!,"AAAAAHv7n4U=",0)</f>
        <v>#REF!</v>
      </c>
      <c r="EE82" t="str">
        <f>AND(#REF!,"AAAAAHv7n4Y=")</f>
        <v>#REF!</v>
      </c>
      <c r="EF82" t="str">
        <f>AND(#REF!,"AAAAAHv7n4c=")</f>
        <v>#REF!</v>
      </c>
      <c r="EG82" t="str">
        <f>AND(#REF!,"AAAAAHv7n4g=")</f>
        <v>#REF!</v>
      </c>
      <c r="EH82" t="str">
        <f>IF(#REF!,"AAAAAHv7n4k=",0)</f>
        <v>#REF!</v>
      </c>
      <c r="EI82" t="str">
        <f>AND(#REF!,"AAAAAHv7n4o=")</f>
        <v>#REF!</v>
      </c>
      <c r="EJ82" t="str">
        <f>AND(#REF!,"AAAAAHv7n4s=")</f>
        <v>#REF!</v>
      </c>
      <c r="EK82" t="str">
        <f>AND(#REF!,"AAAAAHv7n4w=")</f>
        <v>#REF!</v>
      </c>
      <c r="EL82" t="str">
        <f>IF(#REF!,"AAAAAHv7n40=",0)</f>
        <v>#REF!</v>
      </c>
      <c r="EM82" t="str">
        <f>AND(#REF!,"AAAAAHv7n44=")</f>
        <v>#REF!</v>
      </c>
      <c r="EN82" t="str">
        <f>AND(#REF!,"AAAAAHv7n48=")</f>
        <v>#REF!</v>
      </c>
      <c r="EO82" t="str">
        <f>AND(#REF!,"AAAAAHv7n5A=")</f>
        <v>#REF!</v>
      </c>
      <c r="EP82" t="str">
        <f>IF(#REF!,"AAAAAHv7n5E=",0)</f>
        <v>#REF!</v>
      </c>
      <c r="EQ82" t="str">
        <f>AND(#REF!,"AAAAAHv7n5I=")</f>
        <v>#REF!</v>
      </c>
      <c r="ER82" t="str">
        <f>AND(#REF!,"AAAAAHv7n5M=")</f>
        <v>#REF!</v>
      </c>
      <c r="ES82" t="str">
        <f>AND(#REF!,"AAAAAHv7n5Q=")</f>
        <v>#REF!</v>
      </c>
      <c r="ET82" t="str">
        <f>IF(#REF!,"AAAAAHv7n5U=",0)</f>
        <v>#REF!</v>
      </c>
      <c r="EU82" t="str">
        <f>AND(#REF!,"AAAAAHv7n5Y=")</f>
        <v>#REF!</v>
      </c>
      <c r="EV82" t="str">
        <f>AND(#REF!,"AAAAAHv7n5c=")</f>
        <v>#REF!</v>
      </c>
      <c r="EW82" t="str">
        <f>AND(#REF!,"AAAAAHv7n5g=")</f>
        <v>#REF!</v>
      </c>
      <c r="EX82" t="str">
        <f>IF(#REF!,"AAAAAHv7n5k=",0)</f>
        <v>#REF!</v>
      </c>
      <c r="EY82" t="str">
        <f>AND(#REF!,"AAAAAHv7n5o=")</f>
        <v>#REF!</v>
      </c>
      <c r="EZ82" t="str">
        <f>AND(#REF!,"AAAAAHv7n5s=")</f>
        <v>#REF!</v>
      </c>
      <c r="FA82" t="str">
        <f>AND(#REF!,"AAAAAHv7n5w=")</f>
        <v>#REF!</v>
      </c>
      <c r="FB82" t="str">
        <f>IF(#REF!,"AAAAAHv7n50=",0)</f>
        <v>#REF!</v>
      </c>
      <c r="FC82" t="str">
        <f>IF(#REF!,"AAAAAHv7n54=",0)</f>
        <v>#REF!</v>
      </c>
      <c r="FD82" t="str">
        <f>IF(#REF!,"AAAAAHv7n58=",0)</f>
        <v>#REF!</v>
      </c>
      <c r="FE82" t="str">
        <f>IF(#REF!,"AAAAAHv7n6A=",0)</f>
        <v>#REF!</v>
      </c>
      <c r="FF82" t="str">
        <f>IF(#REF!,"AAAAAHv7n6E=",0)</f>
        <v>#REF!</v>
      </c>
      <c r="FG82" t="str">
        <f>IF(#REF!,"AAAAAHv7n6I=",0)</f>
        <v>#REF!</v>
      </c>
      <c r="FH82" t="str">
        <f>IF(#REF!,"AAAAAHv7n6M=",0)</f>
        <v>#REF!</v>
      </c>
      <c r="FI82" t="str">
        <f>IF(#REF!,"AAAAAHv7n6Q=",0)</f>
        <v>#REF!</v>
      </c>
      <c r="FJ82" t="str">
        <f>IF(#REF!,"AAAAAHv7n6U=",0)</f>
        <v>#REF!</v>
      </c>
      <c r="FK82" t="str">
        <f>IF(#REF!,"AAAAAHv7n6Y=",0)</f>
        <v>#REF!</v>
      </c>
      <c r="FL82" t="str">
        <f>IF(#REF!,"AAAAAHv7n6c=",0)</f>
        <v>#REF!</v>
      </c>
      <c r="FM82" t="str">
        <f>IF(#REF!,"AAAAAHv7n6g=",0)</f>
        <v>#REF!</v>
      </c>
      <c r="FN82" t="str">
        <f>IF(#REF!,"AAAAAHv7n6k=",0)</f>
        <v>#REF!</v>
      </c>
      <c r="FO82" t="str">
        <f>IF(#REF!,"AAAAAHv7n6o=",0)</f>
        <v>#REF!</v>
      </c>
      <c r="FP82" t="str">
        <f>IF(#REF!,"AAAAAHv7n6s=",0)</f>
        <v>#REF!</v>
      </c>
      <c r="FQ82" t="str">
        <f>IF(#REF!,"AAAAAHv7n6w=",0)</f>
        <v>#REF!</v>
      </c>
      <c r="FR82" t="str">
        <f>IF(#REF!,"AAAAAHv7n60=",0)</f>
        <v>#REF!</v>
      </c>
      <c r="FS82" t="str">
        <f>IF(#REF!,"AAAAAHv7n64=",0)</f>
        <v>#REF!</v>
      </c>
      <c r="FT82" t="str">
        <f>IF(#REF!,"AAAAAHv7n68=",0)</f>
        <v>#REF!</v>
      </c>
      <c r="FU82" t="str">
        <f>IF(#REF!,"AAAAAHv7n7A=",0)</f>
        <v>#REF!</v>
      </c>
      <c r="FV82" t="str">
        <f>IF(#REF!,"AAAAAHv7n7E=",0)</f>
        <v>#REF!</v>
      </c>
      <c r="FW82" t="str">
        <f>IF(#REF!,"AAAAAHv7n7I=",0)</f>
        <v>#REF!</v>
      </c>
      <c r="FX82" t="str">
        <f>IF(#REF!,"AAAAAHv7n7M=",0)</f>
        <v>#REF!</v>
      </c>
      <c r="FY82" t="str">
        <f>IF(#REF!,"AAAAAHv7n7Q=",0)</f>
        <v>#REF!</v>
      </c>
      <c r="FZ82" t="str">
        <f>IF(#REF!,"AAAAAHv7n7U=",0)</f>
        <v>#REF!</v>
      </c>
      <c r="GA82" t="str">
        <f>IF(#REF!,"AAAAAHv7n7Y=",0)</f>
        <v>#REF!</v>
      </c>
      <c r="GB82" t="str">
        <f>IF(#REF!,"AAAAAHv7n7c=",0)</f>
        <v>#REF!</v>
      </c>
      <c r="GC82" t="str">
        <f>IF(#REF!,"AAAAAHv7n7g=",0)</f>
        <v>#REF!</v>
      </c>
      <c r="GD82" t="str">
        <f>IF(#REF!,"AAAAAHv7n7k=",0)</f>
        <v>#REF!</v>
      </c>
      <c r="GE82" t="str">
        <f>IF(#REF!,"AAAAAHv7n7o=",0)</f>
        <v>#REF!</v>
      </c>
      <c r="GF82" t="str">
        <f>IF(#REF!,"AAAAAHv7n7s=",0)</f>
        <v>#REF!</v>
      </c>
      <c r="GG82" t="str">
        <f>IF(#REF!,"AAAAAHv7n7w=",0)</f>
        <v>#REF!</v>
      </c>
      <c r="GH82" t="str">
        <f>IF(#REF!,"AAAAAHv7n70=",0)</f>
        <v>#REF!</v>
      </c>
      <c r="GI82" t="str">
        <f>IF(#REF!,"AAAAAHv7n74=",0)</f>
        <v>#REF!</v>
      </c>
      <c r="GJ82" t="str">
        <f>IF(#REF!,"AAAAAHv7n78=",0)</f>
        <v>#REF!</v>
      </c>
      <c r="GK82" t="str">
        <f>IF(#REF!,"AAAAAHv7n8A=",0)</f>
        <v>#REF!</v>
      </c>
      <c r="GL82" t="str">
        <f>IF(#REF!,"AAAAAHv7n8E=",0)</f>
        <v>#REF!</v>
      </c>
      <c r="GM82" t="str">
        <f>IF(#REF!,"AAAAAHv7n8I=",0)</f>
        <v>#REF!</v>
      </c>
      <c r="GN82" t="str">
        <f>IF(#REF!,"AAAAAHv7n8M=",0)</f>
        <v>#REF!</v>
      </c>
      <c r="GO82" t="str">
        <f>IF(#REF!,"AAAAAHv7n8Q=",0)</f>
        <v>#REF!</v>
      </c>
      <c r="GP82" t="str">
        <f>IF(#REF!,"AAAAAHv7n8U=",0)</f>
        <v>#REF!</v>
      </c>
      <c r="GQ82" t="str">
        <f>IF(#REF!,"AAAAAHv7n8Y=",0)</f>
        <v>#REF!</v>
      </c>
      <c r="GR82" t="str">
        <f>IF(#REF!,"AAAAAHv7n8c=",0)</f>
        <v>#REF!</v>
      </c>
      <c r="GS82" t="str">
        <f>IF(#REF!,"AAAAAHv7n8g=",0)</f>
        <v>#REF!</v>
      </c>
      <c r="GT82" t="str">
        <f>IF(#REF!,"AAAAAHv7n8k=",0)</f>
        <v>#REF!</v>
      </c>
      <c r="GU82" t="str">
        <f>IF(#REF!,"AAAAAHv7n8o=",0)</f>
        <v>#REF!</v>
      </c>
      <c r="GV82" t="str">
        <f>IF(#REF!,"AAAAAHv7n8s=",0)</f>
        <v>#REF!</v>
      </c>
      <c r="GW82" t="str">
        <f>IF(#REF!,"AAAAAHv7n8w=",0)</f>
        <v>#REF!</v>
      </c>
      <c r="GX82" t="str">
        <f>IF(#REF!,"AAAAAHv7n80=",0)</f>
        <v>#REF!</v>
      </c>
      <c r="GY82" t="str">
        <f>IF(#REF!,"AAAAAHv7n84=",0)</f>
        <v>#REF!</v>
      </c>
      <c r="GZ82" t="str">
        <f>IF(#REF!,"AAAAAHv7n88=",0)</f>
        <v>#REF!</v>
      </c>
      <c r="HA82" t="str">
        <f>IF(#REF!,"AAAAAHv7n9A=",0)</f>
        <v>#REF!</v>
      </c>
      <c r="HB82" t="str">
        <f>IF(#REF!,"AAAAAHv7n9E=",0)</f>
        <v>#REF!</v>
      </c>
      <c r="HC82" t="str">
        <f>IF(#REF!,"AAAAAHv7n9I=",0)</f>
        <v>#REF!</v>
      </c>
      <c r="HD82" t="str">
        <f>IF(#REF!,"AAAAAHv7n9M=",0)</f>
        <v>#REF!</v>
      </c>
      <c r="HE82" t="str">
        <f>IF(#REF!,"AAAAAHv7n9Q=",0)</f>
        <v>#REF!</v>
      </c>
      <c r="HF82" t="str">
        <f>IF(#REF!,"AAAAAHv7n9U=",0)</f>
        <v>#REF!</v>
      </c>
      <c r="HG82" t="str">
        <f>IF(#REF!,"AAAAAHv7n9Y=",0)</f>
        <v>#REF!</v>
      </c>
      <c r="HH82" t="str">
        <f>IF(#REF!,"AAAAAHv7n9c=",0)</f>
        <v>#REF!</v>
      </c>
      <c r="HI82" t="str">
        <f>IF(#REF!,"AAAAAHv7n9g=",0)</f>
        <v>#REF!</v>
      </c>
      <c r="HJ82" t="str">
        <f>IF(#REF!,"AAAAAHv7n9k=",0)</f>
        <v>#REF!</v>
      </c>
      <c r="HK82" t="str">
        <f>IF(#REF!,"AAAAAHv7n9o=",0)</f>
        <v>#REF!</v>
      </c>
      <c r="HL82" t="str">
        <f>IF(#REF!,"AAAAAHv7n9s=",0)</f>
        <v>#REF!</v>
      </c>
      <c r="HM82" t="str">
        <f>IF(#REF!,"AAAAAHv7n9w=",0)</f>
        <v>#REF!</v>
      </c>
      <c r="HN82" t="str">
        <f>IF(#REF!,"AAAAAHv7n90=",0)</f>
        <v>#REF!</v>
      </c>
      <c r="HO82" t="str">
        <f>IF(#REF!,"AAAAAHv7n94=",0)</f>
        <v>#REF!</v>
      </c>
      <c r="HP82" t="str">
        <f>IF(#REF!,"AAAAAHv7n98=",0)</f>
        <v>#REF!</v>
      </c>
      <c r="HQ82" t="str">
        <f>IF(#REF!,"AAAAAHv7n+A=",0)</f>
        <v>#REF!</v>
      </c>
      <c r="HR82" t="str">
        <f>IF(#REF!,"AAAAAHv7n+E=",0)</f>
        <v>#REF!</v>
      </c>
      <c r="HS82" t="str">
        <f>IF(#REF!,"AAAAAHv7n+I=",0)</f>
        <v>#REF!</v>
      </c>
      <c r="HT82" t="str">
        <f>IF(#REF!,"AAAAAHv7n+M=",0)</f>
        <v>#REF!</v>
      </c>
      <c r="HU82" t="str">
        <f>IF(#REF!,"AAAAAHv7n+Q=",0)</f>
        <v>#REF!</v>
      </c>
      <c r="HV82" t="str">
        <f>IF(#REF!,"AAAAAHv7n+U=",0)</f>
        <v>#REF!</v>
      </c>
      <c r="HW82" t="str">
        <f>IF(#REF!,"AAAAAHv7n+Y=",0)</f>
        <v>#REF!</v>
      </c>
      <c r="HX82" t="str">
        <f>IF(#REF!,"AAAAAHv7n+c=",0)</f>
        <v>#REF!</v>
      </c>
      <c r="HY82" t="str">
        <f>IF(#REF!,"AAAAAHv7n+g=",0)</f>
        <v>#REF!</v>
      </c>
      <c r="HZ82" t="str">
        <f>AND(#REF!,"AAAAAHv7n+k=")</f>
        <v>#REF!</v>
      </c>
      <c r="IA82" t="str">
        <f>AND(#REF!,"AAAAAHv7n+o=")</f>
        <v>#REF!</v>
      </c>
      <c r="IB82" t="str">
        <f>AND(#REF!,"AAAAAHv7n+s=")</f>
        <v>#REF!</v>
      </c>
      <c r="IC82" t="str">
        <f>AND(#REF!,"AAAAAHv7n+w=")</f>
        <v>#REF!</v>
      </c>
      <c r="ID82" t="str">
        <f>AND(#REF!,"AAAAAHv7n+0=")</f>
        <v>#REF!</v>
      </c>
      <c r="IE82" t="str">
        <f>AND(#REF!,"AAAAAHv7n+4=")</f>
        <v>#REF!</v>
      </c>
      <c r="IF82" t="str">
        <f>AND(#REF!,"AAAAAHv7n+8=")</f>
        <v>#REF!</v>
      </c>
      <c r="IG82" t="str">
        <f>AND(#REF!,"AAAAAHv7n/A=")</f>
        <v>#REF!</v>
      </c>
      <c r="IH82" t="str">
        <f>AND(#REF!,"AAAAAHv7n/E=")</f>
        <v>#REF!</v>
      </c>
      <c r="II82" t="str">
        <f>AND(#REF!,"AAAAAHv7n/I=")</f>
        <v>#REF!</v>
      </c>
      <c r="IJ82" t="str">
        <f>AND(#REF!,"AAAAAHv7n/M=")</f>
        <v>#REF!</v>
      </c>
      <c r="IK82" t="str">
        <f>AND(#REF!,"AAAAAHv7n/Q=")</f>
        <v>#REF!</v>
      </c>
      <c r="IL82" t="str">
        <f>AND(#REF!,"AAAAAHv7n/U=")</f>
        <v>#REF!</v>
      </c>
      <c r="IM82" t="str">
        <f>AND(#REF!,"AAAAAHv7n/Y=")</f>
        <v>#REF!</v>
      </c>
      <c r="IN82" t="str">
        <f>AND(#REF!,"AAAAAHv7n/c=")</f>
        <v>#REF!</v>
      </c>
      <c r="IO82" t="str">
        <f>AND(#REF!,"AAAAAHv7n/g=")</f>
        <v>#REF!</v>
      </c>
      <c r="IP82" t="str">
        <f>AND(#REF!,"AAAAAHv7n/k=")</f>
        <v>#REF!</v>
      </c>
      <c r="IQ82" t="str">
        <f>AND(#REF!,"AAAAAHv7n/o=")</f>
        <v>#REF!</v>
      </c>
      <c r="IR82" t="str">
        <f>AND(#REF!,"AAAAAHv7n/s=")</f>
        <v>#REF!</v>
      </c>
      <c r="IS82" t="str">
        <f>AND(#REF!,"AAAAAHv7n/w=")</f>
        <v>#REF!</v>
      </c>
      <c r="IT82" t="str">
        <f>AND(#REF!,"AAAAAHv7n/0=")</f>
        <v>#REF!</v>
      </c>
      <c r="IU82" t="str">
        <f>AND(#REF!,"AAAAAHv7n/4=")</f>
        <v>#REF!</v>
      </c>
      <c r="IV82" t="str">
        <f>AND(#REF!,"AAAAAHv7n/8=")</f>
        <v>#REF!</v>
      </c>
    </row>
    <row r="83" ht="15.75" customHeight="1">
      <c r="A83" t="str">
        <f>AND(#REF!,"AAAAAGs/VgA=")</f>
        <v>#REF!</v>
      </c>
      <c r="B83" t="str">
        <f>AND(#REF!,"AAAAAGs/VgE=")</f>
        <v>#REF!</v>
      </c>
      <c r="C83" t="str">
        <f>AND(#REF!,"AAAAAGs/VgI=")</f>
        <v>#REF!</v>
      </c>
      <c r="D83" t="str">
        <f>AND(#REF!,"AAAAAGs/VgM=")</f>
        <v>#REF!</v>
      </c>
      <c r="E83" t="str">
        <f>AND(#REF!,"AAAAAGs/VgQ=")</f>
        <v>#REF!</v>
      </c>
      <c r="F83" t="str">
        <f>AND(#REF!,"AAAAAGs/VgU=")</f>
        <v>#REF!</v>
      </c>
      <c r="G83" t="str">
        <f>AND(#REF!,"AAAAAGs/VgY=")</f>
        <v>#REF!</v>
      </c>
      <c r="H83" t="str">
        <f>AND(#REF!,"AAAAAGs/Vgc=")</f>
        <v>#REF!</v>
      </c>
      <c r="I83" t="str">
        <f>AND(#REF!,"AAAAAGs/Vgg=")</f>
        <v>#REF!</v>
      </c>
      <c r="J83" t="str">
        <f>AND(#REF!,"AAAAAGs/Vgk=")</f>
        <v>#REF!</v>
      </c>
      <c r="K83" t="str">
        <f>AND(#REF!,"AAAAAGs/Vgo=")</f>
        <v>#REF!</v>
      </c>
      <c r="L83" t="str">
        <f>AND(#REF!,"AAAAAGs/Vgs=")</f>
        <v>#REF!</v>
      </c>
      <c r="M83" t="str">
        <f>AND(#REF!,"AAAAAGs/Vgw=")</f>
        <v>#REF!</v>
      </c>
      <c r="N83" t="str">
        <f>AND(#REF!,"AAAAAGs/Vg0=")</f>
        <v>#REF!</v>
      </c>
      <c r="O83" t="str">
        <f>AND(#REF!,"AAAAAGs/Vg4=")</f>
        <v>#REF!</v>
      </c>
      <c r="P83" t="str">
        <f>AND(#REF!,"AAAAAGs/Vg8=")</f>
        <v>#REF!</v>
      </c>
      <c r="Q83" t="str">
        <f>AND(#REF!,"AAAAAGs/VhA=")</f>
        <v>#REF!</v>
      </c>
      <c r="R83" t="str">
        <f>AND(#REF!,"AAAAAGs/VhE=")</f>
        <v>#REF!</v>
      </c>
      <c r="S83" t="str">
        <f>AND(#REF!,"AAAAAGs/VhI=")</f>
        <v>#REF!</v>
      </c>
      <c r="T83" t="str">
        <f>AND(#REF!,"AAAAAGs/VhM=")</f>
        <v>#REF!</v>
      </c>
      <c r="U83" t="str">
        <f>AND(#REF!,"AAAAAGs/VhQ=")</f>
        <v>#REF!</v>
      </c>
      <c r="V83" t="str">
        <f>AND(#REF!,"AAAAAGs/VhU=")</f>
        <v>#REF!</v>
      </c>
      <c r="W83" t="str">
        <f>AND(#REF!,"AAAAAGs/VhY=")</f>
        <v>#REF!</v>
      </c>
      <c r="X83" t="str">
        <f>AND(#REF!,"AAAAAGs/Vhc=")</f>
        <v>#REF!</v>
      </c>
      <c r="Y83" t="str">
        <f>AND(#REF!,"AAAAAGs/Vhg=")</f>
        <v>#REF!</v>
      </c>
      <c r="Z83" t="str">
        <f>AND(#REF!,"AAAAAGs/Vhk=")</f>
        <v>#REF!</v>
      </c>
      <c r="AA83" t="str">
        <f>AND(#REF!,"AAAAAGs/Vho=")</f>
        <v>#REF!</v>
      </c>
      <c r="AB83" t="str">
        <f>AND(#REF!,"AAAAAGs/Vhs=")</f>
        <v>#REF!</v>
      </c>
      <c r="AC83" t="str">
        <f>AND(#REF!,"AAAAAGs/Vhw=")</f>
        <v>#REF!</v>
      </c>
      <c r="AD83" t="str">
        <f>AND(#REF!,"AAAAAGs/Vh0=")</f>
        <v>#REF!</v>
      </c>
      <c r="AE83" t="str">
        <f>AND(#REF!,"AAAAAGs/Vh4=")</f>
        <v>#REF!</v>
      </c>
      <c r="AF83" t="str">
        <f>AND(#REF!,"AAAAAGs/Vh8=")</f>
        <v>#REF!</v>
      </c>
      <c r="AG83" t="str">
        <f>AND(#REF!,"AAAAAGs/ViA=")</f>
        <v>#REF!</v>
      </c>
      <c r="AH83" t="str">
        <f>AND(#REF!,"AAAAAGs/ViE=")</f>
        <v>#REF!</v>
      </c>
      <c r="AI83" t="str">
        <f>AND(#REF!,"AAAAAGs/ViI=")</f>
        <v>#REF!</v>
      </c>
      <c r="AJ83" t="str">
        <f>AND(#REF!,"AAAAAGs/ViM=")</f>
        <v>#REF!</v>
      </c>
      <c r="AK83" t="str">
        <f>AND(#REF!,"AAAAAGs/ViQ=")</f>
        <v>#REF!</v>
      </c>
      <c r="AL83" t="str">
        <f>AND(#REF!,"AAAAAGs/ViU=")</f>
        <v>#REF!</v>
      </c>
      <c r="AM83" t="str">
        <f>AND(#REF!,"AAAAAGs/ViY=")</f>
        <v>#REF!</v>
      </c>
      <c r="AN83" t="str">
        <f>AND(#REF!,"AAAAAGs/Vic=")</f>
        <v>#REF!</v>
      </c>
      <c r="AO83" t="str">
        <f>AND(#REF!,"AAAAAGs/Vig=")</f>
        <v>#REF!</v>
      </c>
      <c r="AP83" t="str">
        <f>AND(#REF!,"AAAAAGs/Vik=")</f>
        <v>#REF!</v>
      </c>
      <c r="AQ83" t="str">
        <f>AND(#REF!,"AAAAAGs/Vio=")</f>
        <v>#REF!</v>
      </c>
      <c r="AR83" t="str">
        <f>AND(#REF!,"AAAAAGs/Vis=")</f>
        <v>#REF!</v>
      </c>
      <c r="AS83" t="str">
        <f>AND(#REF!,"AAAAAGs/Viw=")</f>
        <v>#REF!</v>
      </c>
      <c r="AT83" t="str">
        <f>AND(#REF!,"AAAAAGs/Vi0=")</f>
        <v>#REF!</v>
      </c>
      <c r="AU83" t="str">
        <f>AND(#REF!,"AAAAAGs/Vi4=")</f>
        <v>#REF!</v>
      </c>
      <c r="AV83" t="str">
        <f>AND(#REF!,"AAAAAGs/Vi8=")</f>
        <v>#REF!</v>
      </c>
      <c r="AW83" t="str">
        <f>AND(#REF!,"AAAAAGs/VjA=")</f>
        <v>#REF!</v>
      </c>
      <c r="AX83" t="str">
        <f>AND(#REF!,"AAAAAGs/VjE=")</f>
        <v>#REF!</v>
      </c>
      <c r="AY83" t="str">
        <f>AND(#REF!,"AAAAAGs/VjI=")</f>
        <v>#REF!</v>
      </c>
      <c r="AZ83" t="str">
        <f>AND(#REF!,"AAAAAGs/VjM=")</f>
        <v>#REF!</v>
      </c>
      <c r="BA83" t="str">
        <f>IF(#REF!,"AAAAAGs/VjQ=",0)</f>
        <v>#REF!</v>
      </c>
      <c r="BB83" t="str">
        <f>AND(#REF!,"AAAAAGs/VjU=")</f>
        <v>#REF!</v>
      </c>
      <c r="BC83" t="str">
        <f>AND(#REF!,"AAAAAGs/VjY=")</f>
        <v>#REF!</v>
      </c>
      <c r="BD83" t="str">
        <f>AND(#REF!,"AAAAAGs/Vjc=")</f>
        <v>#REF!</v>
      </c>
      <c r="BE83" t="str">
        <f>AND(#REF!,"AAAAAGs/Vjg=")</f>
        <v>#REF!</v>
      </c>
      <c r="BF83" t="str">
        <f>AND(#REF!,"AAAAAGs/Vjk=")</f>
        <v>#REF!</v>
      </c>
      <c r="BG83" t="str">
        <f>AND(#REF!,"AAAAAGs/Vjo=")</f>
        <v>#REF!</v>
      </c>
      <c r="BH83" t="str">
        <f>AND(#REF!,"AAAAAGs/Vjs=")</f>
        <v>#REF!</v>
      </c>
      <c r="BI83" t="str">
        <f>AND(#REF!,"AAAAAGs/Vjw=")</f>
        <v>#REF!</v>
      </c>
      <c r="BJ83" t="str">
        <f>AND(#REF!,"AAAAAGs/Vj0=")</f>
        <v>#REF!</v>
      </c>
      <c r="BK83" t="str">
        <f>AND(#REF!,"AAAAAGs/Vj4=")</f>
        <v>#REF!</v>
      </c>
      <c r="BL83" t="str">
        <f>AND(#REF!,"AAAAAGs/Vj8=")</f>
        <v>#REF!</v>
      </c>
      <c r="BM83" t="str">
        <f>AND(#REF!,"AAAAAGs/VkA=")</f>
        <v>#REF!</v>
      </c>
      <c r="BN83" t="str">
        <f>AND(#REF!,"AAAAAGs/VkE=")</f>
        <v>#REF!</v>
      </c>
      <c r="BO83" t="str">
        <f>AND(#REF!,"AAAAAGs/VkI=")</f>
        <v>#REF!</v>
      </c>
      <c r="BP83" t="str">
        <f>AND(#REF!,"AAAAAGs/VkM=")</f>
        <v>#REF!</v>
      </c>
      <c r="BQ83" t="str">
        <f>AND(#REF!,"AAAAAGs/VkQ=")</f>
        <v>#REF!</v>
      </c>
      <c r="BR83" t="str">
        <f>AND(#REF!,"AAAAAGs/VkU=")</f>
        <v>#REF!</v>
      </c>
      <c r="BS83" t="str">
        <f>AND(#REF!,"AAAAAGs/VkY=")</f>
        <v>#REF!</v>
      </c>
      <c r="BT83" t="str">
        <f>AND(#REF!,"AAAAAGs/Vkc=")</f>
        <v>#REF!</v>
      </c>
      <c r="BU83" t="str">
        <f>AND(#REF!,"AAAAAGs/Vkg=")</f>
        <v>#REF!</v>
      </c>
      <c r="BV83" t="str">
        <f>AND(#REF!,"AAAAAGs/Vkk=")</f>
        <v>#REF!</v>
      </c>
      <c r="BW83" t="str">
        <f>AND(#REF!,"AAAAAGs/Vko=")</f>
        <v>#REF!</v>
      </c>
      <c r="BX83" t="str">
        <f>AND(#REF!,"AAAAAGs/Vks=")</f>
        <v>#REF!</v>
      </c>
      <c r="BY83" t="str">
        <f>AND(#REF!,"AAAAAGs/Vkw=")</f>
        <v>#REF!</v>
      </c>
      <c r="BZ83" t="str">
        <f>AND(#REF!,"AAAAAGs/Vk0=")</f>
        <v>#REF!</v>
      </c>
      <c r="CA83" t="str">
        <f>AND(#REF!,"AAAAAGs/Vk4=")</f>
        <v>#REF!</v>
      </c>
      <c r="CB83" t="str">
        <f>AND(#REF!,"AAAAAGs/Vk8=")</f>
        <v>#REF!</v>
      </c>
      <c r="CC83" t="str">
        <f>AND(#REF!,"AAAAAGs/VlA=")</f>
        <v>#REF!</v>
      </c>
      <c r="CD83" t="str">
        <f>AND(#REF!,"AAAAAGs/VlE=")</f>
        <v>#REF!</v>
      </c>
      <c r="CE83" t="str">
        <f>AND(#REF!,"AAAAAGs/VlI=")</f>
        <v>#REF!</v>
      </c>
      <c r="CF83" t="str">
        <f>AND(#REF!,"AAAAAGs/VlM=")</f>
        <v>#REF!</v>
      </c>
      <c r="CG83" t="str">
        <f>AND(#REF!,"AAAAAGs/VlQ=")</f>
        <v>#REF!</v>
      </c>
      <c r="CH83" t="str">
        <f>AND(#REF!,"AAAAAGs/VlU=")</f>
        <v>#REF!</v>
      </c>
      <c r="CI83" t="str">
        <f>AND(#REF!,"AAAAAGs/VlY=")</f>
        <v>#REF!</v>
      </c>
      <c r="CJ83" t="str">
        <f>AND(#REF!,"AAAAAGs/Vlc=")</f>
        <v>#REF!</v>
      </c>
      <c r="CK83" t="str">
        <f>AND(#REF!,"AAAAAGs/Vlg=")</f>
        <v>#REF!</v>
      </c>
      <c r="CL83" t="str">
        <f>AND(#REF!,"AAAAAGs/Vlk=")</f>
        <v>#REF!</v>
      </c>
      <c r="CM83" t="str">
        <f>AND(#REF!,"AAAAAGs/Vlo=")</f>
        <v>#REF!</v>
      </c>
      <c r="CN83" t="str">
        <f>AND(#REF!,"AAAAAGs/Vls=")</f>
        <v>#REF!</v>
      </c>
      <c r="CO83" t="str">
        <f>AND(#REF!,"AAAAAGs/Vlw=")</f>
        <v>#REF!</v>
      </c>
      <c r="CP83" t="str">
        <f>AND(#REF!,"AAAAAGs/Vl0=")</f>
        <v>#REF!</v>
      </c>
      <c r="CQ83" t="str">
        <f>AND(#REF!,"AAAAAGs/Vl4=")</f>
        <v>#REF!</v>
      </c>
      <c r="CR83" t="str">
        <f>AND(#REF!,"AAAAAGs/Vl8=")</f>
        <v>#REF!</v>
      </c>
      <c r="CS83" t="str">
        <f>AND(#REF!,"AAAAAGs/VmA=")</f>
        <v>#REF!</v>
      </c>
      <c r="CT83" t="str">
        <f>AND(#REF!,"AAAAAGs/VmE=")</f>
        <v>#REF!</v>
      </c>
      <c r="CU83" t="str">
        <f>AND(#REF!,"AAAAAGs/VmI=")</f>
        <v>#REF!</v>
      </c>
      <c r="CV83" t="str">
        <f>AND(#REF!,"AAAAAGs/VmM=")</f>
        <v>#REF!</v>
      </c>
      <c r="CW83" t="str">
        <f>AND(#REF!,"AAAAAGs/VmQ=")</f>
        <v>#REF!</v>
      </c>
      <c r="CX83" t="str">
        <f>AND(#REF!,"AAAAAGs/VmU=")</f>
        <v>#REF!</v>
      </c>
      <c r="CY83" t="str">
        <f>AND(#REF!,"AAAAAGs/VmY=")</f>
        <v>#REF!</v>
      </c>
      <c r="CZ83" t="str">
        <f>AND(#REF!,"AAAAAGs/Vmc=")</f>
        <v>#REF!</v>
      </c>
      <c r="DA83" t="str">
        <f>AND(#REF!,"AAAAAGs/Vmg=")</f>
        <v>#REF!</v>
      </c>
      <c r="DB83" t="str">
        <f>AND(#REF!,"AAAAAGs/Vmk=")</f>
        <v>#REF!</v>
      </c>
      <c r="DC83" t="str">
        <f>AND(#REF!,"AAAAAGs/Vmo=")</f>
        <v>#REF!</v>
      </c>
      <c r="DD83" t="str">
        <f>AND(#REF!,"AAAAAGs/Vms=")</f>
        <v>#REF!</v>
      </c>
      <c r="DE83" t="str">
        <f>AND(#REF!,"AAAAAGs/Vmw=")</f>
        <v>#REF!</v>
      </c>
      <c r="DF83" t="str">
        <f>AND(#REF!,"AAAAAGs/Vm0=")</f>
        <v>#REF!</v>
      </c>
      <c r="DG83" t="str">
        <f>AND(#REF!,"AAAAAGs/Vm4=")</f>
        <v>#REF!</v>
      </c>
      <c r="DH83" t="str">
        <f>AND(#REF!,"AAAAAGs/Vm8=")</f>
        <v>#REF!</v>
      </c>
      <c r="DI83" t="str">
        <f>AND(#REF!,"AAAAAGs/VnA=")</f>
        <v>#REF!</v>
      </c>
      <c r="DJ83" t="str">
        <f>AND(#REF!,"AAAAAGs/VnE=")</f>
        <v>#REF!</v>
      </c>
      <c r="DK83" t="str">
        <f>AND(#REF!,"AAAAAGs/VnI=")</f>
        <v>#REF!</v>
      </c>
      <c r="DL83" t="str">
        <f>AND(#REF!,"AAAAAGs/VnM=")</f>
        <v>#REF!</v>
      </c>
      <c r="DM83" t="str">
        <f>AND(#REF!,"AAAAAGs/VnQ=")</f>
        <v>#REF!</v>
      </c>
      <c r="DN83" t="str">
        <f>AND(#REF!,"AAAAAGs/VnU=")</f>
        <v>#REF!</v>
      </c>
      <c r="DO83" t="str">
        <f>AND(#REF!,"AAAAAGs/VnY=")</f>
        <v>#REF!</v>
      </c>
      <c r="DP83" t="str">
        <f>AND(#REF!,"AAAAAGs/Vnc=")</f>
        <v>#REF!</v>
      </c>
      <c r="DQ83" t="str">
        <f>AND(#REF!,"AAAAAGs/Vng=")</f>
        <v>#REF!</v>
      </c>
      <c r="DR83" t="str">
        <f>AND(#REF!,"AAAAAGs/Vnk=")</f>
        <v>#REF!</v>
      </c>
      <c r="DS83" t="str">
        <f>AND(#REF!,"AAAAAGs/Vno=")</f>
        <v>#REF!</v>
      </c>
      <c r="DT83" t="str">
        <f>AND(#REF!,"AAAAAGs/Vns=")</f>
        <v>#REF!</v>
      </c>
      <c r="DU83" t="str">
        <f>AND(#REF!,"AAAAAGs/Vnw=")</f>
        <v>#REF!</v>
      </c>
      <c r="DV83" t="str">
        <f>AND(#REF!,"AAAAAGs/Vn0=")</f>
        <v>#REF!</v>
      </c>
      <c r="DW83" t="str">
        <f>AND(#REF!,"AAAAAGs/Vn4=")</f>
        <v>#REF!</v>
      </c>
      <c r="DX83" t="str">
        <f>AND(#REF!,"AAAAAGs/Vn8=")</f>
        <v>#REF!</v>
      </c>
      <c r="DY83" t="str">
        <f>IF(#REF!,"AAAAAGs/VoA=",0)</f>
        <v>#REF!</v>
      </c>
      <c r="DZ83" t="str">
        <f>AND(#REF!,"AAAAAGs/VoE=")</f>
        <v>#REF!</v>
      </c>
      <c r="EA83" t="str">
        <f>AND(#REF!,"AAAAAGs/VoI=")</f>
        <v>#REF!</v>
      </c>
      <c r="EB83" t="str">
        <f>AND(#REF!,"AAAAAGs/VoM=")</f>
        <v>#REF!</v>
      </c>
      <c r="EC83" t="str">
        <f>AND(#REF!,"AAAAAGs/VoQ=")</f>
        <v>#REF!</v>
      </c>
      <c r="ED83" t="str">
        <f>AND(#REF!,"AAAAAGs/VoU=")</f>
        <v>#REF!</v>
      </c>
      <c r="EE83" t="str">
        <f>AND(#REF!,"AAAAAGs/VoY=")</f>
        <v>#REF!</v>
      </c>
      <c r="EF83" t="str">
        <f>AND(#REF!,"AAAAAGs/Voc=")</f>
        <v>#REF!</v>
      </c>
      <c r="EG83" t="str">
        <f>AND(#REF!,"AAAAAGs/Vog=")</f>
        <v>#REF!</v>
      </c>
      <c r="EH83" t="str">
        <f>AND(#REF!,"AAAAAGs/Vok=")</f>
        <v>#REF!</v>
      </c>
      <c r="EI83" t="str">
        <f>AND(#REF!,"AAAAAGs/Voo=")</f>
        <v>#REF!</v>
      </c>
      <c r="EJ83" t="str">
        <f>AND(#REF!,"AAAAAGs/Vos=")</f>
        <v>#REF!</v>
      </c>
      <c r="EK83" t="str">
        <f>AND(#REF!,"AAAAAGs/Vow=")</f>
        <v>#REF!</v>
      </c>
      <c r="EL83" t="str">
        <f>AND(#REF!,"AAAAAGs/Vo0=")</f>
        <v>#REF!</v>
      </c>
      <c r="EM83" t="str">
        <f>AND(#REF!,"AAAAAGs/Vo4=")</f>
        <v>#REF!</v>
      </c>
      <c r="EN83" t="str">
        <f>AND(#REF!,"AAAAAGs/Vo8=")</f>
        <v>#REF!</v>
      </c>
      <c r="EO83" t="str">
        <f>AND(#REF!,"AAAAAGs/VpA=")</f>
        <v>#REF!</v>
      </c>
      <c r="EP83" t="str">
        <f>AND(#REF!,"AAAAAGs/VpE=")</f>
        <v>#REF!</v>
      </c>
      <c r="EQ83" t="str">
        <f>AND(#REF!,"AAAAAGs/VpI=")</f>
        <v>#REF!</v>
      </c>
      <c r="ER83" t="str">
        <f>AND(#REF!,"AAAAAGs/VpM=")</f>
        <v>#REF!</v>
      </c>
      <c r="ES83" t="str">
        <f>AND(#REF!,"AAAAAGs/VpQ=")</f>
        <v>#REF!</v>
      </c>
      <c r="ET83" t="str">
        <f>AND(#REF!,"AAAAAGs/VpU=")</f>
        <v>#REF!</v>
      </c>
      <c r="EU83" t="str">
        <f>AND(#REF!,"AAAAAGs/VpY=")</f>
        <v>#REF!</v>
      </c>
      <c r="EV83" t="str">
        <f>AND(#REF!,"AAAAAGs/Vpc=")</f>
        <v>#REF!</v>
      </c>
      <c r="EW83" t="str">
        <f>AND(#REF!,"AAAAAGs/Vpg=")</f>
        <v>#REF!</v>
      </c>
      <c r="EX83" t="str">
        <f>AND(#REF!,"AAAAAGs/Vpk=")</f>
        <v>#REF!</v>
      </c>
      <c r="EY83" t="str">
        <f>AND(#REF!,"AAAAAGs/Vpo=")</f>
        <v>#REF!</v>
      </c>
      <c r="EZ83" t="str">
        <f>AND(#REF!,"AAAAAGs/Vps=")</f>
        <v>#REF!</v>
      </c>
      <c r="FA83" t="str">
        <f>AND(#REF!,"AAAAAGs/Vpw=")</f>
        <v>#REF!</v>
      </c>
      <c r="FB83" t="str">
        <f>AND(#REF!,"AAAAAGs/Vp0=")</f>
        <v>#REF!</v>
      </c>
      <c r="FC83" t="str">
        <f>AND(#REF!,"AAAAAGs/Vp4=")</f>
        <v>#REF!</v>
      </c>
      <c r="FD83" t="str">
        <f>AND(#REF!,"AAAAAGs/Vp8=")</f>
        <v>#REF!</v>
      </c>
      <c r="FE83" t="str">
        <f>AND(#REF!,"AAAAAGs/VqA=")</f>
        <v>#REF!</v>
      </c>
      <c r="FF83" t="str">
        <f>AND(#REF!,"AAAAAGs/VqE=")</f>
        <v>#REF!</v>
      </c>
      <c r="FG83" t="str">
        <f>AND(#REF!,"AAAAAGs/VqI=")</f>
        <v>#REF!</v>
      </c>
      <c r="FH83" t="str">
        <f>AND(#REF!,"AAAAAGs/VqM=")</f>
        <v>#REF!</v>
      </c>
      <c r="FI83" t="str">
        <f>AND(#REF!,"AAAAAGs/VqQ=")</f>
        <v>#REF!</v>
      </c>
      <c r="FJ83" t="str">
        <f>AND(#REF!,"AAAAAGs/VqU=")</f>
        <v>#REF!</v>
      </c>
      <c r="FK83" t="str">
        <f>AND(#REF!,"AAAAAGs/VqY=")</f>
        <v>#REF!</v>
      </c>
      <c r="FL83" t="str">
        <f>AND(#REF!,"AAAAAGs/Vqc=")</f>
        <v>#REF!</v>
      </c>
      <c r="FM83" t="str">
        <f>AND(#REF!,"AAAAAGs/Vqg=")</f>
        <v>#REF!</v>
      </c>
      <c r="FN83" t="str">
        <f>AND(#REF!,"AAAAAGs/Vqk=")</f>
        <v>#REF!</v>
      </c>
      <c r="FO83" t="str">
        <f>AND(#REF!,"AAAAAGs/Vqo=")</f>
        <v>#REF!</v>
      </c>
      <c r="FP83" t="str">
        <f>AND(#REF!,"AAAAAGs/Vqs=")</f>
        <v>#REF!</v>
      </c>
      <c r="FQ83" t="str">
        <f>AND(#REF!,"AAAAAGs/Vqw=")</f>
        <v>#REF!</v>
      </c>
      <c r="FR83" t="str">
        <f>AND(#REF!,"AAAAAGs/Vq0=")</f>
        <v>#REF!</v>
      </c>
      <c r="FS83" t="str">
        <f>AND(#REF!,"AAAAAGs/Vq4=")</f>
        <v>#REF!</v>
      </c>
      <c r="FT83" t="str">
        <f>AND(#REF!,"AAAAAGs/Vq8=")</f>
        <v>#REF!</v>
      </c>
      <c r="FU83" t="str">
        <f>AND(#REF!,"AAAAAGs/VrA=")</f>
        <v>#REF!</v>
      </c>
      <c r="FV83" t="str">
        <f>AND(#REF!,"AAAAAGs/VrE=")</f>
        <v>#REF!</v>
      </c>
      <c r="FW83" t="str">
        <f>AND(#REF!,"AAAAAGs/VrI=")</f>
        <v>#REF!</v>
      </c>
      <c r="FX83" t="str">
        <f>AND(#REF!,"AAAAAGs/VrM=")</f>
        <v>#REF!</v>
      </c>
      <c r="FY83" t="str">
        <f>AND(#REF!,"AAAAAGs/VrQ=")</f>
        <v>#REF!</v>
      </c>
      <c r="FZ83" t="str">
        <f>AND(#REF!,"AAAAAGs/VrU=")</f>
        <v>#REF!</v>
      </c>
      <c r="GA83" t="str">
        <f>AND(#REF!,"AAAAAGs/VrY=")</f>
        <v>#REF!</v>
      </c>
      <c r="GB83" t="str">
        <f>AND(#REF!,"AAAAAGs/Vrc=")</f>
        <v>#REF!</v>
      </c>
      <c r="GC83" t="str">
        <f>AND(#REF!,"AAAAAGs/Vrg=")</f>
        <v>#REF!</v>
      </c>
      <c r="GD83" t="str">
        <f>AND(#REF!,"AAAAAGs/Vrk=")</f>
        <v>#REF!</v>
      </c>
      <c r="GE83" t="str">
        <f>AND(#REF!,"AAAAAGs/Vro=")</f>
        <v>#REF!</v>
      </c>
      <c r="GF83" t="str">
        <f>AND(#REF!,"AAAAAGs/Vrs=")</f>
        <v>#REF!</v>
      </c>
      <c r="GG83" t="str">
        <f>AND(#REF!,"AAAAAGs/Vrw=")</f>
        <v>#REF!</v>
      </c>
      <c r="GH83" t="str">
        <f>AND(#REF!,"AAAAAGs/Vr0=")</f>
        <v>#REF!</v>
      </c>
      <c r="GI83" t="str">
        <f>AND(#REF!,"AAAAAGs/Vr4=")</f>
        <v>#REF!</v>
      </c>
      <c r="GJ83" t="str">
        <f>AND(#REF!,"AAAAAGs/Vr8=")</f>
        <v>#REF!</v>
      </c>
      <c r="GK83" t="str">
        <f>AND(#REF!,"AAAAAGs/VsA=")</f>
        <v>#REF!</v>
      </c>
      <c r="GL83" t="str">
        <f>AND(#REF!,"AAAAAGs/VsE=")</f>
        <v>#REF!</v>
      </c>
      <c r="GM83" t="str">
        <f>AND(#REF!,"AAAAAGs/VsI=")</f>
        <v>#REF!</v>
      </c>
      <c r="GN83" t="str">
        <f>AND(#REF!,"AAAAAGs/VsM=")</f>
        <v>#REF!</v>
      </c>
      <c r="GO83" t="str">
        <f>AND(#REF!,"AAAAAGs/VsQ=")</f>
        <v>#REF!</v>
      </c>
      <c r="GP83" t="str">
        <f>AND(#REF!,"AAAAAGs/VsU=")</f>
        <v>#REF!</v>
      </c>
      <c r="GQ83" t="str">
        <f>AND(#REF!,"AAAAAGs/VsY=")</f>
        <v>#REF!</v>
      </c>
      <c r="GR83" t="str">
        <f>AND(#REF!,"AAAAAGs/Vsc=")</f>
        <v>#REF!</v>
      </c>
      <c r="GS83" t="str">
        <f>AND(#REF!,"AAAAAGs/Vsg=")</f>
        <v>#REF!</v>
      </c>
      <c r="GT83" t="str">
        <f>AND(#REF!,"AAAAAGs/Vsk=")</f>
        <v>#REF!</v>
      </c>
      <c r="GU83" t="str">
        <f>AND(#REF!,"AAAAAGs/Vso=")</f>
        <v>#REF!</v>
      </c>
      <c r="GV83" t="str">
        <f>AND(#REF!,"AAAAAGs/Vss=")</f>
        <v>#REF!</v>
      </c>
      <c r="GW83" t="str">
        <f>IF(#REF!,"AAAAAGs/Vsw=",0)</f>
        <v>#REF!</v>
      </c>
      <c r="GX83" t="str">
        <f>AND(#REF!,"AAAAAGs/Vs0=")</f>
        <v>#REF!</v>
      </c>
      <c r="GY83" t="str">
        <f>AND(#REF!,"AAAAAGs/Vs4=")</f>
        <v>#REF!</v>
      </c>
      <c r="GZ83" t="str">
        <f>AND(#REF!,"AAAAAGs/Vs8=")</f>
        <v>#REF!</v>
      </c>
      <c r="HA83" t="str">
        <f>AND(#REF!,"AAAAAGs/VtA=")</f>
        <v>#REF!</v>
      </c>
      <c r="HB83" t="str">
        <f>AND(#REF!,"AAAAAGs/VtE=")</f>
        <v>#REF!</v>
      </c>
      <c r="HC83" t="str">
        <f>AND(#REF!,"AAAAAGs/VtI=")</f>
        <v>#REF!</v>
      </c>
      <c r="HD83" t="str">
        <f>AND(#REF!,"AAAAAGs/VtM=")</f>
        <v>#REF!</v>
      </c>
      <c r="HE83" t="str">
        <f>AND(#REF!,"AAAAAGs/VtQ=")</f>
        <v>#REF!</v>
      </c>
      <c r="HF83" t="str">
        <f>AND(#REF!,"AAAAAGs/VtU=")</f>
        <v>#REF!</v>
      </c>
      <c r="HG83" t="str">
        <f>AND(#REF!,"AAAAAGs/VtY=")</f>
        <v>#REF!</v>
      </c>
      <c r="HH83" t="str">
        <f>AND(#REF!,"AAAAAGs/Vtc=")</f>
        <v>#REF!</v>
      </c>
      <c r="HI83" t="str">
        <f>AND(#REF!,"AAAAAGs/Vtg=")</f>
        <v>#REF!</v>
      </c>
      <c r="HJ83" t="str">
        <f>AND(#REF!,"AAAAAGs/Vtk=")</f>
        <v>#REF!</v>
      </c>
      <c r="HK83" t="str">
        <f>AND(#REF!,"AAAAAGs/Vto=")</f>
        <v>#REF!</v>
      </c>
      <c r="HL83" t="str">
        <f>AND(#REF!,"AAAAAGs/Vts=")</f>
        <v>#REF!</v>
      </c>
      <c r="HM83" t="str">
        <f>AND(#REF!,"AAAAAGs/Vtw=")</f>
        <v>#REF!</v>
      </c>
      <c r="HN83" t="str">
        <f>AND(#REF!,"AAAAAGs/Vt0=")</f>
        <v>#REF!</v>
      </c>
      <c r="HO83" t="str">
        <f>AND(#REF!,"AAAAAGs/Vt4=")</f>
        <v>#REF!</v>
      </c>
      <c r="HP83" t="str">
        <f>AND(#REF!,"AAAAAGs/Vt8=")</f>
        <v>#REF!</v>
      </c>
      <c r="HQ83" t="str">
        <f>AND(#REF!,"AAAAAGs/VuA=")</f>
        <v>#REF!</v>
      </c>
      <c r="HR83" t="str">
        <f>AND(#REF!,"AAAAAGs/VuE=")</f>
        <v>#REF!</v>
      </c>
      <c r="HS83" t="str">
        <f>AND(#REF!,"AAAAAGs/VuI=")</f>
        <v>#REF!</v>
      </c>
      <c r="HT83" t="str">
        <f>AND(#REF!,"AAAAAGs/VuM=")</f>
        <v>#REF!</v>
      </c>
      <c r="HU83" t="str">
        <f>AND(#REF!,"AAAAAGs/VuQ=")</f>
        <v>#REF!</v>
      </c>
      <c r="HV83" t="str">
        <f>AND(#REF!,"AAAAAGs/VuU=")</f>
        <v>#REF!</v>
      </c>
      <c r="HW83" t="str">
        <f>AND(#REF!,"AAAAAGs/VuY=")</f>
        <v>#REF!</v>
      </c>
      <c r="HX83" t="str">
        <f>AND(#REF!,"AAAAAGs/Vuc=")</f>
        <v>#REF!</v>
      </c>
      <c r="HY83" t="str">
        <f>AND(#REF!,"AAAAAGs/Vug=")</f>
        <v>#REF!</v>
      </c>
      <c r="HZ83" t="str">
        <f>AND(#REF!,"AAAAAGs/Vuk=")</f>
        <v>#REF!</v>
      </c>
      <c r="IA83" t="str">
        <f>AND(#REF!,"AAAAAGs/Vuo=")</f>
        <v>#REF!</v>
      </c>
      <c r="IB83" t="str">
        <f>AND(#REF!,"AAAAAGs/Vus=")</f>
        <v>#REF!</v>
      </c>
      <c r="IC83" t="str">
        <f>AND(#REF!,"AAAAAGs/Vuw=")</f>
        <v>#REF!</v>
      </c>
      <c r="ID83" t="str">
        <f>AND(#REF!,"AAAAAGs/Vu0=")</f>
        <v>#REF!</v>
      </c>
      <c r="IE83" t="str">
        <f>AND(#REF!,"AAAAAGs/Vu4=")</f>
        <v>#REF!</v>
      </c>
      <c r="IF83" t="str">
        <f>AND(#REF!,"AAAAAGs/Vu8=")</f>
        <v>#REF!</v>
      </c>
      <c r="IG83" t="str">
        <f>AND(#REF!,"AAAAAGs/VvA=")</f>
        <v>#REF!</v>
      </c>
      <c r="IH83" t="str">
        <f>AND(#REF!,"AAAAAGs/VvE=")</f>
        <v>#REF!</v>
      </c>
      <c r="II83" t="str">
        <f>AND(#REF!,"AAAAAGs/VvI=")</f>
        <v>#REF!</v>
      </c>
      <c r="IJ83" t="str">
        <f>AND(#REF!,"AAAAAGs/VvM=")</f>
        <v>#REF!</v>
      </c>
      <c r="IK83" t="str">
        <f>AND(#REF!,"AAAAAGs/VvQ=")</f>
        <v>#REF!</v>
      </c>
      <c r="IL83" t="str">
        <f>AND(#REF!,"AAAAAGs/VvU=")</f>
        <v>#REF!</v>
      </c>
      <c r="IM83" t="str">
        <f>AND(#REF!,"AAAAAGs/VvY=")</f>
        <v>#REF!</v>
      </c>
      <c r="IN83" t="str">
        <f>AND(#REF!,"AAAAAGs/Vvc=")</f>
        <v>#REF!</v>
      </c>
      <c r="IO83" t="str">
        <f>AND(#REF!,"AAAAAGs/Vvg=")</f>
        <v>#REF!</v>
      </c>
      <c r="IP83" t="str">
        <f>AND(#REF!,"AAAAAGs/Vvk=")</f>
        <v>#REF!</v>
      </c>
      <c r="IQ83" t="str">
        <f>AND(#REF!,"AAAAAGs/Vvo=")</f>
        <v>#REF!</v>
      </c>
      <c r="IR83" t="str">
        <f>AND(#REF!,"AAAAAGs/Vvs=")</f>
        <v>#REF!</v>
      </c>
      <c r="IS83" t="str">
        <f>AND(#REF!,"AAAAAGs/Vvw=")</f>
        <v>#REF!</v>
      </c>
      <c r="IT83" t="str">
        <f>AND(#REF!,"AAAAAGs/Vv0=")</f>
        <v>#REF!</v>
      </c>
      <c r="IU83" t="str">
        <f>AND(#REF!,"AAAAAGs/Vv4=")</f>
        <v>#REF!</v>
      </c>
      <c r="IV83" t="str">
        <f>AND(#REF!,"AAAAAGs/Vv8=")</f>
        <v>#REF!</v>
      </c>
    </row>
    <row r="84" ht="15.75" customHeight="1">
      <c r="A84" t="str">
        <f>AND(#REF!,"AAAAAH73nQA=")</f>
        <v>#REF!</v>
      </c>
      <c r="B84" t="str">
        <f>AND(#REF!,"AAAAAH73nQE=")</f>
        <v>#REF!</v>
      </c>
      <c r="C84" t="str">
        <f>AND(#REF!,"AAAAAH73nQI=")</f>
        <v>#REF!</v>
      </c>
      <c r="D84" t="str">
        <f>AND(#REF!,"AAAAAH73nQM=")</f>
        <v>#REF!</v>
      </c>
      <c r="E84" t="str">
        <f>AND(#REF!,"AAAAAH73nQQ=")</f>
        <v>#REF!</v>
      </c>
      <c r="F84" t="str">
        <f>AND(#REF!,"AAAAAH73nQU=")</f>
        <v>#REF!</v>
      </c>
      <c r="G84" t="str">
        <f>AND(#REF!,"AAAAAH73nQY=")</f>
        <v>#REF!</v>
      </c>
      <c r="H84" t="str">
        <f>AND(#REF!,"AAAAAH73nQc=")</f>
        <v>#REF!</v>
      </c>
      <c r="I84" t="str">
        <f>AND(#REF!,"AAAAAH73nQg=")</f>
        <v>#REF!</v>
      </c>
      <c r="J84" t="str">
        <f>AND(#REF!,"AAAAAH73nQk=")</f>
        <v>#REF!</v>
      </c>
      <c r="K84" t="str">
        <f>AND(#REF!,"AAAAAH73nQo=")</f>
        <v>#REF!</v>
      </c>
      <c r="L84" t="str">
        <f>AND(#REF!,"AAAAAH73nQs=")</f>
        <v>#REF!</v>
      </c>
      <c r="M84" t="str">
        <f>AND(#REF!,"AAAAAH73nQw=")</f>
        <v>#REF!</v>
      </c>
      <c r="N84" t="str">
        <f>AND(#REF!,"AAAAAH73nQ0=")</f>
        <v>#REF!</v>
      </c>
      <c r="O84" t="str">
        <f>AND(#REF!,"AAAAAH73nQ4=")</f>
        <v>#REF!</v>
      </c>
      <c r="P84" t="str">
        <f>AND(#REF!,"AAAAAH73nQ8=")</f>
        <v>#REF!</v>
      </c>
      <c r="Q84" t="str">
        <f>AND(#REF!,"AAAAAH73nRA=")</f>
        <v>#REF!</v>
      </c>
      <c r="R84" t="str">
        <f>AND(#REF!,"AAAAAH73nRE=")</f>
        <v>#REF!</v>
      </c>
      <c r="S84" t="str">
        <f>AND(#REF!,"AAAAAH73nRI=")</f>
        <v>#REF!</v>
      </c>
      <c r="T84" t="str">
        <f>AND(#REF!,"AAAAAH73nRM=")</f>
        <v>#REF!</v>
      </c>
      <c r="U84" t="str">
        <f>AND(#REF!,"AAAAAH73nRQ=")</f>
        <v>#REF!</v>
      </c>
      <c r="V84" t="str">
        <f>AND(#REF!,"AAAAAH73nRU=")</f>
        <v>#REF!</v>
      </c>
      <c r="W84" t="str">
        <f>AND(#REF!,"AAAAAH73nRY=")</f>
        <v>#REF!</v>
      </c>
      <c r="X84" t="str">
        <f>AND(#REF!,"AAAAAH73nRc=")</f>
        <v>#REF!</v>
      </c>
      <c r="Y84" t="str">
        <f>IF(#REF!,"AAAAAH73nRg=",0)</f>
        <v>#REF!</v>
      </c>
      <c r="Z84" t="str">
        <f>AND(#REF!,"AAAAAH73nRk=")</f>
        <v>#REF!</v>
      </c>
      <c r="AA84" t="str">
        <f>AND(#REF!,"AAAAAH73nRo=")</f>
        <v>#REF!</v>
      </c>
      <c r="AB84" t="str">
        <f>AND(#REF!,"AAAAAH73nRs=")</f>
        <v>#REF!</v>
      </c>
      <c r="AC84" t="str">
        <f>AND(#REF!,"AAAAAH73nRw=")</f>
        <v>#REF!</v>
      </c>
      <c r="AD84" t="str">
        <f>AND(#REF!,"AAAAAH73nR0=")</f>
        <v>#REF!</v>
      </c>
      <c r="AE84" t="str">
        <f>AND(#REF!,"AAAAAH73nR4=")</f>
        <v>#REF!</v>
      </c>
      <c r="AF84" t="str">
        <f>AND(#REF!,"AAAAAH73nR8=")</f>
        <v>#REF!</v>
      </c>
      <c r="AG84" t="str">
        <f>AND(#REF!,"AAAAAH73nSA=")</f>
        <v>#REF!</v>
      </c>
      <c r="AH84" t="str">
        <f>AND(#REF!,"AAAAAH73nSE=")</f>
        <v>#REF!</v>
      </c>
      <c r="AI84" t="str">
        <f>AND(#REF!,"AAAAAH73nSI=")</f>
        <v>#REF!</v>
      </c>
      <c r="AJ84" t="str">
        <f>AND(#REF!,"AAAAAH73nSM=")</f>
        <v>#REF!</v>
      </c>
      <c r="AK84" t="str">
        <f>AND(#REF!,"AAAAAH73nSQ=")</f>
        <v>#REF!</v>
      </c>
      <c r="AL84" t="str">
        <f>AND(#REF!,"AAAAAH73nSU=")</f>
        <v>#REF!</v>
      </c>
      <c r="AM84" t="str">
        <f>AND(#REF!,"AAAAAH73nSY=")</f>
        <v>#REF!</v>
      </c>
      <c r="AN84" t="str">
        <f>AND(#REF!,"AAAAAH73nSc=")</f>
        <v>#REF!</v>
      </c>
      <c r="AO84" t="str">
        <f>AND(#REF!,"AAAAAH73nSg=")</f>
        <v>#REF!</v>
      </c>
      <c r="AP84" t="str">
        <f>AND(#REF!,"AAAAAH73nSk=")</f>
        <v>#REF!</v>
      </c>
      <c r="AQ84" t="str">
        <f>AND(#REF!,"AAAAAH73nSo=")</f>
        <v>#REF!</v>
      </c>
      <c r="AR84" t="str">
        <f>AND(#REF!,"AAAAAH73nSs=")</f>
        <v>#REF!</v>
      </c>
      <c r="AS84" t="str">
        <f>AND(#REF!,"AAAAAH73nSw=")</f>
        <v>#REF!</v>
      </c>
      <c r="AT84" t="str">
        <f>AND(#REF!,"AAAAAH73nS0=")</f>
        <v>#REF!</v>
      </c>
      <c r="AU84" t="str">
        <f>AND(#REF!,"AAAAAH73nS4=")</f>
        <v>#REF!</v>
      </c>
      <c r="AV84" t="str">
        <f>AND(#REF!,"AAAAAH73nS8=")</f>
        <v>#REF!</v>
      </c>
      <c r="AW84" t="str">
        <f>AND(#REF!,"AAAAAH73nTA=")</f>
        <v>#REF!</v>
      </c>
      <c r="AX84" t="str">
        <f>AND(#REF!,"AAAAAH73nTE=")</f>
        <v>#REF!</v>
      </c>
      <c r="AY84" t="str">
        <f>AND(#REF!,"AAAAAH73nTI=")</f>
        <v>#REF!</v>
      </c>
      <c r="AZ84" t="str">
        <f>AND(#REF!,"AAAAAH73nTM=")</f>
        <v>#REF!</v>
      </c>
      <c r="BA84" t="str">
        <f>AND(#REF!,"AAAAAH73nTQ=")</f>
        <v>#REF!</v>
      </c>
      <c r="BB84" t="str">
        <f>AND(#REF!,"AAAAAH73nTU=")</f>
        <v>#REF!</v>
      </c>
      <c r="BC84" t="str">
        <f>AND(#REF!,"AAAAAH73nTY=")</f>
        <v>#REF!</v>
      </c>
      <c r="BD84" t="str">
        <f>AND(#REF!,"AAAAAH73nTc=")</f>
        <v>#REF!</v>
      </c>
      <c r="BE84" t="str">
        <f>AND(#REF!,"AAAAAH73nTg=")</f>
        <v>#REF!</v>
      </c>
      <c r="BF84" t="str">
        <f>AND(#REF!,"AAAAAH73nTk=")</f>
        <v>#REF!</v>
      </c>
      <c r="BG84" t="str">
        <f>AND(#REF!,"AAAAAH73nTo=")</f>
        <v>#REF!</v>
      </c>
      <c r="BH84" t="str">
        <f>AND(#REF!,"AAAAAH73nTs=")</f>
        <v>#REF!</v>
      </c>
      <c r="BI84" t="str">
        <f>AND(#REF!,"AAAAAH73nTw=")</f>
        <v>#REF!</v>
      </c>
      <c r="BJ84" t="str">
        <f>AND(#REF!,"AAAAAH73nT0=")</f>
        <v>#REF!</v>
      </c>
      <c r="BK84" t="str">
        <f>AND(#REF!,"AAAAAH73nT4=")</f>
        <v>#REF!</v>
      </c>
      <c r="BL84" t="str">
        <f>AND(#REF!,"AAAAAH73nT8=")</f>
        <v>#REF!</v>
      </c>
      <c r="BM84" t="str">
        <f>AND(#REF!,"AAAAAH73nUA=")</f>
        <v>#REF!</v>
      </c>
      <c r="BN84" t="str">
        <f>AND(#REF!,"AAAAAH73nUE=")</f>
        <v>#REF!</v>
      </c>
      <c r="BO84" t="str">
        <f>AND(#REF!,"AAAAAH73nUI=")</f>
        <v>#REF!</v>
      </c>
      <c r="BP84" t="str">
        <f>AND(#REF!,"AAAAAH73nUM=")</f>
        <v>#REF!</v>
      </c>
      <c r="BQ84" t="str">
        <f>AND(#REF!,"AAAAAH73nUQ=")</f>
        <v>#REF!</v>
      </c>
      <c r="BR84" t="str">
        <f>AND(#REF!,"AAAAAH73nUU=")</f>
        <v>#REF!</v>
      </c>
      <c r="BS84" t="str">
        <f>AND(#REF!,"AAAAAH73nUY=")</f>
        <v>#REF!</v>
      </c>
      <c r="BT84" t="str">
        <f>AND(#REF!,"AAAAAH73nUc=")</f>
        <v>#REF!</v>
      </c>
      <c r="BU84" t="str">
        <f>AND(#REF!,"AAAAAH73nUg=")</f>
        <v>#REF!</v>
      </c>
      <c r="BV84" t="str">
        <f>AND(#REF!,"AAAAAH73nUk=")</f>
        <v>#REF!</v>
      </c>
      <c r="BW84" t="str">
        <f>AND(#REF!,"AAAAAH73nUo=")</f>
        <v>#REF!</v>
      </c>
      <c r="BX84" t="str">
        <f>AND(#REF!,"AAAAAH73nUs=")</f>
        <v>#REF!</v>
      </c>
      <c r="BY84" t="str">
        <f>AND(#REF!,"AAAAAH73nUw=")</f>
        <v>#REF!</v>
      </c>
      <c r="BZ84" t="str">
        <f>AND(#REF!,"AAAAAH73nU0=")</f>
        <v>#REF!</v>
      </c>
      <c r="CA84" t="str">
        <f>AND(#REF!,"AAAAAH73nU4=")</f>
        <v>#REF!</v>
      </c>
      <c r="CB84" t="str">
        <f>AND(#REF!,"AAAAAH73nU8=")</f>
        <v>#REF!</v>
      </c>
      <c r="CC84" t="str">
        <f>AND(#REF!,"AAAAAH73nVA=")</f>
        <v>#REF!</v>
      </c>
      <c r="CD84" t="str">
        <f>AND(#REF!,"AAAAAH73nVE=")</f>
        <v>#REF!</v>
      </c>
      <c r="CE84" t="str">
        <f>AND(#REF!,"AAAAAH73nVI=")</f>
        <v>#REF!</v>
      </c>
      <c r="CF84" t="str">
        <f>AND(#REF!,"AAAAAH73nVM=")</f>
        <v>#REF!</v>
      </c>
      <c r="CG84" t="str">
        <f>AND(#REF!,"AAAAAH73nVQ=")</f>
        <v>#REF!</v>
      </c>
      <c r="CH84" t="str">
        <f>AND(#REF!,"AAAAAH73nVU=")</f>
        <v>#REF!</v>
      </c>
      <c r="CI84" t="str">
        <f>AND(#REF!,"AAAAAH73nVY=")</f>
        <v>#REF!</v>
      </c>
      <c r="CJ84" t="str">
        <f>AND(#REF!,"AAAAAH73nVc=")</f>
        <v>#REF!</v>
      </c>
      <c r="CK84" t="str">
        <f>AND(#REF!,"AAAAAH73nVg=")</f>
        <v>#REF!</v>
      </c>
      <c r="CL84" t="str">
        <f>AND(#REF!,"AAAAAH73nVk=")</f>
        <v>#REF!</v>
      </c>
      <c r="CM84" t="str">
        <f>AND(#REF!,"AAAAAH73nVo=")</f>
        <v>#REF!</v>
      </c>
      <c r="CN84" t="str">
        <f>AND(#REF!,"AAAAAH73nVs=")</f>
        <v>#REF!</v>
      </c>
      <c r="CO84" t="str">
        <f>AND(#REF!,"AAAAAH73nVw=")</f>
        <v>#REF!</v>
      </c>
      <c r="CP84" t="str">
        <f>AND(#REF!,"AAAAAH73nV0=")</f>
        <v>#REF!</v>
      </c>
      <c r="CQ84" t="str">
        <f>AND(#REF!,"AAAAAH73nV4=")</f>
        <v>#REF!</v>
      </c>
      <c r="CR84" t="str">
        <f>AND(#REF!,"AAAAAH73nV8=")</f>
        <v>#REF!</v>
      </c>
      <c r="CS84" t="str">
        <f>AND(#REF!,"AAAAAH73nWA=")</f>
        <v>#REF!</v>
      </c>
      <c r="CT84" t="str">
        <f>AND(#REF!,"AAAAAH73nWE=")</f>
        <v>#REF!</v>
      </c>
      <c r="CU84" t="str">
        <f>AND(#REF!,"AAAAAH73nWI=")</f>
        <v>#REF!</v>
      </c>
      <c r="CV84" t="str">
        <f>AND(#REF!,"AAAAAH73nWM=")</f>
        <v>#REF!</v>
      </c>
      <c r="CW84" t="str">
        <f>IF(#REF!,"AAAAAH73nWQ=",0)</f>
        <v>#REF!</v>
      </c>
      <c r="CX84" t="str">
        <f>AND(#REF!,"AAAAAH73nWU=")</f>
        <v>#REF!</v>
      </c>
      <c r="CY84" t="str">
        <f>AND(#REF!,"AAAAAH73nWY=")</f>
        <v>#REF!</v>
      </c>
      <c r="CZ84" t="str">
        <f>AND(#REF!,"AAAAAH73nWc=")</f>
        <v>#REF!</v>
      </c>
      <c r="DA84" t="str">
        <f>AND(#REF!,"AAAAAH73nWg=")</f>
        <v>#REF!</v>
      </c>
      <c r="DB84" t="str">
        <f>AND(#REF!,"AAAAAH73nWk=")</f>
        <v>#REF!</v>
      </c>
      <c r="DC84" t="str">
        <f>AND(#REF!,"AAAAAH73nWo=")</f>
        <v>#REF!</v>
      </c>
      <c r="DD84" t="str">
        <f>AND(#REF!,"AAAAAH73nWs=")</f>
        <v>#REF!</v>
      </c>
      <c r="DE84" t="str">
        <f>AND(#REF!,"AAAAAH73nWw=")</f>
        <v>#REF!</v>
      </c>
      <c r="DF84" t="str">
        <f>AND(#REF!,"AAAAAH73nW0=")</f>
        <v>#REF!</v>
      </c>
      <c r="DG84" t="str">
        <f>AND(#REF!,"AAAAAH73nW4=")</f>
        <v>#REF!</v>
      </c>
      <c r="DH84" t="str">
        <f>AND(#REF!,"AAAAAH73nW8=")</f>
        <v>#REF!</v>
      </c>
      <c r="DI84" t="str">
        <f>AND(#REF!,"AAAAAH73nXA=")</f>
        <v>#REF!</v>
      </c>
      <c r="DJ84" t="str">
        <f>AND(#REF!,"AAAAAH73nXE=")</f>
        <v>#REF!</v>
      </c>
      <c r="DK84" t="str">
        <f>AND(#REF!,"AAAAAH73nXI=")</f>
        <v>#REF!</v>
      </c>
      <c r="DL84" t="str">
        <f>AND(#REF!,"AAAAAH73nXM=")</f>
        <v>#REF!</v>
      </c>
      <c r="DM84" t="str">
        <f>AND(#REF!,"AAAAAH73nXQ=")</f>
        <v>#REF!</v>
      </c>
      <c r="DN84" t="str">
        <f>AND(#REF!,"AAAAAH73nXU=")</f>
        <v>#REF!</v>
      </c>
      <c r="DO84" t="str">
        <f>AND(#REF!,"AAAAAH73nXY=")</f>
        <v>#REF!</v>
      </c>
      <c r="DP84" t="str">
        <f>AND(#REF!,"AAAAAH73nXc=")</f>
        <v>#REF!</v>
      </c>
      <c r="DQ84" t="str">
        <f>AND(#REF!,"AAAAAH73nXg=")</f>
        <v>#REF!</v>
      </c>
      <c r="DR84" t="str">
        <f>AND(#REF!,"AAAAAH73nXk=")</f>
        <v>#REF!</v>
      </c>
      <c r="DS84" t="str">
        <f>AND(#REF!,"AAAAAH73nXo=")</f>
        <v>#REF!</v>
      </c>
      <c r="DT84" t="str">
        <f>AND(#REF!,"AAAAAH73nXs=")</f>
        <v>#REF!</v>
      </c>
      <c r="DU84" t="str">
        <f>AND(#REF!,"AAAAAH73nXw=")</f>
        <v>#REF!</v>
      </c>
      <c r="DV84" t="str">
        <f>AND(#REF!,"AAAAAH73nX0=")</f>
        <v>#REF!</v>
      </c>
      <c r="DW84" t="str">
        <f>AND(#REF!,"AAAAAH73nX4=")</f>
        <v>#REF!</v>
      </c>
      <c r="DX84" t="str">
        <f>AND(#REF!,"AAAAAH73nX8=")</f>
        <v>#REF!</v>
      </c>
      <c r="DY84" t="str">
        <f>AND(#REF!,"AAAAAH73nYA=")</f>
        <v>#REF!</v>
      </c>
      <c r="DZ84" t="str">
        <f>AND(#REF!,"AAAAAH73nYE=")</f>
        <v>#REF!</v>
      </c>
      <c r="EA84" t="str">
        <f>AND(#REF!,"AAAAAH73nYI=")</f>
        <v>#REF!</v>
      </c>
      <c r="EB84" t="str">
        <f>AND(#REF!,"AAAAAH73nYM=")</f>
        <v>#REF!</v>
      </c>
      <c r="EC84" t="str">
        <f>AND(#REF!,"AAAAAH73nYQ=")</f>
        <v>#REF!</v>
      </c>
      <c r="ED84" t="str">
        <f>AND(#REF!,"AAAAAH73nYU=")</f>
        <v>#REF!</v>
      </c>
      <c r="EE84" t="str">
        <f>AND(#REF!,"AAAAAH73nYY=")</f>
        <v>#REF!</v>
      </c>
      <c r="EF84" t="str">
        <f>AND(#REF!,"AAAAAH73nYc=")</f>
        <v>#REF!</v>
      </c>
      <c r="EG84" t="str">
        <f>AND(#REF!,"AAAAAH73nYg=")</f>
        <v>#REF!</v>
      </c>
      <c r="EH84" t="str">
        <f>AND(#REF!,"AAAAAH73nYk=")</f>
        <v>#REF!</v>
      </c>
      <c r="EI84" t="str">
        <f>AND(#REF!,"AAAAAH73nYo=")</f>
        <v>#REF!</v>
      </c>
      <c r="EJ84" t="str">
        <f>AND(#REF!,"AAAAAH73nYs=")</f>
        <v>#REF!</v>
      </c>
      <c r="EK84" t="str">
        <f>AND(#REF!,"AAAAAH73nYw=")</f>
        <v>#REF!</v>
      </c>
      <c r="EL84" t="str">
        <f>AND(#REF!,"AAAAAH73nY0=")</f>
        <v>#REF!</v>
      </c>
      <c r="EM84" t="str">
        <f>AND(#REF!,"AAAAAH73nY4=")</f>
        <v>#REF!</v>
      </c>
      <c r="EN84" t="str">
        <f>AND(#REF!,"AAAAAH73nY8=")</f>
        <v>#REF!</v>
      </c>
      <c r="EO84" t="str">
        <f>AND(#REF!,"AAAAAH73nZA=")</f>
        <v>#REF!</v>
      </c>
      <c r="EP84" t="str">
        <f>AND(#REF!,"AAAAAH73nZE=")</f>
        <v>#REF!</v>
      </c>
      <c r="EQ84" t="str">
        <f>AND(#REF!,"AAAAAH73nZI=")</f>
        <v>#REF!</v>
      </c>
      <c r="ER84" t="str">
        <f>AND(#REF!,"AAAAAH73nZM=")</f>
        <v>#REF!</v>
      </c>
      <c r="ES84" t="str">
        <f>AND(#REF!,"AAAAAH73nZQ=")</f>
        <v>#REF!</v>
      </c>
      <c r="ET84" t="str">
        <f>AND(#REF!,"AAAAAH73nZU=")</f>
        <v>#REF!</v>
      </c>
      <c r="EU84" t="str">
        <f>AND(#REF!,"AAAAAH73nZY=")</f>
        <v>#REF!</v>
      </c>
      <c r="EV84" t="str">
        <f>AND(#REF!,"AAAAAH73nZc=")</f>
        <v>#REF!</v>
      </c>
      <c r="EW84" t="str">
        <f>AND(#REF!,"AAAAAH73nZg=")</f>
        <v>#REF!</v>
      </c>
      <c r="EX84" t="str">
        <f>AND(#REF!,"AAAAAH73nZk=")</f>
        <v>#REF!</v>
      </c>
      <c r="EY84" t="str">
        <f>AND(#REF!,"AAAAAH73nZo=")</f>
        <v>#REF!</v>
      </c>
      <c r="EZ84" t="str">
        <f>AND(#REF!,"AAAAAH73nZs=")</f>
        <v>#REF!</v>
      </c>
      <c r="FA84" t="str">
        <f>AND(#REF!,"AAAAAH73nZw=")</f>
        <v>#REF!</v>
      </c>
      <c r="FB84" t="str">
        <f>AND(#REF!,"AAAAAH73nZ0=")</f>
        <v>#REF!</v>
      </c>
      <c r="FC84" t="str">
        <f>AND(#REF!,"AAAAAH73nZ4=")</f>
        <v>#REF!</v>
      </c>
      <c r="FD84" t="str">
        <f>AND(#REF!,"AAAAAH73nZ8=")</f>
        <v>#REF!</v>
      </c>
      <c r="FE84" t="str">
        <f>AND(#REF!,"AAAAAH73naA=")</f>
        <v>#REF!</v>
      </c>
      <c r="FF84" t="str">
        <f>AND(#REF!,"AAAAAH73naE=")</f>
        <v>#REF!</v>
      </c>
      <c r="FG84" t="str">
        <f>AND(#REF!,"AAAAAH73naI=")</f>
        <v>#REF!</v>
      </c>
      <c r="FH84" t="str">
        <f>AND(#REF!,"AAAAAH73naM=")</f>
        <v>#REF!</v>
      </c>
      <c r="FI84" t="str">
        <f>AND(#REF!,"AAAAAH73naQ=")</f>
        <v>#REF!</v>
      </c>
      <c r="FJ84" t="str">
        <f>AND(#REF!,"AAAAAH73naU=")</f>
        <v>#REF!</v>
      </c>
      <c r="FK84" t="str">
        <f>AND(#REF!,"AAAAAH73naY=")</f>
        <v>#REF!</v>
      </c>
      <c r="FL84" t="str">
        <f>AND(#REF!,"AAAAAH73nac=")</f>
        <v>#REF!</v>
      </c>
      <c r="FM84" t="str">
        <f>AND(#REF!,"AAAAAH73nag=")</f>
        <v>#REF!</v>
      </c>
      <c r="FN84" t="str">
        <f>AND(#REF!,"AAAAAH73nak=")</f>
        <v>#REF!</v>
      </c>
      <c r="FO84" t="str">
        <f>AND(#REF!,"AAAAAH73nao=")</f>
        <v>#REF!</v>
      </c>
      <c r="FP84" t="str">
        <f>AND(#REF!,"AAAAAH73nas=")</f>
        <v>#REF!</v>
      </c>
      <c r="FQ84" t="str">
        <f>AND(#REF!,"AAAAAH73naw=")</f>
        <v>#REF!</v>
      </c>
      <c r="FR84" t="str">
        <f>AND(#REF!,"AAAAAH73na0=")</f>
        <v>#REF!</v>
      </c>
      <c r="FS84" t="str">
        <f>AND(#REF!,"AAAAAH73na4=")</f>
        <v>#REF!</v>
      </c>
      <c r="FT84" t="str">
        <f>AND(#REF!,"AAAAAH73na8=")</f>
        <v>#REF!</v>
      </c>
      <c r="FU84" t="str">
        <f>IF(#REF!,"AAAAAH73nbA=",0)</f>
        <v>#REF!</v>
      </c>
      <c r="FV84" t="str">
        <f>AND(#REF!,"AAAAAH73nbE=")</f>
        <v>#REF!</v>
      </c>
      <c r="FW84" t="str">
        <f>AND(#REF!,"AAAAAH73nbI=")</f>
        <v>#REF!</v>
      </c>
      <c r="FX84" t="str">
        <f>AND(#REF!,"AAAAAH73nbM=")</f>
        <v>#REF!</v>
      </c>
      <c r="FY84" t="str">
        <f>AND(#REF!,"AAAAAH73nbQ=")</f>
        <v>#REF!</v>
      </c>
      <c r="FZ84" t="str">
        <f>AND(#REF!,"AAAAAH73nbU=")</f>
        <v>#REF!</v>
      </c>
      <c r="GA84" t="str">
        <f>AND(#REF!,"AAAAAH73nbY=")</f>
        <v>#REF!</v>
      </c>
      <c r="GB84" t="str">
        <f>AND(#REF!,"AAAAAH73nbc=")</f>
        <v>#REF!</v>
      </c>
      <c r="GC84" t="str">
        <f>AND(#REF!,"AAAAAH73nbg=")</f>
        <v>#REF!</v>
      </c>
      <c r="GD84" t="str">
        <f>AND(#REF!,"AAAAAH73nbk=")</f>
        <v>#REF!</v>
      </c>
      <c r="GE84" t="str">
        <f>AND(#REF!,"AAAAAH73nbo=")</f>
        <v>#REF!</v>
      </c>
      <c r="GF84" t="str">
        <f>AND(#REF!,"AAAAAH73nbs=")</f>
        <v>#REF!</v>
      </c>
      <c r="GG84" t="str">
        <f>AND(#REF!,"AAAAAH73nbw=")</f>
        <v>#REF!</v>
      </c>
      <c r="GH84" t="str">
        <f>AND(#REF!,"AAAAAH73nb0=")</f>
        <v>#REF!</v>
      </c>
      <c r="GI84" t="str">
        <f>AND(#REF!,"AAAAAH73nb4=")</f>
        <v>#REF!</v>
      </c>
      <c r="GJ84" t="str">
        <f>AND(#REF!,"AAAAAH73nb8=")</f>
        <v>#REF!</v>
      </c>
      <c r="GK84" t="str">
        <f>AND(#REF!,"AAAAAH73ncA=")</f>
        <v>#REF!</v>
      </c>
      <c r="GL84" t="str">
        <f>AND(#REF!,"AAAAAH73ncE=")</f>
        <v>#REF!</v>
      </c>
      <c r="GM84" t="str">
        <f>AND(#REF!,"AAAAAH73ncI=")</f>
        <v>#REF!</v>
      </c>
      <c r="GN84" t="str">
        <f>AND(#REF!,"AAAAAH73ncM=")</f>
        <v>#REF!</v>
      </c>
      <c r="GO84" t="str">
        <f>AND(#REF!,"AAAAAH73ncQ=")</f>
        <v>#REF!</v>
      </c>
      <c r="GP84" t="str">
        <f>AND(#REF!,"AAAAAH73ncU=")</f>
        <v>#REF!</v>
      </c>
      <c r="GQ84" t="str">
        <f>AND(#REF!,"AAAAAH73ncY=")</f>
        <v>#REF!</v>
      </c>
      <c r="GR84" t="str">
        <f>AND(#REF!,"AAAAAH73ncc=")</f>
        <v>#REF!</v>
      </c>
      <c r="GS84" t="str">
        <f>AND(#REF!,"AAAAAH73ncg=")</f>
        <v>#REF!</v>
      </c>
      <c r="GT84" t="str">
        <f>AND(#REF!,"AAAAAH73nck=")</f>
        <v>#REF!</v>
      </c>
      <c r="GU84" t="str">
        <f>AND(#REF!,"AAAAAH73nco=")</f>
        <v>#REF!</v>
      </c>
      <c r="GV84" t="str">
        <f>AND(#REF!,"AAAAAH73ncs=")</f>
        <v>#REF!</v>
      </c>
      <c r="GW84" t="str">
        <f>AND(#REF!,"AAAAAH73ncw=")</f>
        <v>#REF!</v>
      </c>
      <c r="GX84" t="str">
        <f>AND(#REF!,"AAAAAH73nc0=")</f>
        <v>#REF!</v>
      </c>
      <c r="GY84" t="str">
        <f>AND(#REF!,"AAAAAH73nc4=")</f>
        <v>#REF!</v>
      </c>
      <c r="GZ84" t="str">
        <f>AND(#REF!,"AAAAAH73nc8=")</f>
        <v>#REF!</v>
      </c>
      <c r="HA84" t="str">
        <f>AND(#REF!,"AAAAAH73ndA=")</f>
        <v>#REF!</v>
      </c>
      <c r="HB84" t="str">
        <f>AND(#REF!,"AAAAAH73ndE=")</f>
        <v>#REF!</v>
      </c>
      <c r="HC84" t="str">
        <f>AND(#REF!,"AAAAAH73ndI=")</f>
        <v>#REF!</v>
      </c>
      <c r="HD84" t="str">
        <f>AND(#REF!,"AAAAAH73ndM=")</f>
        <v>#REF!</v>
      </c>
      <c r="HE84" t="str">
        <f>AND(#REF!,"AAAAAH73ndQ=")</f>
        <v>#REF!</v>
      </c>
      <c r="HF84" t="str">
        <f>AND(#REF!,"AAAAAH73ndU=")</f>
        <v>#REF!</v>
      </c>
      <c r="HG84" t="str">
        <f>AND(#REF!,"AAAAAH73ndY=")</f>
        <v>#REF!</v>
      </c>
      <c r="HH84" t="str">
        <f>AND(#REF!,"AAAAAH73ndc=")</f>
        <v>#REF!</v>
      </c>
      <c r="HI84" t="str">
        <f>AND(#REF!,"AAAAAH73ndg=")</f>
        <v>#REF!</v>
      </c>
      <c r="HJ84" t="str">
        <f>AND(#REF!,"AAAAAH73ndk=")</f>
        <v>#REF!</v>
      </c>
      <c r="HK84" t="str">
        <f>AND(#REF!,"AAAAAH73ndo=")</f>
        <v>#REF!</v>
      </c>
      <c r="HL84" t="str">
        <f>AND(#REF!,"AAAAAH73nds=")</f>
        <v>#REF!</v>
      </c>
      <c r="HM84" t="str">
        <f>AND(#REF!,"AAAAAH73ndw=")</f>
        <v>#REF!</v>
      </c>
      <c r="HN84" t="str">
        <f>AND(#REF!,"AAAAAH73nd0=")</f>
        <v>#REF!</v>
      </c>
      <c r="HO84" t="str">
        <f>AND(#REF!,"AAAAAH73nd4=")</f>
        <v>#REF!</v>
      </c>
      <c r="HP84" t="str">
        <f>AND(#REF!,"AAAAAH73nd8=")</f>
        <v>#REF!</v>
      </c>
      <c r="HQ84" t="str">
        <f>AND(#REF!,"AAAAAH73neA=")</f>
        <v>#REF!</v>
      </c>
      <c r="HR84" t="str">
        <f>AND(#REF!,"AAAAAH73neE=")</f>
        <v>#REF!</v>
      </c>
      <c r="HS84" t="str">
        <f>AND(#REF!,"AAAAAH73neI=")</f>
        <v>#REF!</v>
      </c>
      <c r="HT84" t="str">
        <f>AND(#REF!,"AAAAAH73neM=")</f>
        <v>#REF!</v>
      </c>
      <c r="HU84" t="str">
        <f>AND(#REF!,"AAAAAH73neQ=")</f>
        <v>#REF!</v>
      </c>
      <c r="HV84" t="str">
        <f>AND(#REF!,"AAAAAH73neU=")</f>
        <v>#REF!</v>
      </c>
      <c r="HW84" t="str">
        <f>AND(#REF!,"AAAAAH73neY=")</f>
        <v>#REF!</v>
      </c>
      <c r="HX84" t="str">
        <f>AND(#REF!,"AAAAAH73nec=")</f>
        <v>#REF!</v>
      </c>
      <c r="HY84" t="str">
        <f>AND(#REF!,"AAAAAH73neg=")</f>
        <v>#REF!</v>
      </c>
      <c r="HZ84" t="str">
        <f>AND(#REF!,"AAAAAH73nek=")</f>
        <v>#REF!</v>
      </c>
      <c r="IA84" t="str">
        <f>AND(#REF!,"AAAAAH73neo=")</f>
        <v>#REF!</v>
      </c>
      <c r="IB84" t="str">
        <f>AND(#REF!,"AAAAAH73nes=")</f>
        <v>#REF!</v>
      </c>
      <c r="IC84" t="str">
        <f>AND(#REF!,"AAAAAH73new=")</f>
        <v>#REF!</v>
      </c>
      <c r="ID84" t="str">
        <f>AND(#REF!,"AAAAAH73ne0=")</f>
        <v>#REF!</v>
      </c>
      <c r="IE84" t="str">
        <f>AND(#REF!,"AAAAAH73ne4=")</f>
        <v>#REF!</v>
      </c>
      <c r="IF84" t="str">
        <f>AND(#REF!,"AAAAAH73ne8=")</f>
        <v>#REF!</v>
      </c>
      <c r="IG84" t="str">
        <f>AND(#REF!,"AAAAAH73nfA=")</f>
        <v>#REF!</v>
      </c>
      <c r="IH84" t="str">
        <f>AND(#REF!,"AAAAAH73nfE=")</f>
        <v>#REF!</v>
      </c>
      <c r="II84" t="str">
        <f>AND(#REF!,"AAAAAH73nfI=")</f>
        <v>#REF!</v>
      </c>
      <c r="IJ84" t="str">
        <f>AND(#REF!,"AAAAAH73nfM=")</f>
        <v>#REF!</v>
      </c>
      <c r="IK84" t="str">
        <f>AND(#REF!,"AAAAAH73nfQ=")</f>
        <v>#REF!</v>
      </c>
      <c r="IL84" t="str">
        <f>AND(#REF!,"AAAAAH73nfU=")</f>
        <v>#REF!</v>
      </c>
      <c r="IM84" t="str">
        <f>AND(#REF!,"AAAAAH73nfY=")</f>
        <v>#REF!</v>
      </c>
      <c r="IN84" t="str">
        <f>AND(#REF!,"AAAAAH73nfc=")</f>
        <v>#REF!</v>
      </c>
      <c r="IO84" t="str">
        <f>AND(#REF!,"AAAAAH73nfg=")</f>
        <v>#REF!</v>
      </c>
      <c r="IP84" t="str">
        <f>AND(#REF!,"AAAAAH73nfk=")</f>
        <v>#REF!</v>
      </c>
      <c r="IQ84" t="str">
        <f>AND(#REF!,"AAAAAH73nfo=")</f>
        <v>#REF!</v>
      </c>
      <c r="IR84" t="str">
        <f>AND(#REF!,"AAAAAH73nfs=")</f>
        <v>#REF!</v>
      </c>
      <c r="IS84" t="str">
        <f>IF(#REF!,"AAAAAH73nfw=",0)</f>
        <v>#REF!</v>
      </c>
      <c r="IT84" t="str">
        <f>AND(#REF!,"AAAAAH73nf0=")</f>
        <v>#REF!</v>
      </c>
      <c r="IU84" t="str">
        <f>AND(#REF!,"AAAAAH73nf4=")</f>
        <v>#REF!</v>
      </c>
      <c r="IV84" t="str">
        <f>AND(#REF!,"AAAAAH73nf8=")</f>
        <v>#REF!</v>
      </c>
    </row>
    <row r="85" ht="15.75" customHeight="1">
      <c r="A85" t="str">
        <f>AND(#REF!,"AAAAAFt+bwA=")</f>
        <v>#REF!</v>
      </c>
      <c r="B85" t="str">
        <f>AND(#REF!,"AAAAAFt+bwE=")</f>
        <v>#REF!</v>
      </c>
      <c r="C85" t="str">
        <f>AND(#REF!,"AAAAAFt+bwI=")</f>
        <v>#REF!</v>
      </c>
      <c r="D85" t="str">
        <f>AND(#REF!,"AAAAAFt+bwM=")</f>
        <v>#REF!</v>
      </c>
      <c r="E85" t="str">
        <f>AND(#REF!,"AAAAAFt+bwQ=")</f>
        <v>#REF!</v>
      </c>
      <c r="F85" t="str">
        <f>AND(#REF!,"AAAAAFt+bwU=")</f>
        <v>#REF!</v>
      </c>
      <c r="G85" t="str">
        <f>AND(#REF!,"AAAAAFt+bwY=")</f>
        <v>#REF!</v>
      </c>
      <c r="H85" t="str">
        <f>AND(#REF!,"AAAAAFt+bwc=")</f>
        <v>#REF!</v>
      </c>
      <c r="I85" t="str">
        <f>AND(#REF!,"AAAAAFt+bwg=")</f>
        <v>#REF!</v>
      </c>
      <c r="J85" t="str">
        <f>AND(#REF!,"AAAAAFt+bwk=")</f>
        <v>#REF!</v>
      </c>
      <c r="K85" t="str">
        <f>AND(#REF!,"AAAAAFt+bwo=")</f>
        <v>#REF!</v>
      </c>
      <c r="L85" t="str">
        <f>AND(#REF!,"AAAAAFt+bws=")</f>
        <v>#REF!</v>
      </c>
      <c r="M85" t="str">
        <f>AND(#REF!,"AAAAAFt+bww=")</f>
        <v>#REF!</v>
      </c>
      <c r="N85" t="str">
        <f>AND(#REF!,"AAAAAFt+bw0=")</f>
        <v>#REF!</v>
      </c>
      <c r="O85" t="str">
        <f>AND(#REF!,"AAAAAFt+bw4=")</f>
        <v>#REF!</v>
      </c>
      <c r="P85" t="str">
        <f>AND(#REF!,"AAAAAFt+bw8=")</f>
        <v>#REF!</v>
      </c>
      <c r="Q85" t="str">
        <f>AND(#REF!,"AAAAAFt+bxA=")</f>
        <v>#REF!</v>
      </c>
      <c r="R85" t="str">
        <f>AND(#REF!,"AAAAAFt+bxE=")</f>
        <v>#REF!</v>
      </c>
      <c r="S85" t="str">
        <f>AND(#REF!,"AAAAAFt+bxI=")</f>
        <v>#REF!</v>
      </c>
      <c r="T85" t="str">
        <f>AND(#REF!,"AAAAAFt+bxM=")</f>
        <v>#REF!</v>
      </c>
      <c r="U85" t="str">
        <f>AND(#REF!,"AAAAAFt+bxQ=")</f>
        <v>#REF!</v>
      </c>
      <c r="V85" t="str">
        <f>AND(#REF!,"AAAAAFt+bxU=")</f>
        <v>#REF!</v>
      </c>
      <c r="W85" t="str">
        <f>AND(#REF!,"AAAAAFt+bxY=")</f>
        <v>#REF!</v>
      </c>
      <c r="X85" t="str">
        <f>AND(#REF!,"AAAAAFt+bxc=")</f>
        <v>#REF!</v>
      </c>
      <c r="Y85" t="str">
        <f>AND(#REF!,"AAAAAFt+bxg=")</f>
        <v>#REF!</v>
      </c>
      <c r="Z85" t="str">
        <f>AND(#REF!,"AAAAAFt+bxk=")</f>
        <v>#REF!</v>
      </c>
      <c r="AA85" t="str">
        <f>AND(#REF!,"AAAAAFt+bxo=")</f>
        <v>#REF!</v>
      </c>
      <c r="AB85" t="str">
        <f>AND(#REF!,"AAAAAFt+bxs=")</f>
        <v>#REF!</v>
      </c>
      <c r="AC85" t="str">
        <f>AND(#REF!,"AAAAAFt+bxw=")</f>
        <v>#REF!</v>
      </c>
      <c r="AD85" t="str">
        <f>AND(#REF!,"AAAAAFt+bx0=")</f>
        <v>#REF!</v>
      </c>
      <c r="AE85" t="str">
        <f>AND(#REF!,"AAAAAFt+bx4=")</f>
        <v>#REF!</v>
      </c>
      <c r="AF85" t="str">
        <f>AND(#REF!,"AAAAAFt+bx8=")</f>
        <v>#REF!</v>
      </c>
      <c r="AG85" t="str">
        <f>AND(#REF!,"AAAAAFt+byA=")</f>
        <v>#REF!</v>
      </c>
      <c r="AH85" t="str">
        <f>AND(#REF!,"AAAAAFt+byE=")</f>
        <v>#REF!</v>
      </c>
      <c r="AI85" t="str">
        <f>AND(#REF!,"AAAAAFt+byI=")</f>
        <v>#REF!</v>
      </c>
      <c r="AJ85" t="str">
        <f>AND(#REF!,"AAAAAFt+byM=")</f>
        <v>#REF!</v>
      </c>
      <c r="AK85" t="str">
        <f>AND(#REF!,"AAAAAFt+byQ=")</f>
        <v>#REF!</v>
      </c>
      <c r="AL85" t="str">
        <f>AND(#REF!,"AAAAAFt+byU=")</f>
        <v>#REF!</v>
      </c>
      <c r="AM85" t="str">
        <f>AND(#REF!,"AAAAAFt+byY=")</f>
        <v>#REF!</v>
      </c>
      <c r="AN85" t="str">
        <f>AND(#REF!,"AAAAAFt+byc=")</f>
        <v>#REF!</v>
      </c>
      <c r="AO85" t="str">
        <f>AND(#REF!,"AAAAAFt+byg=")</f>
        <v>#REF!</v>
      </c>
      <c r="AP85" t="str">
        <f>AND(#REF!,"AAAAAFt+byk=")</f>
        <v>#REF!</v>
      </c>
      <c r="AQ85" t="str">
        <f>AND(#REF!,"AAAAAFt+byo=")</f>
        <v>#REF!</v>
      </c>
      <c r="AR85" t="str">
        <f>AND(#REF!,"AAAAAFt+bys=")</f>
        <v>#REF!</v>
      </c>
      <c r="AS85" t="str">
        <f>AND(#REF!,"AAAAAFt+byw=")</f>
        <v>#REF!</v>
      </c>
      <c r="AT85" t="str">
        <f>AND(#REF!,"AAAAAFt+by0=")</f>
        <v>#REF!</v>
      </c>
      <c r="AU85" t="str">
        <f>AND(#REF!,"AAAAAFt+by4=")</f>
        <v>#REF!</v>
      </c>
      <c r="AV85" t="str">
        <f>AND(#REF!,"AAAAAFt+by8=")</f>
        <v>#REF!</v>
      </c>
      <c r="AW85" t="str">
        <f>AND(#REF!,"AAAAAFt+bzA=")</f>
        <v>#REF!</v>
      </c>
      <c r="AX85" t="str">
        <f>AND(#REF!,"AAAAAFt+bzE=")</f>
        <v>#REF!</v>
      </c>
      <c r="AY85" t="str">
        <f>AND(#REF!,"AAAAAFt+bzI=")</f>
        <v>#REF!</v>
      </c>
      <c r="AZ85" t="str">
        <f>AND(#REF!,"AAAAAFt+bzM=")</f>
        <v>#REF!</v>
      </c>
      <c r="BA85" t="str">
        <f>AND(#REF!,"AAAAAFt+bzQ=")</f>
        <v>#REF!</v>
      </c>
      <c r="BB85" t="str">
        <f>AND(#REF!,"AAAAAFt+bzU=")</f>
        <v>#REF!</v>
      </c>
      <c r="BC85" t="str">
        <f>AND(#REF!,"AAAAAFt+bzY=")</f>
        <v>#REF!</v>
      </c>
      <c r="BD85" t="str">
        <f>AND(#REF!,"AAAAAFt+bzc=")</f>
        <v>#REF!</v>
      </c>
      <c r="BE85" t="str">
        <f>AND(#REF!,"AAAAAFt+bzg=")</f>
        <v>#REF!</v>
      </c>
      <c r="BF85" t="str">
        <f>AND(#REF!,"AAAAAFt+bzk=")</f>
        <v>#REF!</v>
      </c>
      <c r="BG85" t="str">
        <f>AND(#REF!,"AAAAAFt+bzo=")</f>
        <v>#REF!</v>
      </c>
      <c r="BH85" t="str">
        <f>AND(#REF!,"AAAAAFt+bzs=")</f>
        <v>#REF!</v>
      </c>
      <c r="BI85" t="str">
        <f>AND(#REF!,"AAAAAFt+bzw=")</f>
        <v>#REF!</v>
      </c>
      <c r="BJ85" t="str">
        <f>AND(#REF!,"AAAAAFt+bz0=")</f>
        <v>#REF!</v>
      </c>
      <c r="BK85" t="str">
        <f>AND(#REF!,"AAAAAFt+bz4=")</f>
        <v>#REF!</v>
      </c>
      <c r="BL85" t="str">
        <f>AND(#REF!,"AAAAAFt+bz8=")</f>
        <v>#REF!</v>
      </c>
      <c r="BM85" t="str">
        <f>AND(#REF!,"AAAAAFt+b0A=")</f>
        <v>#REF!</v>
      </c>
      <c r="BN85" t="str">
        <f>AND(#REF!,"AAAAAFt+b0E=")</f>
        <v>#REF!</v>
      </c>
      <c r="BO85" t="str">
        <f>AND(#REF!,"AAAAAFt+b0I=")</f>
        <v>#REF!</v>
      </c>
      <c r="BP85" t="str">
        <f>AND(#REF!,"AAAAAFt+b0M=")</f>
        <v>#REF!</v>
      </c>
      <c r="BQ85" t="str">
        <f>AND(#REF!,"AAAAAFt+b0Q=")</f>
        <v>#REF!</v>
      </c>
      <c r="BR85" t="str">
        <f>AND(#REF!,"AAAAAFt+b0U=")</f>
        <v>#REF!</v>
      </c>
      <c r="BS85" t="str">
        <f>AND(#REF!,"AAAAAFt+b0Y=")</f>
        <v>#REF!</v>
      </c>
      <c r="BT85" t="str">
        <f>AND(#REF!,"AAAAAFt+b0c=")</f>
        <v>#REF!</v>
      </c>
      <c r="BU85" t="str">
        <f>IF(#REF!,"AAAAAFt+b0g=",0)</f>
        <v>#REF!</v>
      </c>
      <c r="BV85" t="str">
        <f>AND(#REF!,"AAAAAFt+b0k=")</f>
        <v>#REF!</v>
      </c>
      <c r="BW85" t="str">
        <f>AND(#REF!,"AAAAAFt+b0o=")</f>
        <v>#REF!</v>
      </c>
      <c r="BX85" t="str">
        <f>AND(#REF!,"AAAAAFt+b0s=")</f>
        <v>#REF!</v>
      </c>
      <c r="BY85" t="str">
        <f>AND(#REF!,"AAAAAFt+b0w=")</f>
        <v>#REF!</v>
      </c>
      <c r="BZ85" t="str">
        <f>AND(#REF!,"AAAAAFt+b00=")</f>
        <v>#REF!</v>
      </c>
      <c r="CA85" t="str">
        <f>AND(#REF!,"AAAAAFt+b04=")</f>
        <v>#REF!</v>
      </c>
      <c r="CB85" t="str">
        <f>AND(#REF!,"AAAAAFt+b08=")</f>
        <v>#REF!</v>
      </c>
      <c r="CC85" t="str">
        <f>AND(#REF!,"AAAAAFt+b1A=")</f>
        <v>#REF!</v>
      </c>
      <c r="CD85" t="str">
        <f>AND(#REF!,"AAAAAFt+b1E=")</f>
        <v>#REF!</v>
      </c>
      <c r="CE85" t="str">
        <f>AND(#REF!,"AAAAAFt+b1I=")</f>
        <v>#REF!</v>
      </c>
      <c r="CF85" t="str">
        <f>AND(#REF!,"AAAAAFt+b1M=")</f>
        <v>#REF!</v>
      </c>
      <c r="CG85" t="str">
        <f>AND(#REF!,"AAAAAFt+b1Q=")</f>
        <v>#REF!</v>
      </c>
      <c r="CH85" t="str">
        <f>AND(#REF!,"AAAAAFt+b1U=")</f>
        <v>#REF!</v>
      </c>
      <c r="CI85" t="str">
        <f>AND(#REF!,"AAAAAFt+b1Y=")</f>
        <v>#REF!</v>
      </c>
      <c r="CJ85" t="str">
        <f>AND(#REF!,"AAAAAFt+b1c=")</f>
        <v>#REF!</v>
      </c>
      <c r="CK85" t="str">
        <f>AND(#REF!,"AAAAAFt+b1g=")</f>
        <v>#REF!</v>
      </c>
      <c r="CL85" t="str">
        <f>AND(#REF!,"AAAAAFt+b1k=")</f>
        <v>#REF!</v>
      </c>
      <c r="CM85" t="str">
        <f>AND(#REF!,"AAAAAFt+b1o=")</f>
        <v>#REF!</v>
      </c>
      <c r="CN85" t="str">
        <f>AND(#REF!,"AAAAAFt+b1s=")</f>
        <v>#REF!</v>
      </c>
      <c r="CO85" t="str">
        <f>AND(#REF!,"AAAAAFt+b1w=")</f>
        <v>#REF!</v>
      </c>
      <c r="CP85" t="str">
        <f>AND(#REF!,"AAAAAFt+b10=")</f>
        <v>#REF!</v>
      </c>
      <c r="CQ85" t="str">
        <f>AND(#REF!,"AAAAAFt+b14=")</f>
        <v>#REF!</v>
      </c>
      <c r="CR85" t="str">
        <f>AND(#REF!,"AAAAAFt+b18=")</f>
        <v>#REF!</v>
      </c>
      <c r="CS85" t="str">
        <f>AND(#REF!,"AAAAAFt+b2A=")</f>
        <v>#REF!</v>
      </c>
      <c r="CT85" t="str">
        <f>AND(#REF!,"AAAAAFt+b2E=")</f>
        <v>#REF!</v>
      </c>
      <c r="CU85" t="str">
        <f>AND(#REF!,"AAAAAFt+b2I=")</f>
        <v>#REF!</v>
      </c>
      <c r="CV85" t="str">
        <f>AND(#REF!,"AAAAAFt+b2M=")</f>
        <v>#REF!</v>
      </c>
      <c r="CW85" t="str">
        <f>AND(#REF!,"AAAAAFt+b2Q=")</f>
        <v>#REF!</v>
      </c>
      <c r="CX85" t="str">
        <f>AND(#REF!,"AAAAAFt+b2U=")</f>
        <v>#REF!</v>
      </c>
      <c r="CY85" t="str">
        <f>AND(#REF!,"AAAAAFt+b2Y=")</f>
        <v>#REF!</v>
      </c>
      <c r="CZ85" t="str">
        <f>AND(#REF!,"AAAAAFt+b2c=")</f>
        <v>#REF!</v>
      </c>
      <c r="DA85" t="str">
        <f>AND(#REF!,"AAAAAFt+b2g=")</f>
        <v>#REF!</v>
      </c>
      <c r="DB85" t="str">
        <f>AND(#REF!,"AAAAAFt+b2k=")</f>
        <v>#REF!</v>
      </c>
      <c r="DC85" t="str">
        <f>AND(#REF!,"AAAAAFt+b2o=")</f>
        <v>#REF!</v>
      </c>
      <c r="DD85" t="str">
        <f>AND(#REF!,"AAAAAFt+b2s=")</f>
        <v>#REF!</v>
      </c>
      <c r="DE85" t="str">
        <f>AND(#REF!,"AAAAAFt+b2w=")</f>
        <v>#REF!</v>
      </c>
      <c r="DF85" t="str">
        <f>AND(#REF!,"AAAAAFt+b20=")</f>
        <v>#REF!</v>
      </c>
      <c r="DG85" t="str">
        <f>AND(#REF!,"AAAAAFt+b24=")</f>
        <v>#REF!</v>
      </c>
      <c r="DH85" t="str">
        <f>AND(#REF!,"AAAAAFt+b28=")</f>
        <v>#REF!</v>
      </c>
      <c r="DI85" t="str">
        <f>AND(#REF!,"AAAAAFt+b3A=")</f>
        <v>#REF!</v>
      </c>
      <c r="DJ85" t="str">
        <f>AND(#REF!,"AAAAAFt+b3E=")</f>
        <v>#REF!</v>
      </c>
      <c r="DK85" t="str">
        <f>AND(#REF!,"AAAAAFt+b3I=")</f>
        <v>#REF!</v>
      </c>
      <c r="DL85" t="str">
        <f>AND(#REF!,"AAAAAFt+b3M=")</f>
        <v>#REF!</v>
      </c>
      <c r="DM85" t="str">
        <f>AND(#REF!,"AAAAAFt+b3Q=")</f>
        <v>#REF!</v>
      </c>
      <c r="DN85" t="str">
        <f>AND(#REF!,"AAAAAFt+b3U=")</f>
        <v>#REF!</v>
      </c>
      <c r="DO85" t="str">
        <f>AND(#REF!,"AAAAAFt+b3Y=")</f>
        <v>#REF!</v>
      </c>
      <c r="DP85" t="str">
        <f>AND(#REF!,"AAAAAFt+b3c=")</f>
        <v>#REF!</v>
      </c>
      <c r="DQ85" t="str">
        <f>AND(#REF!,"AAAAAFt+b3g=")</f>
        <v>#REF!</v>
      </c>
      <c r="DR85" t="str">
        <f>AND(#REF!,"AAAAAFt+b3k=")</f>
        <v>#REF!</v>
      </c>
      <c r="DS85" t="str">
        <f>AND(#REF!,"AAAAAFt+b3o=")</f>
        <v>#REF!</v>
      </c>
      <c r="DT85" t="str">
        <f>AND(#REF!,"AAAAAFt+b3s=")</f>
        <v>#REF!</v>
      </c>
      <c r="DU85" t="str">
        <f>AND(#REF!,"AAAAAFt+b3w=")</f>
        <v>#REF!</v>
      </c>
      <c r="DV85" t="str">
        <f>AND(#REF!,"AAAAAFt+b30=")</f>
        <v>#REF!</v>
      </c>
      <c r="DW85" t="str">
        <f>AND(#REF!,"AAAAAFt+b34=")</f>
        <v>#REF!</v>
      </c>
      <c r="DX85" t="str">
        <f>AND(#REF!,"AAAAAFt+b38=")</f>
        <v>#REF!</v>
      </c>
      <c r="DY85" t="str">
        <f>AND(#REF!,"AAAAAFt+b4A=")</f>
        <v>#REF!</v>
      </c>
      <c r="DZ85" t="str">
        <f>AND(#REF!,"AAAAAFt+b4E=")</f>
        <v>#REF!</v>
      </c>
      <c r="EA85" t="str">
        <f>AND(#REF!,"AAAAAFt+b4I=")</f>
        <v>#REF!</v>
      </c>
      <c r="EB85" t="str">
        <f>AND(#REF!,"AAAAAFt+b4M=")</f>
        <v>#REF!</v>
      </c>
      <c r="EC85" t="str">
        <f>AND(#REF!,"AAAAAFt+b4Q=")</f>
        <v>#REF!</v>
      </c>
      <c r="ED85" t="str">
        <f>AND(#REF!,"AAAAAFt+b4U=")</f>
        <v>#REF!</v>
      </c>
      <c r="EE85" t="str">
        <f>AND(#REF!,"AAAAAFt+b4Y=")</f>
        <v>#REF!</v>
      </c>
      <c r="EF85" t="str">
        <f>AND(#REF!,"AAAAAFt+b4c=")</f>
        <v>#REF!</v>
      </c>
      <c r="EG85" t="str">
        <f>AND(#REF!,"AAAAAFt+b4g=")</f>
        <v>#REF!</v>
      </c>
      <c r="EH85" t="str">
        <f>AND(#REF!,"AAAAAFt+b4k=")</f>
        <v>#REF!</v>
      </c>
      <c r="EI85" t="str">
        <f>AND(#REF!,"AAAAAFt+b4o=")</f>
        <v>#REF!</v>
      </c>
      <c r="EJ85" t="str">
        <f>AND(#REF!,"AAAAAFt+b4s=")</f>
        <v>#REF!</v>
      </c>
      <c r="EK85" t="str">
        <f>AND(#REF!,"AAAAAFt+b4w=")</f>
        <v>#REF!</v>
      </c>
      <c r="EL85" t="str">
        <f>AND(#REF!,"AAAAAFt+b40=")</f>
        <v>#REF!</v>
      </c>
      <c r="EM85" t="str">
        <f>AND(#REF!,"AAAAAFt+b44=")</f>
        <v>#REF!</v>
      </c>
      <c r="EN85" t="str">
        <f>AND(#REF!,"AAAAAFt+b48=")</f>
        <v>#REF!</v>
      </c>
      <c r="EO85" t="str">
        <f>AND(#REF!,"AAAAAFt+b5A=")</f>
        <v>#REF!</v>
      </c>
      <c r="EP85" t="str">
        <f>AND(#REF!,"AAAAAFt+b5E=")</f>
        <v>#REF!</v>
      </c>
      <c r="EQ85" t="str">
        <f>AND(#REF!,"AAAAAFt+b5I=")</f>
        <v>#REF!</v>
      </c>
      <c r="ER85" t="str">
        <f>AND(#REF!,"AAAAAFt+b5M=")</f>
        <v>#REF!</v>
      </c>
      <c r="ES85" t="str">
        <f>IF(#REF!,"AAAAAFt+b5Q=",0)</f>
        <v>#REF!</v>
      </c>
      <c r="ET85" t="str">
        <f>AND(#REF!,"AAAAAFt+b5U=")</f>
        <v>#REF!</v>
      </c>
      <c r="EU85" t="str">
        <f>AND(#REF!,"AAAAAFt+b5Y=")</f>
        <v>#REF!</v>
      </c>
      <c r="EV85" t="str">
        <f>AND(#REF!,"AAAAAFt+b5c=")</f>
        <v>#REF!</v>
      </c>
      <c r="EW85" t="str">
        <f>AND(#REF!,"AAAAAFt+b5g=")</f>
        <v>#REF!</v>
      </c>
      <c r="EX85" t="str">
        <f>AND(#REF!,"AAAAAFt+b5k=")</f>
        <v>#REF!</v>
      </c>
      <c r="EY85" t="str">
        <f>AND(#REF!,"AAAAAFt+b5o=")</f>
        <v>#REF!</v>
      </c>
      <c r="EZ85" t="str">
        <f>AND(#REF!,"AAAAAFt+b5s=")</f>
        <v>#REF!</v>
      </c>
      <c r="FA85" t="str">
        <f>AND(#REF!,"AAAAAFt+b5w=")</f>
        <v>#REF!</v>
      </c>
      <c r="FB85" t="str">
        <f>AND(#REF!,"AAAAAFt+b50=")</f>
        <v>#REF!</v>
      </c>
      <c r="FC85" t="str">
        <f>AND(#REF!,"AAAAAFt+b54=")</f>
        <v>#REF!</v>
      </c>
      <c r="FD85" t="str">
        <f>AND(#REF!,"AAAAAFt+b58=")</f>
        <v>#REF!</v>
      </c>
      <c r="FE85" t="str">
        <f>AND(#REF!,"AAAAAFt+b6A=")</f>
        <v>#REF!</v>
      </c>
      <c r="FF85" t="str">
        <f>AND(#REF!,"AAAAAFt+b6E=")</f>
        <v>#REF!</v>
      </c>
      <c r="FG85" t="str">
        <f>AND(#REF!,"AAAAAFt+b6I=")</f>
        <v>#REF!</v>
      </c>
      <c r="FH85" t="str">
        <f>AND(#REF!,"AAAAAFt+b6M=")</f>
        <v>#REF!</v>
      </c>
      <c r="FI85" t="str">
        <f>AND(#REF!,"AAAAAFt+b6Q=")</f>
        <v>#REF!</v>
      </c>
      <c r="FJ85" t="str">
        <f>AND(#REF!,"AAAAAFt+b6U=")</f>
        <v>#REF!</v>
      </c>
      <c r="FK85" t="str">
        <f>AND(#REF!,"AAAAAFt+b6Y=")</f>
        <v>#REF!</v>
      </c>
      <c r="FL85" t="str">
        <f>AND(#REF!,"AAAAAFt+b6c=")</f>
        <v>#REF!</v>
      </c>
      <c r="FM85" t="str">
        <f>AND(#REF!,"AAAAAFt+b6g=")</f>
        <v>#REF!</v>
      </c>
      <c r="FN85" t="str">
        <f>AND(#REF!,"AAAAAFt+b6k=")</f>
        <v>#REF!</v>
      </c>
      <c r="FO85" t="str">
        <f>AND(#REF!,"AAAAAFt+b6o=")</f>
        <v>#REF!</v>
      </c>
      <c r="FP85" t="str">
        <f>AND(#REF!,"AAAAAFt+b6s=")</f>
        <v>#REF!</v>
      </c>
      <c r="FQ85" t="str">
        <f>AND(#REF!,"AAAAAFt+b6w=")</f>
        <v>#REF!</v>
      </c>
      <c r="FR85" t="str">
        <f>AND(#REF!,"AAAAAFt+b60=")</f>
        <v>#REF!</v>
      </c>
      <c r="FS85" t="str">
        <f>AND(#REF!,"AAAAAFt+b64=")</f>
        <v>#REF!</v>
      </c>
      <c r="FT85" t="str">
        <f>AND(#REF!,"AAAAAFt+b68=")</f>
        <v>#REF!</v>
      </c>
      <c r="FU85" t="str">
        <f>AND(#REF!,"AAAAAFt+b7A=")</f>
        <v>#REF!</v>
      </c>
      <c r="FV85" t="str">
        <f>AND(#REF!,"AAAAAFt+b7E=")</f>
        <v>#REF!</v>
      </c>
      <c r="FW85" t="str">
        <f>AND(#REF!,"AAAAAFt+b7I=")</f>
        <v>#REF!</v>
      </c>
      <c r="FX85" t="str">
        <f>AND(#REF!,"AAAAAFt+b7M=")</f>
        <v>#REF!</v>
      </c>
      <c r="FY85" t="str">
        <f>AND(#REF!,"AAAAAFt+b7Q=")</f>
        <v>#REF!</v>
      </c>
      <c r="FZ85" t="str">
        <f>AND(#REF!,"AAAAAFt+b7U=")</f>
        <v>#REF!</v>
      </c>
      <c r="GA85" t="str">
        <f>AND(#REF!,"AAAAAFt+b7Y=")</f>
        <v>#REF!</v>
      </c>
      <c r="GB85" t="str">
        <f>AND(#REF!,"AAAAAFt+b7c=")</f>
        <v>#REF!</v>
      </c>
      <c r="GC85" t="str">
        <f>AND(#REF!,"AAAAAFt+b7g=")</f>
        <v>#REF!</v>
      </c>
      <c r="GD85" t="str">
        <f>AND(#REF!,"AAAAAFt+b7k=")</f>
        <v>#REF!</v>
      </c>
      <c r="GE85" t="str">
        <f>AND(#REF!,"AAAAAFt+b7o=")</f>
        <v>#REF!</v>
      </c>
      <c r="GF85" t="str">
        <f>AND(#REF!,"AAAAAFt+b7s=")</f>
        <v>#REF!</v>
      </c>
      <c r="GG85" t="str">
        <f>AND(#REF!,"AAAAAFt+b7w=")</f>
        <v>#REF!</v>
      </c>
      <c r="GH85" t="str">
        <f>AND(#REF!,"AAAAAFt+b70=")</f>
        <v>#REF!</v>
      </c>
      <c r="GI85" t="str">
        <f>AND(#REF!,"AAAAAFt+b74=")</f>
        <v>#REF!</v>
      </c>
      <c r="GJ85" t="str">
        <f>AND(#REF!,"AAAAAFt+b78=")</f>
        <v>#REF!</v>
      </c>
      <c r="GK85" t="str">
        <f>AND(#REF!,"AAAAAFt+b8A=")</f>
        <v>#REF!</v>
      </c>
      <c r="GL85" t="str">
        <f>AND(#REF!,"AAAAAFt+b8E=")</f>
        <v>#REF!</v>
      </c>
      <c r="GM85" t="str">
        <f>AND(#REF!,"AAAAAFt+b8I=")</f>
        <v>#REF!</v>
      </c>
      <c r="GN85" t="str">
        <f>AND(#REF!,"AAAAAFt+b8M=")</f>
        <v>#REF!</v>
      </c>
      <c r="GO85" t="str">
        <f>AND(#REF!,"AAAAAFt+b8Q=")</f>
        <v>#REF!</v>
      </c>
      <c r="GP85" t="str">
        <f>AND(#REF!,"AAAAAFt+b8U=")</f>
        <v>#REF!</v>
      </c>
      <c r="GQ85" t="str">
        <f>AND(#REF!,"AAAAAFt+b8Y=")</f>
        <v>#REF!</v>
      </c>
      <c r="GR85" t="str">
        <f>AND(#REF!,"AAAAAFt+b8c=")</f>
        <v>#REF!</v>
      </c>
      <c r="GS85" t="str">
        <f>AND(#REF!,"AAAAAFt+b8g=")</f>
        <v>#REF!</v>
      </c>
      <c r="GT85" t="str">
        <f>AND(#REF!,"AAAAAFt+b8k=")</f>
        <v>#REF!</v>
      </c>
      <c r="GU85" t="str">
        <f>AND(#REF!,"AAAAAFt+b8o=")</f>
        <v>#REF!</v>
      </c>
      <c r="GV85" t="str">
        <f>AND(#REF!,"AAAAAFt+b8s=")</f>
        <v>#REF!</v>
      </c>
      <c r="GW85" t="str">
        <f>AND(#REF!,"AAAAAFt+b8w=")</f>
        <v>#REF!</v>
      </c>
      <c r="GX85" t="str">
        <f>AND(#REF!,"AAAAAFt+b80=")</f>
        <v>#REF!</v>
      </c>
      <c r="GY85" t="str">
        <f>AND(#REF!,"AAAAAFt+b84=")</f>
        <v>#REF!</v>
      </c>
      <c r="GZ85" t="str">
        <f>AND(#REF!,"AAAAAFt+b88=")</f>
        <v>#REF!</v>
      </c>
      <c r="HA85" t="str">
        <f>AND(#REF!,"AAAAAFt+b9A=")</f>
        <v>#REF!</v>
      </c>
      <c r="HB85" t="str">
        <f>AND(#REF!,"AAAAAFt+b9E=")</f>
        <v>#REF!</v>
      </c>
      <c r="HC85" t="str">
        <f>AND(#REF!,"AAAAAFt+b9I=")</f>
        <v>#REF!</v>
      </c>
      <c r="HD85" t="str">
        <f>AND(#REF!,"AAAAAFt+b9M=")</f>
        <v>#REF!</v>
      </c>
      <c r="HE85" t="str">
        <f>AND(#REF!,"AAAAAFt+b9Q=")</f>
        <v>#REF!</v>
      </c>
      <c r="HF85" t="str">
        <f>AND(#REF!,"AAAAAFt+b9U=")</f>
        <v>#REF!</v>
      </c>
      <c r="HG85" t="str">
        <f>AND(#REF!,"AAAAAFt+b9Y=")</f>
        <v>#REF!</v>
      </c>
      <c r="HH85" t="str">
        <f>AND(#REF!,"AAAAAFt+b9c=")</f>
        <v>#REF!</v>
      </c>
      <c r="HI85" t="str">
        <f>AND(#REF!,"AAAAAFt+b9g=")</f>
        <v>#REF!</v>
      </c>
      <c r="HJ85" t="str">
        <f>AND(#REF!,"AAAAAFt+b9k=")</f>
        <v>#REF!</v>
      </c>
      <c r="HK85" t="str">
        <f>AND(#REF!,"AAAAAFt+b9o=")</f>
        <v>#REF!</v>
      </c>
      <c r="HL85" t="str">
        <f>AND(#REF!,"AAAAAFt+b9s=")</f>
        <v>#REF!</v>
      </c>
      <c r="HM85" t="str">
        <f>AND(#REF!,"AAAAAFt+b9w=")</f>
        <v>#REF!</v>
      </c>
      <c r="HN85" t="str">
        <f>AND(#REF!,"AAAAAFt+b90=")</f>
        <v>#REF!</v>
      </c>
      <c r="HO85" t="str">
        <f>AND(#REF!,"AAAAAFt+b94=")</f>
        <v>#REF!</v>
      </c>
      <c r="HP85" t="str">
        <f>AND(#REF!,"AAAAAFt+b98=")</f>
        <v>#REF!</v>
      </c>
      <c r="HQ85" t="str">
        <f>IF(#REF!,"AAAAAFt+b+A=",0)</f>
        <v>#REF!</v>
      </c>
      <c r="HR85" t="str">
        <f>AND(#REF!,"AAAAAFt+b+E=")</f>
        <v>#REF!</v>
      </c>
      <c r="HS85" t="str">
        <f>AND(#REF!,"AAAAAFt+b+I=")</f>
        <v>#REF!</v>
      </c>
      <c r="HT85" t="str">
        <f>AND(#REF!,"AAAAAFt+b+M=")</f>
        <v>#REF!</v>
      </c>
      <c r="HU85" t="str">
        <f>AND(#REF!,"AAAAAFt+b+Q=")</f>
        <v>#REF!</v>
      </c>
      <c r="HV85" t="str">
        <f>AND(#REF!,"AAAAAFt+b+U=")</f>
        <v>#REF!</v>
      </c>
      <c r="HW85" t="str">
        <f>AND(#REF!,"AAAAAFt+b+Y=")</f>
        <v>#REF!</v>
      </c>
      <c r="HX85" t="str">
        <f>AND(#REF!,"AAAAAFt+b+c=")</f>
        <v>#REF!</v>
      </c>
      <c r="HY85" t="str">
        <f>AND(#REF!,"AAAAAFt+b+g=")</f>
        <v>#REF!</v>
      </c>
      <c r="HZ85" t="str">
        <f>AND(#REF!,"AAAAAFt+b+k=")</f>
        <v>#REF!</v>
      </c>
      <c r="IA85" t="str">
        <f>AND(#REF!,"AAAAAFt+b+o=")</f>
        <v>#REF!</v>
      </c>
      <c r="IB85" t="str">
        <f>AND(#REF!,"AAAAAFt+b+s=")</f>
        <v>#REF!</v>
      </c>
      <c r="IC85" t="str">
        <f>AND(#REF!,"AAAAAFt+b+w=")</f>
        <v>#REF!</v>
      </c>
      <c r="ID85" t="str">
        <f>AND(#REF!,"AAAAAFt+b+0=")</f>
        <v>#REF!</v>
      </c>
      <c r="IE85" t="str">
        <f>AND(#REF!,"AAAAAFt+b+4=")</f>
        <v>#REF!</v>
      </c>
      <c r="IF85" t="str">
        <f>AND(#REF!,"AAAAAFt+b+8=")</f>
        <v>#REF!</v>
      </c>
      <c r="IG85" t="str">
        <f>AND(#REF!,"AAAAAFt+b/A=")</f>
        <v>#REF!</v>
      </c>
      <c r="IH85" t="str">
        <f>AND(#REF!,"AAAAAFt+b/E=")</f>
        <v>#REF!</v>
      </c>
      <c r="II85" t="str">
        <f>AND(#REF!,"AAAAAFt+b/I=")</f>
        <v>#REF!</v>
      </c>
      <c r="IJ85" t="str">
        <f>AND(#REF!,"AAAAAFt+b/M=")</f>
        <v>#REF!</v>
      </c>
      <c r="IK85" t="str">
        <f>AND(#REF!,"AAAAAFt+b/Q=")</f>
        <v>#REF!</v>
      </c>
      <c r="IL85" t="str">
        <f>AND(#REF!,"AAAAAFt+b/U=")</f>
        <v>#REF!</v>
      </c>
      <c r="IM85" t="str">
        <f>AND(#REF!,"AAAAAFt+b/Y=")</f>
        <v>#REF!</v>
      </c>
      <c r="IN85" t="str">
        <f>AND(#REF!,"AAAAAFt+b/c=")</f>
        <v>#REF!</v>
      </c>
      <c r="IO85" t="str">
        <f>AND(#REF!,"AAAAAFt+b/g=")</f>
        <v>#REF!</v>
      </c>
      <c r="IP85" t="str">
        <f>AND(#REF!,"AAAAAFt+b/k=")</f>
        <v>#REF!</v>
      </c>
      <c r="IQ85" t="str">
        <f>AND(#REF!,"AAAAAFt+b/o=")</f>
        <v>#REF!</v>
      </c>
      <c r="IR85" t="str">
        <f>AND(#REF!,"AAAAAFt+b/s=")</f>
        <v>#REF!</v>
      </c>
      <c r="IS85" t="str">
        <f>AND(#REF!,"AAAAAFt+b/w=")</f>
        <v>#REF!</v>
      </c>
      <c r="IT85" t="str">
        <f>AND(#REF!,"AAAAAFt+b/0=")</f>
        <v>#REF!</v>
      </c>
      <c r="IU85" t="str">
        <f>AND(#REF!,"AAAAAFt+b/4=")</f>
        <v>#REF!</v>
      </c>
      <c r="IV85" t="str">
        <f>AND(#REF!,"AAAAAFt+b/8=")</f>
        <v>#REF!</v>
      </c>
    </row>
    <row r="86" ht="15.75" customHeight="1">
      <c r="A86" t="str">
        <f>AND(#REF!,"AAAAADr3uwA=")</f>
        <v>#REF!</v>
      </c>
      <c r="B86" t="str">
        <f>AND(#REF!,"AAAAADr3uwE=")</f>
        <v>#REF!</v>
      </c>
      <c r="C86" t="str">
        <f>AND(#REF!,"AAAAADr3uwI=")</f>
        <v>#REF!</v>
      </c>
      <c r="D86" t="str">
        <f>AND(#REF!,"AAAAADr3uwM=")</f>
        <v>#REF!</v>
      </c>
      <c r="E86" t="str">
        <f>AND(#REF!,"AAAAADr3uwQ=")</f>
        <v>#REF!</v>
      </c>
      <c r="F86" t="str">
        <f>AND(#REF!,"AAAAADr3uwU=")</f>
        <v>#REF!</v>
      </c>
      <c r="G86" t="str">
        <f>AND(#REF!,"AAAAADr3uwY=")</f>
        <v>#REF!</v>
      </c>
      <c r="H86" t="str">
        <f>AND(#REF!,"AAAAADr3uwc=")</f>
        <v>#REF!</v>
      </c>
      <c r="I86" t="str">
        <f>AND(#REF!,"AAAAADr3uwg=")</f>
        <v>#REF!</v>
      </c>
      <c r="J86" t="str">
        <f>AND(#REF!,"AAAAADr3uwk=")</f>
        <v>#REF!</v>
      </c>
      <c r="K86" t="str">
        <f>AND(#REF!,"AAAAADr3uwo=")</f>
        <v>#REF!</v>
      </c>
      <c r="L86" t="str">
        <f>AND(#REF!,"AAAAADr3uws=")</f>
        <v>#REF!</v>
      </c>
      <c r="M86" t="str">
        <f>AND(#REF!,"AAAAADr3uww=")</f>
        <v>#REF!</v>
      </c>
      <c r="N86" t="str">
        <f>AND(#REF!,"AAAAADr3uw0=")</f>
        <v>#REF!</v>
      </c>
      <c r="O86" t="str">
        <f>AND(#REF!,"AAAAADr3uw4=")</f>
        <v>#REF!</v>
      </c>
      <c r="P86" t="str">
        <f>AND(#REF!,"AAAAADr3uw8=")</f>
        <v>#REF!</v>
      </c>
      <c r="Q86" t="str">
        <f>AND(#REF!,"AAAAADr3uxA=")</f>
        <v>#REF!</v>
      </c>
      <c r="R86" t="str">
        <f>AND(#REF!,"AAAAADr3uxE=")</f>
        <v>#REF!</v>
      </c>
      <c r="S86" t="str">
        <f>AND(#REF!,"AAAAADr3uxI=")</f>
        <v>#REF!</v>
      </c>
      <c r="T86" t="str">
        <f>AND(#REF!,"AAAAADr3uxM=")</f>
        <v>#REF!</v>
      </c>
      <c r="U86" t="str">
        <f>AND(#REF!,"AAAAADr3uxQ=")</f>
        <v>#REF!</v>
      </c>
      <c r="V86" t="str">
        <f>AND(#REF!,"AAAAADr3uxU=")</f>
        <v>#REF!</v>
      </c>
      <c r="W86" t="str">
        <f>AND(#REF!,"AAAAADr3uxY=")</f>
        <v>#REF!</v>
      </c>
      <c r="X86" t="str">
        <f>AND(#REF!,"AAAAADr3uxc=")</f>
        <v>#REF!</v>
      </c>
      <c r="Y86" t="str">
        <f>AND(#REF!,"AAAAADr3uxg=")</f>
        <v>#REF!</v>
      </c>
      <c r="Z86" t="str">
        <f>AND(#REF!,"AAAAADr3uxk=")</f>
        <v>#REF!</v>
      </c>
      <c r="AA86" t="str">
        <f>AND(#REF!,"AAAAADr3uxo=")</f>
        <v>#REF!</v>
      </c>
      <c r="AB86" t="str">
        <f>AND(#REF!,"AAAAADr3uxs=")</f>
        <v>#REF!</v>
      </c>
      <c r="AC86" t="str">
        <f>AND(#REF!,"AAAAADr3uxw=")</f>
        <v>#REF!</v>
      </c>
      <c r="AD86" t="str">
        <f>AND(#REF!,"AAAAADr3ux0=")</f>
        <v>#REF!</v>
      </c>
      <c r="AE86" t="str">
        <f>AND(#REF!,"AAAAADr3ux4=")</f>
        <v>#REF!</v>
      </c>
      <c r="AF86" t="str">
        <f>AND(#REF!,"AAAAADr3ux8=")</f>
        <v>#REF!</v>
      </c>
      <c r="AG86" t="str">
        <f>AND(#REF!,"AAAAADr3uyA=")</f>
        <v>#REF!</v>
      </c>
      <c r="AH86" t="str">
        <f>AND(#REF!,"AAAAADr3uyE=")</f>
        <v>#REF!</v>
      </c>
      <c r="AI86" t="str">
        <f>AND(#REF!,"AAAAADr3uyI=")</f>
        <v>#REF!</v>
      </c>
      <c r="AJ86" t="str">
        <f>AND(#REF!,"AAAAADr3uyM=")</f>
        <v>#REF!</v>
      </c>
      <c r="AK86" t="str">
        <f>AND(#REF!,"AAAAADr3uyQ=")</f>
        <v>#REF!</v>
      </c>
      <c r="AL86" t="str">
        <f>AND(#REF!,"AAAAADr3uyU=")</f>
        <v>#REF!</v>
      </c>
      <c r="AM86" t="str">
        <f>AND(#REF!,"AAAAADr3uyY=")</f>
        <v>#REF!</v>
      </c>
      <c r="AN86" t="str">
        <f>AND(#REF!,"AAAAADr3uyc=")</f>
        <v>#REF!</v>
      </c>
      <c r="AO86" t="str">
        <f>AND(#REF!,"AAAAADr3uyg=")</f>
        <v>#REF!</v>
      </c>
      <c r="AP86" t="str">
        <f>AND(#REF!,"AAAAADr3uyk=")</f>
        <v>#REF!</v>
      </c>
      <c r="AQ86" t="str">
        <f>AND(#REF!,"AAAAADr3uyo=")</f>
        <v>#REF!</v>
      </c>
      <c r="AR86" t="str">
        <f>AND(#REF!,"AAAAADr3uys=")</f>
        <v>#REF!</v>
      </c>
      <c r="AS86" t="str">
        <f>IF(#REF!,"AAAAADr3uyw=",0)</f>
        <v>#REF!</v>
      </c>
      <c r="AT86" t="str">
        <f>AND(#REF!,"AAAAADr3uy0=")</f>
        <v>#REF!</v>
      </c>
      <c r="AU86" t="str">
        <f>AND(#REF!,"AAAAADr3uy4=")</f>
        <v>#REF!</v>
      </c>
      <c r="AV86" t="str">
        <f>AND(#REF!,"AAAAADr3uy8=")</f>
        <v>#REF!</v>
      </c>
      <c r="AW86" t="str">
        <f>AND(#REF!,"AAAAADr3uzA=")</f>
        <v>#REF!</v>
      </c>
      <c r="AX86" t="str">
        <f>AND(#REF!,"AAAAADr3uzE=")</f>
        <v>#REF!</v>
      </c>
      <c r="AY86" t="str">
        <f>AND(#REF!,"AAAAADr3uzI=")</f>
        <v>#REF!</v>
      </c>
      <c r="AZ86" t="str">
        <f>AND(#REF!,"AAAAADr3uzM=")</f>
        <v>#REF!</v>
      </c>
      <c r="BA86" t="str">
        <f>AND(#REF!,"AAAAADr3uzQ=")</f>
        <v>#REF!</v>
      </c>
      <c r="BB86" t="str">
        <f>AND(#REF!,"AAAAADr3uzU=")</f>
        <v>#REF!</v>
      </c>
      <c r="BC86" t="str">
        <f>AND(#REF!,"AAAAADr3uzY=")</f>
        <v>#REF!</v>
      </c>
      <c r="BD86" t="str">
        <f>AND(#REF!,"AAAAADr3uzc=")</f>
        <v>#REF!</v>
      </c>
      <c r="BE86" t="str">
        <f>AND(#REF!,"AAAAADr3uzg=")</f>
        <v>#REF!</v>
      </c>
      <c r="BF86" t="str">
        <f>AND(#REF!,"AAAAADr3uzk=")</f>
        <v>#REF!</v>
      </c>
      <c r="BG86" t="str">
        <f>AND(#REF!,"AAAAADr3uzo=")</f>
        <v>#REF!</v>
      </c>
      <c r="BH86" t="str">
        <f>AND(#REF!,"AAAAADr3uzs=")</f>
        <v>#REF!</v>
      </c>
      <c r="BI86" t="str">
        <f>AND(#REF!,"AAAAADr3uzw=")</f>
        <v>#REF!</v>
      </c>
      <c r="BJ86" t="str">
        <f>AND(#REF!,"AAAAADr3uz0=")</f>
        <v>#REF!</v>
      </c>
      <c r="BK86" t="str">
        <f>AND(#REF!,"AAAAADr3uz4=")</f>
        <v>#REF!</v>
      </c>
      <c r="BL86" t="str">
        <f>AND(#REF!,"AAAAADr3uz8=")</f>
        <v>#REF!</v>
      </c>
      <c r="BM86" t="str">
        <f>AND(#REF!,"AAAAADr3u0A=")</f>
        <v>#REF!</v>
      </c>
      <c r="BN86" t="str">
        <f>AND(#REF!,"AAAAADr3u0E=")</f>
        <v>#REF!</v>
      </c>
      <c r="BO86" t="str">
        <f>AND(#REF!,"AAAAADr3u0I=")</f>
        <v>#REF!</v>
      </c>
      <c r="BP86" t="str">
        <f>AND(#REF!,"AAAAADr3u0M=")</f>
        <v>#REF!</v>
      </c>
      <c r="BQ86" t="str">
        <f>AND(#REF!,"AAAAADr3u0Q=")</f>
        <v>#REF!</v>
      </c>
      <c r="BR86" t="str">
        <f>AND(#REF!,"AAAAADr3u0U=")</f>
        <v>#REF!</v>
      </c>
      <c r="BS86" t="str">
        <f>AND(#REF!,"AAAAADr3u0Y=")</f>
        <v>#REF!</v>
      </c>
      <c r="BT86" t="str">
        <f>AND(#REF!,"AAAAADr3u0c=")</f>
        <v>#REF!</v>
      </c>
      <c r="BU86" t="str">
        <f>AND(#REF!,"AAAAADr3u0g=")</f>
        <v>#REF!</v>
      </c>
      <c r="BV86" t="str">
        <f>AND(#REF!,"AAAAADr3u0k=")</f>
        <v>#REF!</v>
      </c>
      <c r="BW86" t="str">
        <f>AND(#REF!,"AAAAADr3u0o=")</f>
        <v>#REF!</v>
      </c>
      <c r="BX86" t="str">
        <f>AND(#REF!,"AAAAADr3u0s=")</f>
        <v>#REF!</v>
      </c>
      <c r="BY86" t="str">
        <f>AND(#REF!,"AAAAADr3u0w=")</f>
        <v>#REF!</v>
      </c>
      <c r="BZ86" t="str">
        <f>AND(#REF!,"AAAAADr3u00=")</f>
        <v>#REF!</v>
      </c>
      <c r="CA86" t="str">
        <f>AND(#REF!,"AAAAADr3u04=")</f>
        <v>#REF!</v>
      </c>
      <c r="CB86" t="str">
        <f>AND(#REF!,"AAAAADr3u08=")</f>
        <v>#REF!</v>
      </c>
      <c r="CC86" t="str">
        <f>AND(#REF!,"AAAAADr3u1A=")</f>
        <v>#REF!</v>
      </c>
      <c r="CD86" t="str">
        <f>AND(#REF!,"AAAAADr3u1E=")</f>
        <v>#REF!</v>
      </c>
      <c r="CE86" t="str">
        <f>AND(#REF!,"AAAAADr3u1I=")</f>
        <v>#REF!</v>
      </c>
      <c r="CF86" t="str">
        <f>AND(#REF!,"AAAAADr3u1M=")</f>
        <v>#REF!</v>
      </c>
      <c r="CG86" t="str">
        <f>AND(#REF!,"AAAAADr3u1Q=")</f>
        <v>#REF!</v>
      </c>
      <c r="CH86" t="str">
        <f>AND(#REF!,"AAAAADr3u1U=")</f>
        <v>#REF!</v>
      </c>
      <c r="CI86" t="str">
        <f>AND(#REF!,"AAAAADr3u1Y=")</f>
        <v>#REF!</v>
      </c>
      <c r="CJ86" t="str">
        <f>AND(#REF!,"AAAAADr3u1c=")</f>
        <v>#REF!</v>
      </c>
      <c r="CK86" t="str">
        <f>AND(#REF!,"AAAAADr3u1g=")</f>
        <v>#REF!</v>
      </c>
      <c r="CL86" t="str">
        <f>AND(#REF!,"AAAAADr3u1k=")</f>
        <v>#REF!</v>
      </c>
      <c r="CM86" t="str">
        <f>AND(#REF!,"AAAAADr3u1o=")</f>
        <v>#REF!</v>
      </c>
      <c r="CN86" t="str">
        <f>AND(#REF!,"AAAAADr3u1s=")</f>
        <v>#REF!</v>
      </c>
      <c r="CO86" t="str">
        <f>AND(#REF!,"AAAAADr3u1w=")</f>
        <v>#REF!</v>
      </c>
      <c r="CP86" t="str">
        <f>AND(#REF!,"AAAAADr3u10=")</f>
        <v>#REF!</v>
      </c>
      <c r="CQ86" t="str">
        <f>AND(#REF!,"AAAAADr3u14=")</f>
        <v>#REF!</v>
      </c>
      <c r="CR86" t="str">
        <f>AND(#REF!,"AAAAADr3u18=")</f>
        <v>#REF!</v>
      </c>
      <c r="CS86" t="str">
        <f>AND(#REF!,"AAAAADr3u2A=")</f>
        <v>#REF!</v>
      </c>
      <c r="CT86" t="str">
        <f>AND(#REF!,"AAAAADr3u2E=")</f>
        <v>#REF!</v>
      </c>
      <c r="CU86" t="str">
        <f>AND(#REF!,"AAAAADr3u2I=")</f>
        <v>#REF!</v>
      </c>
      <c r="CV86" t="str">
        <f>AND(#REF!,"AAAAADr3u2M=")</f>
        <v>#REF!</v>
      </c>
      <c r="CW86" t="str">
        <f>AND(#REF!,"AAAAADr3u2Q=")</f>
        <v>#REF!</v>
      </c>
      <c r="CX86" t="str">
        <f>AND(#REF!,"AAAAADr3u2U=")</f>
        <v>#REF!</v>
      </c>
      <c r="CY86" t="str">
        <f>AND(#REF!,"AAAAADr3u2Y=")</f>
        <v>#REF!</v>
      </c>
      <c r="CZ86" t="str">
        <f>AND(#REF!,"AAAAADr3u2c=")</f>
        <v>#REF!</v>
      </c>
      <c r="DA86" t="str">
        <f>AND(#REF!,"AAAAADr3u2g=")</f>
        <v>#REF!</v>
      </c>
      <c r="DB86" t="str">
        <f>AND(#REF!,"AAAAADr3u2k=")</f>
        <v>#REF!</v>
      </c>
      <c r="DC86" t="str">
        <f>AND(#REF!,"AAAAADr3u2o=")</f>
        <v>#REF!</v>
      </c>
      <c r="DD86" t="str">
        <f>AND(#REF!,"AAAAADr3u2s=")</f>
        <v>#REF!</v>
      </c>
      <c r="DE86" t="str">
        <f>AND(#REF!,"AAAAADr3u2w=")</f>
        <v>#REF!</v>
      </c>
      <c r="DF86" t="str">
        <f>AND(#REF!,"AAAAADr3u20=")</f>
        <v>#REF!</v>
      </c>
      <c r="DG86" t="str">
        <f>AND(#REF!,"AAAAADr3u24=")</f>
        <v>#REF!</v>
      </c>
      <c r="DH86" t="str">
        <f>AND(#REF!,"AAAAADr3u28=")</f>
        <v>#REF!</v>
      </c>
      <c r="DI86" t="str">
        <f>AND(#REF!,"AAAAADr3u3A=")</f>
        <v>#REF!</v>
      </c>
      <c r="DJ86" t="str">
        <f>AND(#REF!,"AAAAADr3u3E=")</f>
        <v>#REF!</v>
      </c>
      <c r="DK86" t="str">
        <f>AND(#REF!,"AAAAADr3u3I=")</f>
        <v>#REF!</v>
      </c>
      <c r="DL86" t="str">
        <f>AND(#REF!,"AAAAADr3u3M=")</f>
        <v>#REF!</v>
      </c>
      <c r="DM86" t="str">
        <f>AND(#REF!,"AAAAADr3u3Q=")</f>
        <v>#REF!</v>
      </c>
      <c r="DN86" t="str">
        <f>AND(#REF!,"AAAAADr3u3U=")</f>
        <v>#REF!</v>
      </c>
      <c r="DO86" t="str">
        <f>AND(#REF!,"AAAAADr3u3Y=")</f>
        <v>#REF!</v>
      </c>
      <c r="DP86" t="str">
        <f>AND(#REF!,"AAAAADr3u3c=")</f>
        <v>#REF!</v>
      </c>
      <c r="DQ86" t="str">
        <f>IF(#REF!,"AAAAADr3u3g=",0)</f>
        <v>#REF!</v>
      </c>
      <c r="DR86" t="str">
        <f>AND(#REF!,"AAAAADr3u3k=")</f>
        <v>#REF!</v>
      </c>
      <c r="DS86" t="str">
        <f>AND(#REF!,"AAAAADr3u3o=")</f>
        <v>#REF!</v>
      </c>
      <c r="DT86" t="str">
        <f>AND(#REF!,"AAAAADr3u3s=")</f>
        <v>#REF!</v>
      </c>
      <c r="DU86" t="str">
        <f>AND(#REF!,"AAAAADr3u3w=")</f>
        <v>#REF!</v>
      </c>
      <c r="DV86" t="str">
        <f>AND(#REF!,"AAAAADr3u30=")</f>
        <v>#REF!</v>
      </c>
      <c r="DW86" t="str">
        <f>AND(#REF!,"AAAAADr3u34=")</f>
        <v>#REF!</v>
      </c>
      <c r="DX86" t="str">
        <f>AND(#REF!,"AAAAADr3u38=")</f>
        <v>#REF!</v>
      </c>
      <c r="DY86" t="str">
        <f>AND(#REF!,"AAAAADr3u4A=")</f>
        <v>#REF!</v>
      </c>
      <c r="DZ86" t="str">
        <f>AND(#REF!,"AAAAADr3u4E=")</f>
        <v>#REF!</v>
      </c>
      <c r="EA86" t="str">
        <f>AND(#REF!,"AAAAADr3u4I=")</f>
        <v>#REF!</v>
      </c>
      <c r="EB86" t="str">
        <f>AND(#REF!,"AAAAADr3u4M=")</f>
        <v>#REF!</v>
      </c>
      <c r="EC86" t="str">
        <f>AND(#REF!,"AAAAADr3u4Q=")</f>
        <v>#REF!</v>
      </c>
      <c r="ED86" t="str">
        <f>AND(#REF!,"AAAAADr3u4U=")</f>
        <v>#REF!</v>
      </c>
      <c r="EE86" t="str">
        <f>AND(#REF!,"AAAAADr3u4Y=")</f>
        <v>#REF!</v>
      </c>
      <c r="EF86" t="str">
        <f>AND(#REF!,"AAAAADr3u4c=")</f>
        <v>#REF!</v>
      </c>
      <c r="EG86" t="str">
        <f>AND(#REF!,"AAAAADr3u4g=")</f>
        <v>#REF!</v>
      </c>
      <c r="EH86" t="str">
        <f>AND(#REF!,"AAAAADr3u4k=")</f>
        <v>#REF!</v>
      </c>
      <c r="EI86" t="str">
        <f>AND(#REF!,"AAAAADr3u4o=")</f>
        <v>#REF!</v>
      </c>
      <c r="EJ86" t="str">
        <f>AND(#REF!,"AAAAADr3u4s=")</f>
        <v>#REF!</v>
      </c>
      <c r="EK86" t="str">
        <f>AND(#REF!,"AAAAADr3u4w=")</f>
        <v>#REF!</v>
      </c>
      <c r="EL86" t="str">
        <f>AND(#REF!,"AAAAADr3u40=")</f>
        <v>#REF!</v>
      </c>
      <c r="EM86" t="str">
        <f>AND(#REF!,"AAAAADr3u44=")</f>
        <v>#REF!</v>
      </c>
      <c r="EN86" t="str">
        <f>AND(#REF!,"AAAAADr3u48=")</f>
        <v>#REF!</v>
      </c>
      <c r="EO86" t="str">
        <f>AND(#REF!,"AAAAADr3u5A=")</f>
        <v>#REF!</v>
      </c>
      <c r="EP86" t="str">
        <f>AND(#REF!,"AAAAADr3u5E=")</f>
        <v>#REF!</v>
      </c>
      <c r="EQ86" t="str">
        <f>AND(#REF!,"AAAAADr3u5I=")</f>
        <v>#REF!</v>
      </c>
      <c r="ER86" t="str">
        <f>AND(#REF!,"AAAAADr3u5M=")</f>
        <v>#REF!</v>
      </c>
      <c r="ES86" t="str">
        <f>AND(#REF!,"AAAAADr3u5Q=")</f>
        <v>#REF!</v>
      </c>
      <c r="ET86" t="str">
        <f>AND(#REF!,"AAAAADr3u5U=")</f>
        <v>#REF!</v>
      </c>
      <c r="EU86" t="str">
        <f>AND(#REF!,"AAAAADr3u5Y=")</f>
        <v>#REF!</v>
      </c>
      <c r="EV86" t="str">
        <f>AND(#REF!,"AAAAADr3u5c=")</f>
        <v>#REF!</v>
      </c>
      <c r="EW86" t="str">
        <f>AND(#REF!,"AAAAADr3u5g=")</f>
        <v>#REF!</v>
      </c>
      <c r="EX86" t="str">
        <f>AND(#REF!,"AAAAADr3u5k=")</f>
        <v>#REF!</v>
      </c>
      <c r="EY86" t="str">
        <f>AND(#REF!,"AAAAADr3u5o=")</f>
        <v>#REF!</v>
      </c>
      <c r="EZ86" t="str">
        <f>AND(#REF!,"AAAAADr3u5s=")</f>
        <v>#REF!</v>
      </c>
      <c r="FA86" t="str">
        <f>AND(#REF!,"AAAAADr3u5w=")</f>
        <v>#REF!</v>
      </c>
      <c r="FB86" t="str">
        <f>AND(#REF!,"AAAAADr3u50=")</f>
        <v>#REF!</v>
      </c>
      <c r="FC86" t="str">
        <f>AND(#REF!,"AAAAADr3u54=")</f>
        <v>#REF!</v>
      </c>
      <c r="FD86" t="str">
        <f>AND(#REF!,"AAAAADr3u58=")</f>
        <v>#REF!</v>
      </c>
      <c r="FE86" t="str">
        <f>AND(#REF!,"AAAAADr3u6A=")</f>
        <v>#REF!</v>
      </c>
      <c r="FF86" t="str">
        <f>AND(#REF!,"AAAAADr3u6E=")</f>
        <v>#REF!</v>
      </c>
      <c r="FG86" t="str">
        <f>AND(#REF!,"AAAAADr3u6I=")</f>
        <v>#REF!</v>
      </c>
      <c r="FH86" t="str">
        <f>AND(#REF!,"AAAAADr3u6M=")</f>
        <v>#REF!</v>
      </c>
      <c r="FI86" t="str">
        <f>AND(#REF!,"AAAAADr3u6Q=")</f>
        <v>#REF!</v>
      </c>
      <c r="FJ86" t="str">
        <f>AND(#REF!,"AAAAADr3u6U=")</f>
        <v>#REF!</v>
      </c>
      <c r="FK86" t="str">
        <f>AND(#REF!,"AAAAADr3u6Y=")</f>
        <v>#REF!</v>
      </c>
      <c r="FL86" t="str">
        <f>AND(#REF!,"AAAAADr3u6c=")</f>
        <v>#REF!</v>
      </c>
      <c r="FM86" t="str">
        <f>AND(#REF!,"AAAAADr3u6g=")</f>
        <v>#REF!</v>
      </c>
      <c r="FN86" t="str">
        <f>AND(#REF!,"AAAAADr3u6k=")</f>
        <v>#REF!</v>
      </c>
      <c r="FO86" t="str">
        <f>AND(#REF!,"AAAAADr3u6o=")</f>
        <v>#REF!</v>
      </c>
      <c r="FP86" t="str">
        <f>AND(#REF!,"AAAAADr3u6s=")</f>
        <v>#REF!</v>
      </c>
      <c r="FQ86" t="str">
        <f>AND(#REF!,"AAAAADr3u6w=")</f>
        <v>#REF!</v>
      </c>
      <c r="FR86" t="str">
        <f>AND(#REF!,"AAAAADr3u60=")</f>
        <v>#REF!</v>
      </c>
      <c r="FS86" t="str">
        <f>AND(#REF!,"AAAAADr3u64=")</f>
        <v>#REF!</v>
      </c>
      <c r="FT86" t="str">
        <f>AND(#REF!,"AAAAADr3u68=")</f>
        <v>#REF!</v>
      </c>
      <c r="FU86" t="str">
        <f>AND(#REF!,"AAAAADr3u7A=")</f>
        <v>#REF!</v>
      </c>
      <c r="FV86" t="str">
        <f>AND(#REF!,"AAAAADr3u7E=")</f>
        <v>#REF!</v>
      </c>
      <c r="FW86" t="str">
        <f>AND(#REF!,"AAAAADr3u7I=")</f>
        <v>#REF!</v>
      </c>
      <c r="FX86" t="str">
        <f>AND(#REF!,"AAAAADr3u7M=")</f>
        <v>#REF!</v>
      </c>
      <c r="FY86" t="str">
        <f>AND(#REF!,"AAAAADr3u7Q=")</f>
        <v>#REF!</v>
      </c>
      <c r="FZ86" t="str">
        <f>AND(#REF!,"AAAAADr3u7U=")</f>
        <v>#REF!</v>
      </c>
      <c r="GA86" t="str">
        <f>AND(#REF!,"AAAAADr3u7Y=")</f>
        <v>#REF!</v>
      </c>
      <c r="GB86" t="str">
        <f>AND(#REF!,"AAAAADr3u7c=")</f>
        <v>#REF!</v>
      </c>
      <c r="GC86" t="str">
        <f>AND(#REF!,"AAAAADr3u7g=")</f>
        <v>#REF!</v>
      </c>
      <c r="GD86" t="str">
        <f>AND(#REF!,"AAAAADr3u7k=")</f>
        <v>#REF!</v>
      </c>
      <c r="GE86" t="str">
        <f>AND(#REF!,"AAAAADr3u7o=")</f>
        <v>#REF!</v>
      </c>
      <c r="GF86" t="str">
        <f>AND(#REF!,"AAAAADr3u7s=")</f>
        <v>#REF!</v>
      </c>
      <c r="GG86" t="str">
        <f>AND(#REF!,"AAAAADr3u7w=")</f>
        <v>#REF!</v>
      </c>
      <c r="GH86" t="str">
        <f>AND(#REF!,"AAAAADr3u70=")</f>
        <v>#REF!</v>
      </c>
      <c r="GI86" t="str">
        <f>AND(#REF!,"AAAAADr3u74=")</f>
        <v>#REF!</v>
      </c>
      <c r="GJ86" t="str">
        <f>AND(#REF!,"AAAAADr3u78=")</f>
        <v>#REF!</v>
      </c>
      <c r="GK86" t="str">
        <f>AND(#REF!,"AAAAADr3u8A=")</f>
        <v>#REF!</v>
      </c>
      <c r="GL86" t="str">
        <f>AND(#REF!,"AAAAADr3u8E=")</f>
        <v>#REF!</v>
      </c>
      <c r="GM86" t="str">
        <f>AND(#REF!,"AAAAADr3u8I=")</f>
        <v>#REF!</v>
      </c>
      <c r="GN86" t="str">
        <f>AND(#REF!,"AAAAADr3u8M=")</f>
        <v>#REF!</v>
      </c>
      <c r="GO86" t="str">
        <f>IF(#REF!,"AAAAADr3u8Q=",0)</f>
        <v>#REF!</v>
      </c>
      <c r="GP86" t="str">
        <f>AND(#REF!,"AAAAADr3u8U=")</f>
        <v>#REF!</v>
      </c>
      <c r="GQ86" t="str">
        <f>AND(#REF!,"AAAAADr3u8Y=")</f>
        <v>#REF!</v>
      </c>
      <c r="GR86" t="str">
        <f>AND(#REF!,"AAAAADr3u8c=")</f>
        <v>#REF!</v>
      </c>
      <c r="GS86" t="str">
        <f>AND(#REF!,"AAAAADr3u8g=")</f>
        <v>#REF!</v>
      </c>
      <c r="GT86" t="str">
        <f>AND(#REF!,"AAAAADr3u8k=")</f>
        <v>#REF!</v>
      </c>
      <c r="GU86" t="str">
        <f>AND(#REF!,"AAAAADr3u8o=")</f>
        <v>#REF!</v>
      </c>
      <c r="GV86" t="str">
        <f>AND(#REF!,"AAAAADr3u8s=")</f>
        <v>#REF!</v>
      </c>
      <c r="GW86" t="str">
        <f>AND(#REF!,"AAAAADr3u8w=")</f>
        <v>#REF!</v>
      </c>
      <c r="GX86" t="str">
        <f>AND(#REF!,"AAAAADr3u80=")</f>
        <v>#REF!</v>
      </c>
      <c r="GY86" t="str">
        <f>AND(#REF!,"AAAAADr3u84=")</f>
        <v>#REF!</v>
      </c>
      <c r="GZ86" t="str">
        <f>AND(#REF!,"AAAAADr3u88=")</f>
        <v>#REF!</v>
      </c>
      <c r="HA86" t="str">
        <f>AND(#REF!,"AAAAADr3u9A=")</f>
        <v>#REF!</v>
      </c>
      <c r="HB86" t="str">
        <f>AND(#REF!,"AAAAADr3u9E=")</f>
        <v>#REF!</v>
      </c>
      <c r="HC86" t="str">
        <f>AND(#REF!,"AAAAADr3u9I=")</f>
        <v>#REF!</v>
      </c>
      <c r="HD86" t="str">
        <f>AND(#REF!,"AAAAADr3u9M=")</f>
        <v>#REF!</v>
      </c>
      <c r="HE86" t="str">
        <f>AND(#REF!,"AAAAADr3u9Q=")</f>
        <v>#REF!</v>
      </c>
      <c r="HF86" t="str">
        <f>AND(#REF!,"AAAAADr3u9U=")</f>
        <v>#REF!</v>
      </c>
      <c r="HG86" t="str">
        <f>AND(#REF!,"AAAAADr3u9Y=")</f>
        <v>#REF!</v>
      </c>
      <c r="HH86" t="str">
        <f>AND(#REF!,"AAAAADr3u9c=")</f>
        <v>#REF!</v>
      </c>
      <c r="HI86" t="str">
        <f>AND(#REF!,"AAAAADr3u9g=")</f>
        <v>#REF!</v>
      </c>
      <c r="HJ86" t="str">
        <f>AND(#REF!,"AAAAADr3u9k=")</f>
        <v>#REF!</v>
      </c>
      <c r="HK86" t="str">
        <f>AND(#REF!,"AAAAADr3u9o=")</f>
        <v>#REF!</v>
      </c>
      <c r="HL86" t="str">
        <f>AND(#REF!,"AAAAADr3u9s=")</f>
        <v>#REF!</v>
      </c>
      <c r="HM86" t="str">
        <f>AND(#REF!,"AAAAADr3u9w=")</f>
        <v>#REF!</v>
      </c>
      <c r="HN86" t="str">
        <f>AND(#REF!,"AAAAADr3u90=")</f>
        <v>#REF!</v>
      </c>
      <c r="HO86" t="str">
        <f>AND(#REF!,"AAAAADr3u94=")</f>
        <v>#REF!</v>
      </c>
      <c r="HP86" t="str">
        <f>AND(#REF!,"AAAAADr3u98=")</f>
        <v>#REF!</v>
      </c>
      <c r="HQ86" t="str">
        <f>AND(#REF!,"AAAAADr3u+A=")</f>
        <v>#REF!</v>
      </c>
      <c r="HR86" t="str">
        <f>AND(#REF!,"AAAAADr3u+E=")</f>
        <v>#REF!</v>
      </c>
      <c r="HS86" t="str">
        <f>AND(#REF!,"AAAAADr3u+I=")</f>
        <v>#REF!</v>
      </c>
      <c r="HT86" t="str">
        <f>AND(#REF!,"AAAAADr3u+M=")</f>
        <v>#REF!</v>
      </c>
      <c r="HU86" t="str">
        <f>AND(#REF!,"AAAAADr3u+Q=")</f>
        <v>#REF!</v>
      </c>
      <c r="HV86" t="str">
        <f>AND(#REF!,"AAAAADr3u+U=")</f>
        <v>#REF!</v>
      </c>
      <c r="HW86" t="str">
        <f>AND(#REF!,"AAAAADr3u+Y=")</f>
        <v>#REF!</v>
      </c>
      <c r="HX86" t="str">
        <f>AND(#REF!,"AAAAADr3u+c=")</f>
        <v>#REF!</v>
      </c>
      <c r="HY86" t="str">
        <f>AND(#REF!,"AAAAADr3u+g=")</f>
        <v>#REF!</v>
      </c>
      <c r="HZ86" t="str">
        <f>AND(#REF!,"AAAAADr3u+k=")</f>
        <v>#REF!</v>
      </c>
      <c r="IA86" t="str">
        <f>AND(#REF!,"AAAAADr3u+o=")</f>
        <v>#REF!</v>
      </c>
      <c r="IB86" t="str">
        <f>AND(#REF!,"AAAAADr3u+s=")</f>
        <v>#REF!</v>
      </c>
      <c r="IC86" t="str">
        <f>AND(#REF!,"AAAAADr3u+w=")</f>
        <v>#REF!</v>
      </c>
      <c r="ID86" t="str">
        <f>AND(#REF!,"AAAAADr3u+0=")</f>
        <v>#REF!</v>
      </c>
      <c r="IE86" t="str">
        <f>AND(#REF!,"AAAAADr3u+4=")</f>
        <v>#REF!</v>
      </c>
      <c r="IF86" t="str">
        <f>AND(#REF!,"AAAAADr3u+8=")</f>
        <v>#REF!</v>
      </c>
      <c r="IG86" t="str">
        <f>AND(#REF!,"AAAAADr3u/A=")</f>
        <v>#REF!</v>
      </c>
      <c r="IH86" t="str">
        <f>AND(#REF!,"AAAAADr3u/E=")</f>
        <v>#REF!</v>
      </c>
      <c r="II86" t="str">
        <f>AND(#REF!,"AAAAADr3u/I=")</f>
        <v>#REF!</v>
      </c>
      <c r="IJ86" t="str">
        <f>AND(#REF!,"AAAAADr3u/M=")</f>
        <v>#REF!</v>
      </c>
      <c r="IK86" t="str">
        <f>AND(#REF!,"AAAAADr3u/Q=")</f>
        <v>#REF!</v>
      </c>
      <c r="IL86" t="str">
        <f>AND(#REF!,"AAAAADr3u/U=")</f>
        <v>#REF!</v>
      </c>
      <c r="IM86" t="str">
        <f>AND(#REF!,"AAAAADr3u/Y=")</f>
        <v>#REF!</v>
      </c>
      <c r="IN86" t="str">
        <f>AND(#REF!,"AAAAADr3u/c=")</f>
        <v>#REF!</v>
      </c>
      <c r="IO86" t="str">
        <f>AND(#REF!,"AAAAADr3u/g=")</f>
        <v>#REF!</v>
      </c>
      <c r="IP86" t="str">
        <f>AND(#REF!,"AAAAADr3u/k=")</f>
        <v>#REF!</v>
      </c>
      <c r="IQ86" t="str">
        <f>AND(#REF!,"AAAAADr3u/o=")</f>
        <v>#REF!</v>
      </c>
      <c r="IR86" t="str">
        <f>AND(#REF!,"AAAAADr3u/s=")</f>
        <v>#REF!</v>
      </c>
      <c r="IS86" t="str">
        <f>AND(#REF!,"AAAAADr3u/w=")</f>
        <v>#REF!</v>
      </c>
      <c r="IT86" t="str">
        <f>AND(#REF!,"AAAAADr3u/0=")</f>
        <v>#REF!</v>
      </c>
      <c r="IU86" t="str">
        <f>AND(#REF!,"AAAAADr3u/4=")</f>
        <v>#REF!</v>
      </c>
      <c r="IV86" t="str">
        <f>AND(#REF!,"AAAAADr3u/8=")</f>
        <v>#REF!</v>
      </c>
    </row>
    <row r="87" ht="15.75" customHeight="1">
      <c r="A87" t="str">
        <f>AND(#REF!,"AAAAAHw7OAA=")</f>
        <v>#REF!</v>
      </c>
      <c r="B87" t="str">
        <f>AND(#REF!,"AAAAAHw7OAE=")</f>
        <v>#REF!</v>
      </c>
      <c r="C87" t="str">
        <f>AND(#REF!,"AAAAAHw7OAI=")</f>
        <v>#REF!</v>
      </c>
      <c r="D87" t="str">
        <f>AND(#REF!,"AAAAAHw7OAM=")</f>
        <v>#REF!</v>
      </c>
      <c r="E87" t="str">
        <f>AND(#REF!,"AAAAAHw7OAQ=")</f>
        <v>#REF!</v>
      </c>
      <c r="F87" t="str">
        <f>AND(#REF!,"AAAAAHw7OAU=")</f>
        <v>#REF!</v>
      </c>
      <c r="G87" t="str">
        <f>AND(#REF!,"AAAAAHw7OAY=")</f>
        <v>#REF!</v>
      </c>
      <c r="H87" t="str">
        <f>AND(#REF!,"AAAAAHw7OAc=")</f>
        <v>#REF!</v>
      </c>
      <c r="I87" t="str">
        <f>AND(#REF!,"AAAAAHw7OAg=")</f>
        <v>#REF!</v>
      </c>
      <c r="J87" t="str">
        <f>AND(#REF!,"AAAAAHw7OAk=")</f>
        <v>#REF!</v>
      </c>
      <c r="K87" t="str">
        <f>AND(#REF!,"AAAAAHw7OAo=")</f>
        <v>#REF!</v>
      </c>
      <c r="L87" t="str">
        <f>AND(#REF!,"AAAAAHw7OAs=")</f>
        <v>#REF!</v>
      </c>
      <c r="M87" t="str">
        <f>AND(#REF!,"AAAAAHw7OAw=")</f>
        <v>#REF!</v>
      </c>
      <c r="N87" t="str">
        <f>AND(#REF!,"AAAAAHw7OA0=")</f>
        <v>#REF!</v>
      </c>
      <c r="O87" t="str">
        <f>AND(#REF!,"AAAAAHw7OA4=")</f>
        <v>#REF!</v>
      </c>
      <c r="P87" t="str">
        <f>AND(#REF!,"AAAAAHw7OA8=")</f>
        <v>#REF!</v>
      </c>
      <c r="Q87" t="str">
        <f>IF(#REF!,"AAAAAHw7OBA=",0)</f>
        <v>#REF!</v>
      </c>
      <c r="R87" t="str">
        <f>AND(#REF!,"AAAAAHw7OBE=")</f>
        <v>#REF!</v>
      </c>
      <c r="S87" t="str">
        <f>AND(#REF!,"AAAAAHw7OBI=")</f>
        <v>#REF!</v>
      </c>
      <c r="T87" t="str">
        <f>AND(#REF!,"AAAAAHw7OBM=")</f>
        <v>#REF!</v>
      </c>
      <c r="U87" t="str">
        <f>AND(#REF!,"AAAAAHw7OBQ=")</f>
        <v>#REF!</v>
      </c>
      <c r="V87" t="str">
        <f>AND(#REF!,"AAAAAHw7OBU=")</f>
        <v>#REF!</v>
      </c>
      <c r="W87" t="str">
        <f>AND(#REF!,"AAAAAHw7OBY=")</f>
        <v>#REF!</v>
      </c>
      <c r="X87" t="str">
        <f>AND(#REF!,"AAAAAHw7OBc=")</f>
        <v>#REF!</v>
      </c>
      <c r="Y87" t="str">
        <f>AND(#REF!,"AAAAAHw7OBg=")</f>
        <v>#REF!</v>
      </c>
      <c r="Z87" t="str">
        <f>AND(#REF!,"AAAAAHw7OBk=")</f>
        <v>#REF!</v>
      </c>
      <c r="AA87" t="str">
        <f>AND(#REF!,"AAAAAHw7OBo=")</f>
        <v>#REF!</v>
      </c>
      <c r="AB87" t="str">
        <f>AND(#REF!,"AAAAAHw7OBs=")</f>
        <v>#REF!</v>
      </c>
      <c r="AC87" t="str">
        <f>AND(#REF!,"AAAAAHw7OBw=")</f>
        <v>#REF!</v>
      </c>
      <c r="AD87" t="str">
        <f>AND(#REF!,"AAAAAHw7OB0=")</f>
        <v>#REF!</v>
      </c>
      <c r="AE87" t="str">
        <f>AND(#REF!,"AAAAAHw7OB4=")</f>
        <v>#REF!</v>
      </c>
      <c r="AF87" t="str">
        <f>AND(#REF!,"AAAAAHw7OB8=")</f>
        <v>#REF!</v>
      </c>
      <c r="AG87" t="str">
        <f>AND(#REF!,"AAAAAHw7OCA=")</f>
        <v>#REF!</v>
      </c>
      <c r="AH87" t="str">
        <f>AND(#REF!,"AAAAAHw7OCE=")</f>
        <v>#REF!</v>
      </c>
      <c r="AI87" t="str">
        <f>AND(#REF!,"AAAAAHw7OCI=")</f>
        <v>#REF!</v>
      </c>
      <c r="AJ87" t="str">
        <f>AND(#REF!,"AAAAAHw7OCM=")</f>
        <v>#REF!</v>
      </c>
      <c r="AK87" t="str">
        <f>AND(#REF!,"AAAAAHw7OCQ=")</f>
        <v>#REF!</v>
      </c>
      <c r="AL87" t="str">
        <f>AND(#REF!,"AAAAAHw7OCU=")</f>
        <v>#REF!</v>
      </c>
      <c r="AM87" t="str">
        <f>AND(#REF!,"AAAAAHw7OCY=")</f>
        <v>#REF!</v>
      </c>
      <c r="AN87" t="str">
        <f>AND(#REF!,"AAAAAHw7OCc=")</f>
        <v>#REF!</v>
      </c>
      <c r="AO87" t="str">
        <f>AND(#REF!,"AAAAAHw7OCg=")</f>
        <v>#REF!</v>
      </c>
      <c r="AP87" t="str">
        <f>AND(#REF!,"AAAAAHw7OCk=")</f>
        <v>#REF!</v>
      </c>
      <c r="AQ87" t="str">
        <f>AND(#REF!,"AAAAAHw7OCo=")</f>
        <v>#REF!</v>
      </c>
      <c r="AR87" t="str">
        <f>AND(#REF!,"AAAAAHw7OCs=")</f>
        <v>#REF!</v>
      </c>
      <c r="AS87" t="str">
        <f>AND(#REF!,"AAAAAHw7OCw=")</f>
        <v>#REF!</v>
      </c>
      <c r="AT87" t="str">
        <f>AND(#REF!,"AAAAAHw7OC0=")</f>
        <v>#REF!</v>
      </c>
      <c r="AU87" t="str">
        <f>AND(#REF!,"AAAAAHw7OC4=")</f>
        <v>#REF!</v>
      </c>
      <c r="AV87" t="str">
        <f>AND(#REF!,"AAAAAHw7OC8=")</f>
        <v>#REF!</v>
      </c>
      <c r="AW87" t="str">
        <f>AND(#REF!,"AAAAAHw7ODA=")</f>
        <v>#REF!</v>
      </c>
      <c r="AX87" t="str">
        <f>AND(#REF!,"AAAAAHw7ODE=")</f>
        <v>#REF!</v>
      </c>
      <c r="AY87" t="str">
        <f>AND(#REF!,"AAAAAHw7ODI=")</f>
        <v>#REF!</v>
      </c>
      <c r="AZ87" t="str">
        <f>AND(#REF!,"AAAAAHw7ODM=")</f>
        <v>#REF!</v>
      </c>
      <c r="BA87" t="str">
        <f>AND(#REF!,"AAAAAHw7ODQ=")</f>
        <v>#REF!</v>
      </c>
      <c r="BB87" t="str">
        <f>AND(#REF!,"AAAAAHw7ODU=")</f>
        <v>#REF!</v>
      </c>
      <c r="BC87" t="str">
        <f>AND(#REF!,"AAAAAHw7ODY=")</f>
        <v>#REF!</v>
      </c>
      <c r="BD87" t="str">
        <f>AND(#REF!,"AAAAAHw7ODc=")</f>
        <v>#REF!</v>
      </c>
      <c r="BE87" t="str">
        <f>AND(#REF!,"AAAAAHw7ODg=")</f>
        <v>#REF!</v>
      </c>
      <c r="BF87" t="str">
        <f>AND(#REF!,"AAAAAHw7ODk=")</f>
        <v>#REF!</v>
      </c>
      <c r="BG87" t="str">
        <f>AND(#REF!,"AAAAAHw7ODo=")</f>
        <v>#REF!</v>
      </c>
      <c r="BH87" t="str">
        <f>AND(#REF!,"AAAAAHw7ODs=")</f>
        <v>#REF!</v>
      </c>
      <c r="BI87" t="str">
        <f>AND(#REF!,"AAAAAHw7ODw=")</f>
        <v>#REF!</v>
      </c>
      <c r="BJ87" t="str">
        <f>AND(#REF!,"AAAAAHw7OD0=")</f>
        <v>#REF!</v>
      </c>
      <c r="BK87" t="str">
        <f>AND(#REF!,"AAAAAHw7OD4=")</f>
        <v>#REF!</v>
      </c>
      <c r="BL87" t="str">
        <f>AND(#REF!,"AAAAAHw7OD8=")</f>
        <v>#REF!</v>
      </c>
      <c r="BM87" t="str">
        <f>AND(#REF!,"AAAAAHw7OEA=")</f>
        <v>#REF!</v>
      </c>
      <c r="BN87" t="str">
        <f>AND(#REF!,"AAAAAHw7OEE=")</f>
        <v>#REF!</v>
      </c>
      <c r="BO87" t="str">
        <f>AND(#REF!,"AAAAAHw7OEI=")</f>
        <v>#REF!</v>
      </c>
      <c r="BP87" t="str">
        <f>AND(#REF!,"AAAAAHw7OEM=")</f>
        <v>#REF!</v>
      </c>
      <c r="BQ87" t="str">
        <f>AND(#REF!,"AAAAAHw7OEQ=")</f>
        <v>#REF!</v>
      </c>
      <c r="BR87" t="str">
        <f>AND(#REF!,"AAAAAHw7OEU=")</f>
        <v>#REF!</v>
      </c>
      <c r="BS87" t="str">
        <f>AND(#REF!,"AAAAAHw7OEY=")</f>
        <v>#REF!</v>
      </c>
      <c r="BT87" t="str">
        <f>AND(#REF!,"AAAAAHw7OEc=")</f>
        <v>#REF!</v>
      </c>
      <c r="BU87" t="str">
        <f>AND(#REF!,"AAAAAHw7OEg=")</f>
        <v>#REF!</v>
      </c>
      <c r="BV87" t="str">
        <f>AND(#REF!,"AAAAAHw7OEk=")</f>
        <v>#REF!</v>
      </c>
      <c r="BW87" t="str">
        <f>AND(#REF!,"AAAAAHw7OEo=")</f>
        <v>#REF!</v>
      </c>
      <c r="BX87" t="str">
        <f>AND(#REF!,"AAAAAHw7OEs=")</f>
        <v>#REF!</v>
      </c>
      <c r="BY87" t="str">
        <f>AND(#REF!,"AAAAAHw7OEw=")</f>
        <v>#REF!</v>
      </c>
      <c r="BZ87" t="str">
        <f>AND(#REF!,"AAAAAHw7OE0=")</f>
        <v>#REF!</v>
      </c>
      <c r="CA87" t="str">
        <f>AND(#REF!,"AAAAAHw7OE4=")</f>
        <v>#REF!</v>
      </c>
      <c r="CB87" t="str">
        <f>AND(#REF!,"AAAAAHw7OE8=")</f>
        <v>#REF!</v>
      </c>
      <c r="CC87" t="str">
        <f>AND(#REF!,"AAAAAHw7OFA=")</f>
        <v>#REF!</v>
      </c>
      <c r="CD87" t="str">
        <f>AND(#REF!,"AAAAAHw7OFE=")</f>
        <v>#REF!</v>
      </c>
      <c r="CE87" t="str">
        <f>AND(#REF!,"AAAAAHw7OFI=")</f>
        <v>#REF!</v>
      </c>
      <c r="CF87" t="str">
        <f>AND(#REF!,"AAAAAHw7OFM=")</f>
        <v>#REF!</v>
      </c>
      <c r="CG87" t="str">
        <f>AND(#REF!,"AAAAAHw7OFQ=")</f>
        <v>#REF!</v>
      </c>
      <c r="CH87" t="str">
        <f>AND(#REF!,"AAAAAHw7OFU=")</f>
        <v>#REF!</v>
      </c>
      <c r="CI87" t="str">
        <f>AND(#REF!,"AAAAAHw7OFY=")</f>
        <v>#REF!</v>
      </c>
      <c r="CJ87" t="str">
        <f>AND(#REF!,"AAAAAHw7OFc=")</f>
        <v>#REF!</v>
      </c>
      <c r="CK87" t="str">
        <f>AND(#REF!,"AAAAAHw7OFg=")</f>
        <v>#REF!</v>
      </c>
      <c r="CL87" t="str">
        <f>AND(#REF!,"AAAAAHw7OFk=")</f>
        <v>#REF!</v>
      </c>
      <c r="CM87" t="str">
        <f>AND(#REF!,"AAAAAHw7OFo=")</f>
        <v>#REF!</v>
      </c>
      <c r="CN87" t="str">
        <f>AND(#REF!,"AAAAAHw7OFs=")</f>
        <v>#REF!</v>
      </c>
      <c r="CO87" t="str">
        <f>IF(#REF!,"AAAAAHw7OFw=",0)</f>
        <v>#REF!</v>
      </c>
      <c r="CP87" t="str">
        <f>AND(#REF!,"AAAAAHw7OF0=")</f>
        <v>#REF!</v>
      </c>
      <c r="CQ87" t="str">
        <f>AND(#REF!,"AAAAAHw7OF4=")</f>
        <v>#REF!</v>
      </c>
      <c r="CR87" t="str">
        <f>AND(#REF!,"AAAAAHw7OF8=")</f>
        <v>#REF!</v>
      </c>
      <c r="CS87" t="str">
        <f>AND(#REF!,"AAAAAHw7OGA=")</f>
        <v>#REF!</v>
      </c>
      <c r="CT87" t="str">
        <f>AND(#REF!,"AAAAAHw7OGE=")</f>
        <v>#REF!</v>
      </c>
      <c r="CU87" t="str">
        <f>AND(#REF!,"AAAAAHw7OGI=")</f>
        <v>#REF!</v>
      </c>
      <c r="CV87" t="str">
        <f>AND(#REF!,"AAAAAHw7OGM=")</f>
        <v>#REF!</v>
      </c>
      <c r="CW87" t="str">
        <f>AND(#REF!,"AAAAAHw7OGQ=")</f>
        <v>#REF!</v>
      </c>
      <c r="CX87" t="str">
        <f>AND(#REF!,"AAAAAHw7OGU=")</f>
        <v>#REF!</v>
      </c>
      <c r="CY87" t="str">
        <f>AND(#REF!,"AAAAAHw7OGY=")</f>
        <v>#REF!</v>
      </c>
      <c r="CZ87" t="str">
        <f>AND(#REF!,"AAAAAHw7OGc=")</f>
        <v>#REF!</v>
      </c>
      <c r="DA87" t="str">
        <f>AND(#REF!,"AAAAAHw7OGg=")</f>
        <v>#REF!</v>
      </c>
      <c r="DB87" t="str">
        <f>AND(#REF!,"AAAAAHw7OGk=")</f>
        <v>#REF!</v>
      </c>
      <c r="DC87" t="str">
        <f>AND(#REF!,"AAAAAHw7OGo=")</f>
        <v>#REF!</v>
      </c>
      <c r="DD87" t="str">
        <f>AND(#REF!,"AAAAAHw7OGs=")</f>
        <v>#REF!</v>
      </c>
      <c r="DE87" t="str">
        <f>AND(#REF!,"AAAAAHw7OGw=")</f>
        <v>#REF!</v>
      </c>
      <c r="DF87" t="str">
        <f>AND(#REF!,"AAAAAHw7OG0=")</f>
        <v>#REF!</v>
      </c>
      <c r="DG87" t="str">
        <f>AND(#REF!,"AAAAAHw7OG4=")</f>
        <v>#REF!</v>
      </c>
      <c r="DH87" t="str">
        <f>AND(#REF!,"AAAAAHw7OG8=")</f>
        <v>#REF!</v>
      </c>
      <c r="DI87" t="str">
        <f>AND(#REF!,"AAAAAHw7OHA=")</f>
        <v>#REF!</v>
      </c>
      <c r="DJ87" t="str">
        <f>AND(#REF!,"AAAAAHw7OHE=")</f>
        <v>#REF!</v>
      </c>
      <c r="DK87" t="str">
        <f>AND(#REF!,"AAAAAHw7OHI=")</f>
        <v>#REF!</v>
      </c>
      <c r="DL87" t="str">
        <f>AND(#REF!,"AAAAAHw7OHM=")</f>
        <v>#REF!</v>
      </c>
      <c r="DM87" t="str">
        <f>AND(#REF!,"AAAAAHw7OHQ=")</f>
        <v>#REF!</v>
      </c>
      <c r="DN87" t="str">
        <f>AND(#REF!,"AAAAAHw7OHU=")</f>
        <v>#REF!</v>
      </c>
      <c r="DO87" t="str">
        <f>AND(#REF!,"AAAAAHw7OHY=")</f>
        <v>#REF!</v>
      </c>
      <c r="DP87" t="str">
        <f>AND(#REF!,"AAAAAHw7OHc=")</f>
        <v>#REF!</v>
      </c>
      <c r="DQ87" t="str">
        <f>AND(#REF!,"AAAAAHw7OHg=")</f>
        <v>#REF!</v>
      </c>
      <c r="DR87" t="str">
        <f>AND(#REF!,"AAAAAHw7OHk=")</f>
        <v>#REF!</v>
      </c>
      <c r="DS87" t="str">
        <f>AND(#REF!,"AAAAAHw7OHo=")</f>
        <v>#REF!</v>
      </c>
      <c r="DT87" t="str">
        <f>AND(#REF!,"AAAAAHw7OHs=")</f>
        <v>#REF!</v>
      </c>
      <c r="DU87" t="str">
        <f>AND(#REF!,"AAAAAHw7OHw=")</f>
        <v>#REF!</v>
      </c>
      <c r="DV87" t="str">
        <f>AND(#REF!,"AAAAAHw7OH0=")</f>
        <v>#REF!</v>
      </c>
      <c r="DW87" t="str">
        <f>AND(#REF!,"AAAAAHw7OH4=")</f>
        <v>#REF!</v>
      </c>
      <c r="DX87" t="str">
        <f>AND(#REF!,"AAAAAHw7OH8=")</f>
        <v>#REF!</v>
      </c>
      <c r="DY87" t="str">
        <f>AND(#REF!,"AAAAAHw7OIA=")</f>
        <v>#REF!</v>
      </c>
      <c r="DZ87" t="str">
        <f>AND(#REF!,"AAAAAHw7OIE=")</f>
        <v>#REF!</v>
      </c>
      <c r="EA87" t="str">
        <f>AND(#REF!,"AAAAAHw7OII=")</f>
        <v>#REF!</v>
      </c>
      <c r="EB87" t="str">
        <f>AND(#REF!,"AAAAAHw7OIM=")</f>
        <v>#REF!</v>
      </c>
      <c r="EC87" t="str">
        <f>AND(#REF!,"AAAAAHw7OIQ=")</f>
        <v>#REF!</v>
      </c>
      <c r="ED87" t="str">
        <f>AND(#REF!,"AAAAAHw7OIU=")</f>
        <v>#REF!</v>
      </c>
      <c r="EE87" t="str">
        <f>AND(#REF!,"AAAAAHw7OIY=")</f>
        <v>#REF!</v>
      </c>
      <c r="EF87" t="str">
        <f>AND(#REF!,"AAAAAHw7OIc=")</f>
        <v>#REF!</v>
      </c>
      <c r="EG87" t="str">
        <f>AND(#REF!,"AAAAAHw7OIg=")</f>
        <v>#REF!</v>
      </c>
      <c r="EH87" t="str">
        <f>AND(#REF!,"AAAAAHw7OIk=")</f>
        <v>#REF!</v>
      </c>
      <c r="EI87" t="str">
        <f>AND(#REF!,"AAAAAHw7OIo=")</f>
        <v>#REF!</v>
      </c>
      <c r="EJ87" t="str">
        <f>AND(#REF!,"AAAAAHw7OIs=")</f>
        <v>#REF!</v>
      </c>
      <c r="EK87" t="str">
        <f>AND(#REF!,"AAAAAHw7OIw=")</f>
        <v>#REF!</v>
      </c>
      <c r="EL87" t="str">
        <f>AND(#REF!,"AAAAAHw7OI0=")</f>
        <v>#REF!</v>
      </c>
      <c r="EM87" t="str">
        <f>AND(#REF!,"AAAAAHw7OI4=")</f>
        <v>#REF!</v>
      </c>
      <c r="EN87" t="str">
        <f>AND(#REF!,"AAAAAHw7OI8=")</f>
        <v>#REF!</v>
      </c>
      <c r="EO87" t="str">
        <f>AND(#REF!,"AAAAAHw7OJA=")</f>
        <v>#REF!</v>
      </c>
      <c r="EP87" t="str">
        <f>AND(#REF!,"AAAAAHw7OJE=")</f>
        <v>#REF!</v>
      </c>
      <c r="EQ87" t="str">
        <f>AND(#REF!,"AAAAAHw7OJI=")</f>
        <v>#REF!</v>
      </c>
      <c r="ER87" t="str">
        <f>AND(#REF!,"AAAAAHw7OJM=")</f>
        <v>#REF!</v>
      </c>
      <c r="ES87" t="str">
        <f>AND(#REF!,"AAAAAHw7OJQ=")</f>
        <v>#REF!</v>
      </c>
      <c r="ET87" t="str">
        <f>AND(#REF!,"AAAAAHw7OJU=")</f>
        <v>#REF!</v>
      </c>
      <c r="EU87" t="str">
        <f>AND(#REF!,"AAAAAHw7OJY=")</f>
        <v>#REF!</v>
      </c>
      <c r="EV87" t="str">
        <f>AND(#REF!,"AAAAAHw7OJc=")</f>
        <v>#REF!</v>
      </c>
      <c r="EW87" t="str">
        <f>AND(#REF!,"AAAAAHw7OJg=")</f>
        <v>#REF!</v>
      </c>
      <c r="EX87" t="str">
        <f>AND(#REF!,"AAAAAHw7OJk=")</f>
        <v>#REF!</v>
      </c>
      <c r="EY87" t="str">
        <f>AND(#REF!,"AAAAAHw7OJo=")</f>
        <v>#REF!</v>
      </c>
      <c r="EZ87" t="str">
        <f>AND(#REF!,"AAAAAHw7OJs=")</f>
        <v>#REF!</v>
      </c>
      <c r="FA87" t="str">
        <f>AND(#REF!,"AAAAAHw7OJw=")</f>
        <v>#REF!</v>
      </c>
      <c r="FB87" t="str">
        <f>AND(#REF!,"AAAAAHw7OJ0=")</f>
        <v>#REF!</v>
      </c>
      <c r="FC87" t="str">
        <f>AND(#REF!,"AAAAAHw7OJ4=")</f>
        <v>#REF!</v>
      </c>
      <c r="FD87" t="str">
        <f>AND(#REF!,"AAAAAHw7OJ8=")</f>
        <v>#REF!</v>
      </c>
      <c r="FE87" t="str">
        <f>AND(#REF!,"AAAAAHw7OKA=")</f>
        <v>#REF!</v>
      </c>
      <c r="FF87" t="str">
        <f>AND(#REF!,"AAAAAHw7OKE=")</f>
        <v>#REF!</v>
      </c>
      <c r="FG87" t="str">
        <f>AND(#REF!,"AAAAAHw7OKI=")</f>
        <v>#REF!</v>
      </c>
      <c r="FH87" t="str">
        <f>AND(#REF!,"AAAAAHw7OKM=")</f>
        <v>#REF!</v>
      </c>
      <c r="FI87" t="str">
        <f>AND(#REF!,"AAAAAHw7OKQ=")</f>
        <v>#REF!</v>
      </c>
      <c r="FJ87" t="str">
        <f>AND(#REF!,"AAAAAHw7OKU=")</f>
        <v>#REF!</v>
      </c>
      <c r="FK87" t="str">
        <f>AND(#REF!,"AAAAAHw7OKY=")</f>
        <v>#REF!</v>
      </c>
      <c r="FL87" t="str">
        <f>AND(#REF!,"AAAAAHw7OKc=")</f>
        <v>#REF!</v>
      </c>
      <c r="FM87" t="str">
        <f>IF(#REF!,"AAAAAHw7OKg=",0)</f>
        <v>#REF!</v>
      </c>
      <c r="FN87" t="str">
        <f>AND(#REF!,"AAAAAHw7OKk=")</f>
        <v>#REF!</v>
      </c>
      <c r="FO87" t="str">
        <f>AND(#REF!,"AAAAAHw7OKo=")</f>
        <v>#REF!</v>
      </c>
      <c r="FP87" t="str">
        <f>AND(#REF!,"AAAAAHw7OKs=")</f>
        <v>#REF!</v>
      </c>
      <c r="FQ87" t="str">
        <f>AND(#REF!,"AAAAAHw7OKw=")</f>
        <v>#REF!</v>
      </c>
      <c r="FR87" t="str">
        <f>AND(#REF!,"AAAAAHw7OK0=")</f>
        <v>#REF!</v>
      </c>
      <c r="FS87" t="str">
        <f>AND(#REF!,"AAAAAHw7OK4=")</f>
        <v>#REF!</v>
      </c>
      <c r="FT87" t="str">
        <f>AND(#REF!,"AAAAAHw7OK8=")</f>
        <v>#REF!</v>
      </c>
      <c r="FU87" t="str">
        <f>AND(#REF!,"AAAAAHw7OLA=")</f>
        <v>#REF!</v>
      </c>
      <c r="FV87" t="str">
        <f>AND(#REF!,"AAAAAHw7OLE=")</f>
        <v>#REF!</v>
      </c>
      <c r="FW87" t="str">
        <f>AND(#REF!,"AAAAAHw7OLI=")</f>
        <v>#REF!</v>
      </c>
      <c r="FX87" t="str">
        <f>AND(#REF!,"AAAAAHw7OLM=")</f>
        <v>#REF!</v>
      </c>
      <c r="FY87" t="str">
        <f>AND(#REF!,"AAAAAHw7OLQ=")</f>
        <v>#REF!</v>
      </c>
      <c r="FZ87" t="str">
        <f>AND(#REF!,"AAAAAHw7OLU=")</f>
        <v>#REF!</v>
      </c>
      <c r="GA87" t="str">
        <f>AND(#REF!,"AAAAAHw7OLY=")</f>
        <v>#REF!</v>
      </c>
      <c r="GB87" t="str">
        <f>AND(#REF!,"AAAAAHw7OLc=")</f>
        <v>#REF!</v>
      </c>
      <c r="GC87" t="str">
        <f>AND(#REF!,"AAAAAHw7OLg=")</f>
        <v>#REF!</v>
      </c>
      <c r="GD87" t="str">
        <f>AND(#REF!,"AAAAAHw7OLk=")</f>
        <v>#REF!</v>
      </c>
      <c r="GE87" t="str">
        <f>AND(#REF!,"AAAAAHw7OLo=")</f>
        <v>#REF!</v>
      </c>
      <c r="GF87" t="str">
        <f>AND(#REF!,"AAAAAHw7OLs=")</f>
        <v>#REF!</v>
      </c>
      <c r="GG87" t="str">
        <f>AND(#REF!,"AAAAAHw7OLw=")</f>
        <v>#REF!</v>
      </c>
      <c r="GH87" t="str">
        <f>AND(#REF!,"AAAAAHw7OL0=")</f>
        <v>#REF!</v>
      </c>
      <c r="GI87" t="str">
        <f>AND(#REF!,"AAAAAHw7OL4=")</f>
        <v>#REF!</v>
      </c>
      <c r="GJ87" t="str">
        <f>AND(#REF!,"AAAAAHw7OL8=")</f>
        <v>#REF!</v>
      </c>
      <c r="GK87" t="str">
        <f>AND(#REF!,"AAAAAHw7OMA=")</f>
        <v>#REF!</v>
      </c>
      <c r="GL87" t="str">
        <f>AND(#REF!,"AAAAAHw7OME=")</f>
        <v>#REF!</v>
      </c>
      <c r="GM87" t="str">
        <f>AND(#REF!,"AAAAAHw7OMI=")</f>
        <v>#REF!</v>
      </c>
      <c r="GN87" t="str">
        <f>AND(#REF!,"AAAAAHw7OMM=")</f>
        <v>#REF!</v>
      </c>
      <c r="GO87" t="str">
        <f>AND(#REF!,"AAAAAHw7OMQ=")</f>
        <v>#REF!</v>
      </c>
      <c r="GP87" t="str">
        <f>AND(#REF!,"AAAAAHw7OMU=")</f>
        <v>#REF!</v>
      </c>
      <c r="GQ87" t="str">
        <f>AND(#REF!,"AAAAAHw7OMY=")</f>
        <v>#REF!</v>
      </c>
      <c r="GR87" t="str">
        <f>AND(#REF!,"AAAAAHw7OMc=")</f>
        <v>#REF!</v>
      </c>
      <c r="GS87" t="str">
        <f>AND(#REF!,"AAAAAHw7OMg=")</f>
        <v>#REF!</v>
      </c>
      <c r="GT87" t="str">
        <f>AND(#REF!,"AAAAAHw7OMk=")</f>
        <v>#REF!</v>
      </c>
      <c r="GU87" t="str">
        <f>AND(#REF!,"AAAAAHw7OMo=")</f>
        <v>#REF!</v>
      </c>
      <c r="GV87" t="str">
        <f>AND(#REF!,"AAAAAHw7OMs=")</f>
        <v>#REF!</v>
      </c>
      <c r="GW87" t="str">
        <f>AND(#REF!,"AAAAAHw7OMw=")</f>
        <v>#REF!</v>
      </c>
      <c r="GX87" t="str">
        <f>AND(#REF!,"AAAAAHw7OM0=")</f>
        <v>#REF!</v>
      </c>
      <c r="GY87" t="str">
        <f>AND(#REF!,"AAAAAHw7OM4=")</f>
        <v>#REF!</v>
      </c>
      <c r="GZ87" t="str">
        <f>AND(#REF!,"AAAAAHw7OM8=")</f>
        <v>#REF!</v>
      </c>
      <c r="HA87" t="str">
        <f>AND(#REF!,"AAAAAHw7ONA=")</f>
        <v>#REF!</v>
      </c>
      <c r="HB87" t="str">
        <f>AND(#REF!,"AAAAAHw7ONE=")</f>
        <v>#REF!</v>
      </c>
      <c r="HC87" t="str">
        <f>AND(#REF!,"AAAAAHw7ONI=")</f>
        <v>#REF!</v>
      </c>
      <c r="HD87" t="str">
        <f>AND(#REF!,"AAAAAHw7ONM=")</f>
        <v>#REF!</v>
      </c>
      <c r="HE87" t="str">
        <f>AND(#REF!,"AAAAAHw7ONQ=")</f>
        <v>#REF!</v>
      </c>
      <c r="HF87" t="str">
        <f>AND(#REF!,"AAAAAHw7ONU=")</f>
        <v>#REF!</v>
      </c>
      <c r="HG87" t="str">
        <f>AND(#REF!,"AAAAAHw7ONY=")</f>
        <v>#REF!</v>
      </c>
      <c r="HH87" t="str">
        <f>AND(#REF!,"AAAAAHw7ONc=")</f>
        <v>#REF!</v>
      </c>
      <c r="HI87" t="str">
        <f>AND(#REF!,"AAAAAHw7ONg=")</f>
        <v>#REF!</v>
      </c>
      <c r="HJ87" t="str">
        <f>AND(#REF!,"AAAAAHw7ONk=")</f>
        <v>#REF!</v>
      </c>
      <c r="HK87" t="str">
        <f>AND(#REF!,"AAAAAHw7ONo=")</f>
        <v>#REF!</v>
      </c>
      <c r="HL87" t="str">
        <f>AND(#REF!,"AAAAAHw7ONs=")</f>
        <v>#REF!</v>
      </c>
      <c r="HM87" t="str">
        <f>AND(#REF!,"AAAAAHw7ONw=")</f>
        <v>#REF!</v>
      </c>
      <c r="HN87" t="str">
        <f>AND(#REF!,"AAAAAHw7ON0=")</f>
        <v>#REF!</v>
      </c>
      <c r="HO87" t="str">
        <f>AND(#REF!,"AAAAAHw7ON4=")</f>
        <v>#REF!</v>
      </c>
      <c r="HP87" t="str">
        <f>AND(#REF!,"AAAAAHw7ON8=")</f>
        <v>#REF!</v>
      </c>
      <c r="HQ87" t="str">
        <f>AND(#REF!,"AAAAAHw7OOA=")</f>
        <v>#REF!</v>
      </c>
      <c r="HR87" t="str">
        <f>AND(#REF!,"AAAAAHw7OOE=")</f>
        <v>#REF!</v>
      </c>
      <c r="HS87" t="str">
        <f>AND(#REF!,"AAAAAHw7OOI=")</f>
        <v>#REF!</v>
      </c>
      <c r="HT87" t="str">
        <f>AND(#REF!,"AAAAAHw7OOM=")</f>
        <v>#REF!</v>
      </c>
      <c r="HU87" t="str">
        <f>AND(#REF!,"AAAAAHw7OOQ=")</f>
        <v>#REF!</v>
      </c>
      <c r="HV87" t="str">
        <f>AND(#REF!,"AAAAAHw7OOU=")</f>
        <v>#REF!</v>
      </c>
      <c r="HW87" t="str">
        <f>AND(#REF!,"AAAAAHw7OOY=")</f>
        <v>#REF!</v>
      </c>
      <c r="HX87" t="str">
        <f>AND(#REF!,"AAAAAHw7OOc=")</f>
        <v>#REF!</v>
      </c>
      <c r="HY87" t="str">
        <f>AND(#REF!,"AAAAAHw7OOg=")</f>
        <v>#REF!</v>
      </c>
      <c r="HZ87" t="str">
        <f>AND(#REF!,"AAAAAHw7OOk=")</f>
        <v>#REF!</v>
      </c>
      <c r="IA87" t="str">
        <f>AND(#REF!,"AAAAAHw7OOo=")</f>
        <v>#REF!</v>
      </c>
      <c r="IB87" t="str">
        <f>AND(#REF!,"AAAAAHw7OOs=")</f>
        <v>#REF!</v>
      </c>
      <c r="IC87" t="str">
        <f>AND(#REF!,"AAAAAHw7OOw=")</f>
        <v>#REF!</v>
      </c>
      <c r="ID87" t="str">
        <f>AND(#REF!,"AAAAAHw7OO0=")</f>
        <v>#REF!</v>
      </c>
      <c r="IE87" t="str">
        <f>AND(#REF!,"AAAAAHw7OO4=")</f>
        <v>#REF!</v>
      </c>
      <c r="IF87" t="str">
        <f>AND(#REF!,"AAAAAHw7OO8=")</f>
        <v>#REF!</v>
      </c>
      <c r="IG87" t="str">
        <f>AND(#REF!,"AAAAAHw7OPA=")</f>
        <v>#REF!</v>
      </c>
      <c r="IH87" t="str">
        <f>AND(#REF!,"AAAAAHw7OPE=")</f>
        <v>#REF!</v>
      </c>
      <c r="II87" t="str">
        <f>AND(#REF!,"AAAAAHw7OPI=")</f>
        <v>#REF!</v>
      </c>
      <c r="IJ87" t="str">
        <f>AND(#REF!,"AAAAAHw7OPM=")</f>
        <v>#REF!</v>
      </c>
      <c r="IK87" t="str">
        <f>IF(#REF!,"AAAAAHw7OPQ=",0)</f>
        <v>#REF!</v>
      </c>
      <c r="IL87" t="str">
        <f>AND(#REF!,"AAAAAHw7OPU=")</f>
        <v>#REF!</v>
      </c>
      <c r="IM87" t="str">
        <f>AND(#REF!,"AAAAAHw7OPY=")</f>
        <v>#REF!</v>
      </c>
      <c r="IN87" t="str">
        <f>AND(#REF!,"AAAAAHw7OPc=")</f>
        <v>#REF!</v>
      </c>
      <c r="IO87" t="str">
        <f>AND(#REF!,"AAAAAHw7OPg=")</f>
        <v>#REF!</v>
      </c>
      <c r="IP87" t="str">
        <f>AND(#REF!,"AAAAAHw7OPk=")</f>
        <v>#REF!</v>
      </c>
      <c r="IQ87" t="str">
        <f>AND(#REF!,"AAAAAHw7OPo=")</f>
        <v>#REF!</v>
      </c>
      <c r="IR87" t="str">
        <f>AND(#REF!,"AAAAAHw7OPs=")</f>
        <v>#REF!</v>
      </c>
      <c r="IS87" t="str">
        <f>AND(#REF!,"AAAAAHw7OPw=")</f>
        <v>#REF!</v>
      </c>
      <c r="IT87" t="str">
        <f>AND(#REF!,"AAAAAHw7OP0=")</f>
        <v>#REF!</v>
      </c>
      <c r="IU87" t="str">
        <f>AND(#REF!,"AAAAAHw7OP4=")</f>
        <v>#REF!</v>
      </c>
      <c r="IV87" t="str">
        <f>AND(#REF!,"AAAAAHw7OP8=")</f>
        <v>#REF!</v>
      </c>
    </row>
    <row r="88" ht="15.75" customHeight="1">
      <c r="A88" t="str">
        <f>AND(#REF!,"AAAAAG/0vwA=")</f>
        <v>#REF!</v>
      </c>
      <c r="B88" t="str">
        <f>AND(#REF!,"AAAAAG/0vwE=")</f>
        <v>#REF!</v>
      </c>
      <c r="C88" t="str">
        <f>AND(#REF!,"AAAAAG/0vwI=")</f>
        <v>#REF!</v>
      </c>
      <c r="D88" t="str">
        <f>AND(#REF!,"AAAAAG/0vwM=")</f>
        <v>#REF!</v>
      </c>
      <c r="E88" t="str">
        <f>AND(#REF!,"AAAAAG/0vwQ=")</f>
        <v>#REF!</v>
      </c>
      <c r="F88" t="str">
        <f>AND(#REF!,"AAAAAG/0vwU=")</f>
        <v>#REF!</v>
      </c>
      <c r="G88" t="str">
        <f>AND(#REF!,"AAAAAG/0vwY=")</f>
        <v>#REF!</v>
      </c>
      <c r="H88" t="str">
        <f>AND(#REF!,"AAAAAG/0vwc=")</f>
        <v>#REF!</v>
      </c>
      <c r="I88" t="str">
        <f>AND(#REF!,"AAAAAG/0vwg=")</f>
        <v>#REF!</v>
      </c>
      <c r="J88" t="str">
        <f>AND(#REF!,"AAAAAG/0vwk=")</f>
        <v>#REF!</v>
      </c>
      <c r="K88" t="str">
        <f>AND(#REF!,"AAAAAG/0vwo=")</f>
        <v>#REF!</v>
      </c>
      <c r="L88" t="str">
        <f>AND(#REF!,"AAAAAG/0vws=")</f>
        <v>#REF!</v>
      </c>
      <c r="M88" t="str">
        <f>AND(#REF!,"AAAAAG/0vww=")</f>
        <v>#REF!</v>
      </c>
      <c r="N88" t="str">
        <f>AND(#REF!,"AAAAAG/0vw0=")</f>
        <v>#REF!</v>
      </c>
      <c r="O88" t="str">
        <f>AND(#REF!,"AAAAAG/0vw4=")</f>
        <v>#REF!</v>
      </c>
      <c r="P88" t="str">
        <f>AND(#REF!,"AAAAAG/0vw8=")</f>
        <v>#REF!</v>
      </c>
      <c r="Q88" t="str">
        <f>AND(#REF!,"AAAAAG/0vxA=")</f>
        <v>#REF!</v>
      </c>
      <c r="R88" t="str">
        <f>AND(#REF!,"AAAAAG/0vxE=")</f>
        <v>#REF!</v>
      </c>
      <c r="S88" t="str">
        <f>AND(#REF!,"AAAAAG/0vxI=")</f>
        <v>#REF!</v>
      </c>
      <c r="T88" t="str">
        <f>AND(#REF!,"AAAAAG/0vxM=")</f>
        <v>#REF!</v>
      </c>
      <c r="U88" t="str">
        <f>AND(#REF!,"AAAAAG/0vxQ=")</f>
        <v>#REF!</v>
      </c>
      <c r="V88" t="str">
        <f>AND(#REF!,"AAAAAG/0vxU=")</f>
        <v>#REF!</v>
      </c>
      <c r="W88" t="str">
        <f>AND(#REF!,"AAAAAG/0vxY=")</f>
        <v>#REF!</v>
      </c>
      <c r="X88" t="str">
        <f>AND(#REF!,"AAAAAG/0vxc=")</f>
        <v>#REF!</v>
      </c>
      <c r="Y88" t="str">
        <f>AND(#REF!,"AAAAAG/0vxg=")</f>
        <v>#REF!</v>
      </c>
      <c r="Z88" t="str">
        <f>AND(#REF!,"AAAAAG/0vxk=")</f>
        <v>#REF!</v>
      </c>
      <c r="AA88" t="str">
        <f>AND(#REF!,"AAAAAG/0vxo=")</f>
        <v>#REF!</v>
      </c>
      <c r="AB88" t="str">
        <f>AND(#REF!,"AAAAAG/0vxs=")</f>
        <v>#REF!</v>
      </c>
      <c r="AC88" t="str">
        <f>AND(#REF!,"AAAAAG/0vxw=")</f>
        <v>#REF!</v>
      </c>
      <c r="AD88" t="str">
        <f>AND(#REF!,"AAAAAG/0vx0=")</f>
        <v>#REF!</v>
      </c>
      <c r="AE88" t="str">
        <f>AND(#REF!,"AAAAAG/0vx4=")</f>
        <v>#REF!</v>
      </c>
      <c r="AF88" t="str">
        <f>AND(#REF!,"AAAAAG/0vx8=")</f>
        <v>#REF!</v>
      </c>
      <c r="AG88" t="str">
        <f>AND(#REF!,"AAAAAG/0vyA=")</f>
        <v>#REF!</v>
      </c>
      <c r="AH88" t="str">
        <f>AND(#REF!,"AAAAAG/0vyE=")</f>
        <v>#REF!</v>
      </c>
      <c r="AI88" t="str">
        <f>AND(#REF!,"AAAAAG/0vyI=")</f>
        <v>#REF!</v>
      </c>
      <c r="AJ88" t="str">
        <f>AND(#REF!,"AAAAAG/0vyM=")</f>
        <v>#REF!</v>
      </c>
      <c r="AK88" t="str">
        <f>AND(#REF!,"AAAAAG/0vyQ=")</f>
        <v>#REF!</v>
      </c>
      <c r="AL88" t="str">
        <f>AND(#REF!,"AAAAAG/0vyU=")</f>
        <v>#REF!</v>
      </c>
      <c r="AM88" t="str">
        <f>AND(#REF!,"AAAAAG/0vyY=")</f>
        <v>#REF!</v>
      </c>
      <c r="AN88" t="str">
        <f>AND(#REF!,"AAAAAG/0vyc=")</f>
        <v>#REF!</v>
      </c>
      <c r="AO88" t="str">
        <f>AND(#REF!,"AAAAAG/0vyg=")</f>
        <v>#REF!</v>
      </c>
      <c r="AP88" t="str">
        <f>AND(#REF!,"AAAAAG/0vyk=")</f>
        <v>#REF!</v>
      </c>
      <c r="AQ88" t="str">
        <f>AND(#REF!,"AAAAAG/0vyo=")</f>
        <v>#REF!</v>
      </c>
      <c r="AR88" t="str">
        <f>AND(#REF!,"AAAAAG/0vys=")</f>
        <v>#REF!</v>
      </c>
      <c r="AS88" t="str">
        <f>AND(#REF!,"AAAAAG/0vyw=")</f>
        <v>#REF!</v>
      </c>
      <c r="AT88" t="str">
        <f>AND(#REF!,"AAAAAG/0vy0=")</f>
        <v>#REF!</v>
      </c>
      <c r="AU88" t="str">
        <f>AND(#REF!,"AAAAAG/0vy4=")</f>
        <v>#REF!</v>
      </c>
      <c r="AV88" t="str">
        <f>AND(#REF!,"AAAAAG/0vy8=")</f>
        <v>#REF!</v>
      </c>
      <c r="AW88" t="str">
        <f>AND(#REF!,"AAAAAG/0vzA=")</f>
        <v>#REF!</v>
      </c>
      <c r="AX88" t="str">
        <f>AND(#REF!,"AAAAAG/0vzE=")</f>
        <v>#REF!</v>
      </c>
      <c r="AY88" t="str">
        <f>AND(#REF!,"AAAAAG/0vzI=")</f>
        <v>#REF!</v>
      </c>
      <c r="AZ88" t="str">
        <f>AND(#REF!,"AAAAAG/0vzM=")</f>
        <v>#REF!</v>
      </c>
      <c r="BA88" t="str">
        <f>AND(#REF!,"AAAAAG/0vzQ=")</f>
        <v>#REF!</v>
      </c>
      <c r="BB88" t="str">
        <f>AND(#REF!,"AAAAAG/0vzU=")</f>
        <v>#REF!</v>
      </c>
      <c r="BC88" t="str">
        <f>AND(#REF!,"AAAAAG/0vzY=")</f>
        <v>#REF!</v>
      </c>
      <c r="BD88" t="str">
        <f>AND(#REF!,"AAAAAG/0vzc=")</f>
        <v>#REF!</v>
      </c>
      <c r="BE88" t="str">
        <f>AND(#REF!,"AAAAAG/0vzg=")</f>
        <v>#REF!</v>
      </c>
      <c r="BF88" t="str">
        <f>AND(#REF!,"AAAAAG/0vzk=")</f>
        <v>#REF!</v>
      </c>
      <c r="BG88" t="str">
        <f>AND(#REF!,"AAAAAG/0vzo=")</f>
        <v>#REF!</v>
      </c>
      <c r="BH88" t="str">
        <f>AND(#REF!,"AAAAAG/0vzs=")</f>
        <v>#REF!</v>
      </c>
      <c r="BI88" t="str">
        <f>AND(#REF!,"AAAAAG/0vzw=")</f>
        <v>#REF!</v>
      </c>
      <c r="BJ88" t="str">
        <f>AND(#REF!,"AAAAAG/0vz0=")</f>
        <v>#REF!</v>
      </c>
      <c r="BK88" t="str">
        <f>AND(#REF!,"AAAAAG/0vz4=")</f>
        <v>#REF!</v>
      </c>
      <c r="BL88" t="str">
        <f>AND(#REF!,"AAAAAG/0vz8=")</f>
        <v>#REF!</v>
      </c>
      <c r="BM88" t="str">
        <f>IF(#REF!,"AAAAAG/0v0A=",0)</f>
        <v>#REF!</v>
      </c>
      <c r="BN88" t="str">
        <f>AND(#REF!,"AAAAAG/0v0E=")</f>
        <v>#REF!</v>
      </c>
      <c r="BO88" t="str">
        <f>AND(#REF!,"AAAAAG/0v0I=")</f>
        <v>#REF!</v>
      </c>
      <c r="BP88" t="str">
        <f>AND(#REF!,"AAAAAG/0v0M=")</f>
        <v>#REF!</v>
      </c>
      <c r="BQ88" t="str">
        <f>AND(#REF!,"AAAAAG/0v0Q=")</f>
        <v>#REF!</v>
      </c>
      <c r="BR88" t="str">
        <f>AND(#REF!,"AAAAAG/0v0U=")</f>
        <v>#REF!</v>
      </c>
      <c r="BS88" t="str">
        <f>AND(#REF!,"AAAAAG/0v0Y=")</f>
        <v>#REF!</v>
      </c>
      <c r="BT88" t="str">
        <f>AND(#REF!,"AAAAAG/0v0c=")</f>
        <v>#REF!</v>
      </c>
      <c r="BU88" t="str">
        <f>AND(#REF!,"AAAAAG/0v0g=")</f>
        <v>#REF!</v>
      </c>
      <c r="BV88" t="str">
        <f>AND(#REF!,"AAAAAG/0v0k=")</f>
        <v>#REF!</v>
      </c>
      <c r="BW88" t="str">
        <f>AND(#REF!,"AAAAAG/0v0o=")</f>
        <v>#REF!</v>
      </c>
      <c r="BX88" t="str">
        <f>AND(#REF!,"AAAAAG/0v0s=")</f>
        <v>#REF!</v>
      </c>
      <c r="BY88" t="str">
        <f>AND(#REF!,"AAAAAG/0v0w=")</f>
        <v>#REF!</v>
      </c>
      <c r="BZ88" t="str">
        <f>AND(#REF!,"AAAAAG/0v00=")</f>
        <v>#REF!</v>
      </c>
      <c r="CA88" t="str">
        <f>AND(#REF!,"AAAAAG/0v04=")</f>
        <v>#REF!</v>
      </c>
      <c r="CB88" t="str">
        <f>AND(#REF!,"AAAAAG/0v08=")</f>
        <v>#REF!</v>
      </c>
      <c r="CC88" t="str">
        <f>AND(#REF!,"AAAAAG/0v1A=")</f>
        <v>#REF!</v>
      </c>
      <c r="CD88" t="str">
        <f>AND(#REF!,"AAAAAG/0v1E=")</f>
        <v>#REF!</v>
      </c>
      <c r="CE88" t="str">
        <f>AND(#REF!,"AAAAAG/0v1I=")</f>
        <v>#REF!</v>
      </c>
      <c r="CF88" t="str">
        <f>AND(#REF!,"AAAAAG/0v1M=")</f>
        <v>#REF!</v>
      </c>
      <c r="CG88" t="str">
        <f>AND(#REF!,"AAAAAG/0v1Q=")</f>
        <v>#REF!</v>
      </c>
      <c r="CH88" t="str">
        <f>AND(#REF!,"AAAAAG/0v1U=")</f>
        <v>#REF!</v>
      </c>
      <c r="CI88" t="str">
        <f>AND(#REF!,"AAAAAG/0v1Y=")</f>
        <v>#REF!</v>
      </c>
      <c r="CJ88" t="str">
        <f>AND(#REF!,"AAAAAG/0v1c=")</f>
        <v>#REF!</v>
      </c>
      <c r="CK88" t="str">
        <f>AND(#REF!,"AAAAAG/0v1g=")</f>
        <v>#REF!</v>
      </c>
      <c r="CL88" t="str">
        <f>AND(#REF!,"AAAAAG/0v1k=")</f>
        <v>#REF!</v>
      </c>
      <c r="CM88" t="str">
        <f>AND(#REF!,"AAAAAG/0v1o=")</f>
        <v>#REF!</v>
      </c>
      <c r="CN88" t="str">
        <f>AND(#REF!,"AAAAAG/0v1s=")</f>
        <v>#REF!</v>
      </c>
      <c r="CO88" t="str">
        <f>AND(#REF!,"AAAAAG/0v1w=")</f>
        <v>#REF!</v>
      </c>
      <c r="CP88" t="str">
        <f>AND(#REF!,"AAAAAG/0v10=")</f>
        <v>#REF!</v>
      </c>
      <c r="CQ88" t="str">
        <f>AND(#REF!,"AAAAAG/0v14=")</f>
        <v>#REF!</v>
      </c>
      <c r="CR88" t="str">
        <f>AND(#REF!,"AAAAAG/0v18=")</f>
        <v>#REF!</v>
      </c>
      <c r="CS88" t="str">
        <f>AND(#REF!,"AAAAAG/0v2A=")</f>
        <v>#REF!</v>
      </c>
      <c r="CT88" t="str">
        <f>AND(#REF!,"AAAAAG/0v2E=")</f>
        <v>#REF!</v>
      </c>
      <c r="CU88" t="str">
        <f>AND(#REF!,"AAAAAG/0v2I=")</f>
        <v>#REF!</v>
      </c>
      <c r="CV88" t="str">
        <f>AND(#REF!,"AAAAAG/0v2M=")</f>
        <v>#REF!</v>
      </c>
      <c r="CW88" t="str">
        <f>AND(#REF!,"AAAAAG/0v2Q=")</f>
        <v>#REF!</v>
      </c>
      <c r="CX88" t="str">
        <f>AND(#REF!,"AAAAAG/0v2U=")</f>
        <v>#REF!</v>
      </c>
      <c r="CY88" t="str">
        <f>AND(#REF!,"AAAAAG/0v2Y=")</f>
        <v>#REF!</v>
      </c>
      <c r="CZ88" t="str">
        <f>AND(#REF!,"AAAAAG/0v2c=")</f>
        <v>#REF!</v>
      </c>
      <c r="DA88" t="str">
        <f>AND(#REF!,"AAAAAG/0v2g=")</f>
        <v>#REF!</v>
      </c>
      <c r="DB88" t="str">
        <f>AND(#REF!,"AAAAAG/0v2k=")</f>
        <v>#REF!</v>
      </c>
      <c r="DC88" t="str">
        <f>AND(#REF!,"AAAAAG/0v2o=")</f>
        <v>#REF!</v>
      </c>
      <c r="DD88" t="str">
        <f>AND(#REF!,"AAAAAG/0v2s=")</f>
        <v>#REF!</v>
      </c>
      <c r="DE88" t="str">
        <f>AND(#REF!,"AAAAAG/0v2w=")</f>
        <v>#REF!</v>
      </c>
      <c r="DF88" t="str">
        <f>AND(#REF!,"AAAAAG/0v20=")</f>
        <v>#REF!</v>
      </c>
      <c r="DG88" t="str">
        <f>AND(#REF!,"AAAAAG/0v24=")</f>
        <v>#REF!</v>
      </c>
      <c r="DH88" t="str">
        <f>AND(#REF!,"AAAAAG/0v28=")</f>
        <v>#REF!</v>
      </c>
      <c r="DI88" t="str">
        <f>AND(#REF!,"AAAAAG/0v3A=")</f>
        <v>#REF!</v>
      </c>
      <c r="DJ88" t="str">
        <f>AND(#REF!,"AAAAAG/0v3E=")</f>
        <v>#REF!</v>
      </c>
      <c r="DK88" t="str">
        <f>AND(#REF!,"AAAAAG/0v3I=")</f>
        <v>#REF!</v>
      </c>
      <c r="DL88" t="str">
        <f>AND(#REF!,"AAAAAG/0v3M=")</f>
        <v>#REF!</v>
      </c>
      <c r="DM88" t="str">
        <f>AND(#REF!,"AAAAAG/0v3Q=")</f>
        <v>#REF!</v>
      </c>
      <c r="DN88" t="str">
        <f>AND(#REF!,"AAAAAG/0v3U=")</f>
        <v>#REF!</v>
      </c>
      <c r="DO88" t="str">
        <f>AND(#REF!,"AAAAAG/0v3Y=")</f>
        <v>#REF!</v>
      </c>
      <c r="DP88" t="str">
        <f>AND(#REF!,"AAAAAG/0v3c=")</f>
        <v>#REF!</v>
      </c>
      <c r="DQ88" t="str">
        <f>AND(#REF!,"AAAAAG/0v3g=")</f>
        <v>#REF!</v>
      </c>
      <c r="DR88" t="str">
        <f>AND(#REF!,"AAAAAG/0v3k=")</f>
        <v>#REF!</v>
      </c>
      <c r="DS88" t="str">
        <f>AND(#REF!,"AAAAAG/0v3o=")</f>
        <v>#REF!</v>
      </c>
      <c r="DT88" t="str">
        <f>AND(#REF!,"AAAAAG/0v3s=")</f>
        <v>#REF!</v>
      </c>
      <c r="DU88" t="str">
        <f>AND(#REF!,"AAAAAG/0v3w=")</f>
        <v>#REF!</v>
      </c>
      <c r="DV88" t="str">
        <f>AND(#REF!,"AAAAAG/0v30=")</f>
        <v>#REF!</v>
      </c>
      <c r="DW88" t="str">
        <f>AND(#REF!,"AAAAAG/0v34=")</f>
        <v>#REF!</v>
      </c>
      <c r="DX88" t="str">
        <f>AND(#REF!,"AAAAAG/0v38=")</f>
        <v>#REF!</v>
      </c>
      <c r="DY88" t="str">
        <f>AND(#REF!,"AAAAAG/0v4A=")</f>
        <v>#REF!</v>
      </c>
      <c r="DZ88" t="str">
        <f>AND(#REF!,"AAAAAG/0v4E=")</f>
        <v>#REF!</v>
      </c>
      <c r="EA88" t="str">
        <f>AND(#REF!,"AAAAAG/0v4I=")</f>
        <v>#REF!</v>
      </c>
      <c r="EB88" t="str">
        <f>AND(#REF!,"AAAAAG/0v4M=")</f>
        <v>#REF!</v>
      </c>
      <c r="EC88" t="str">
        <f>AND(#REF!,"AAAAAG/0v4Q=")</f>
        <v>#REF!</v>
      </c>
      <c r="ED88" t="str">
        <f>AND(#REF!,"AAAAAG/0v4U=")</f>
        <v>#REF!</v>
      </c>
      <c r="EE88" t="str">
        <f>AND(#REF!,"AAAAAG/0v4Y=")</f>
        <v>#REF!</v>
      </c>
      <c r="EF88" t="str">
        <f>AND(#REF!,"AAAAAG/0v4c=")</f>
        <v>#REF!</v>
      </c>
      <c r="EG88" t="str">
        <f>AND(#REF!,"AAAAAG/0v4g=")</f>
        <v>#REF!</v>
      </c>
      <c r="EH88" t="str">
        <f>AND(#REF!,"AAAAAG/0v4k=")</f>
        <v>#REF!</v>
      </c>
      <c r="EI88" t="str">
        <f>AND(#REF!,"AAAAAG/0v4o=")</f>
        <v>#REF!</v>
      </c>
      <c r="EJ88" t="str">
        <f>AND(#REF!,"AAAAAG/0v4s=")</f>
        <v>#REF!</v>
      </c>
      <c r="EK88" t="str">
        <f>IF(#REF!,"AAAAAG/0v4w=",0)</f>
        <v>#REF!</v>
      </c>
      <c r="EL88" t="str">
        <f>AND(#REF!,"AAAAAG/0v40=")</f>
        <v>#REF!</v>
      </c>
      <c r="EM88" t="str">
        <f>AND(#REF!,"AAAAAG/0v44=")</f>
        <v>#REF!</v>
      </c>
      <c r="EN88" t="str">
        <f>AND(#REF!,"AAAAAG/0v48=")</f>
        <v>#REF!</v>
      </c>
      <c r="EO88" t="str">
        <f>AND(#REF!,"AAAAAG/0v5A=")</f>
        <v>#REF!</v>
      </c>
      <c r="EP88" t="str">
        <f>AND(#REF!,"AAAAAG/0v5E=")</f>
        <v>#REF!</v>
      </c>
      <c r="EQ88" t="str">
        <f>AND(#REF!,"AAAAAG/0v5I=")</f>
        <v>#REF!</v>
      </c>
      <c r="ER88" t="str">
        <f>AND(#REF!,"AAAAAG/0v5M=")</f>
        <v>#REF!</v>
      </c>
      <c r="ES88" t="str">
        <f>AND(#REF!,"AAAAAG/0v5Q=")</f>
        <v>#REF!</v>
      </c>
      <c r="ET88" t="str">
        <f>AND(#REF!,"AAAAAG/0v5U=")</f>
        <v>#REF!</v>
      </c>
      <c r="EU88" t="str">
        <f>AND(#REF!,"AAAAAG/0v5Y=")</f>
        <v>#REF!</v>
      </c>
      <c r="EV88" t="str">
        <f>AND(#REF!,"AAAAAG/0v5c=")</f>
        <v>#REF!</v>
      </c>
      <c r="EW88" t="str">
        <f>AND(#REF!,"AAAAAG/0v5g=")</f>
        <v>#REF!</v>
      </c>
      <c r="EX88" t="str">
        <f>AND(#REF!,"AAAAAG/0v5k=")</f>
        <v>#REF!</v>
      </c>
      <c r="EY88" t="str">
        <f>AND(#REF!,"AAAAAG/0v5o=")</f>
        <v>#REF!</v>
      </c>
      <c r="EZ88" t="str">
        <f>AND(#REF!,"AAAAAG/0v5s=")</f>
        <v>#REF!</v>
      </c>
      <c r="FA88" t="str">
        <f>AND(#REF!,"AAAAAG/0v5w=")</f>
        <v>#REF!</v>
      </c>
      <c r="FB88" t="str">
        <f>AND(#REF!,"AAAAAG/0v50=")</f>
        <v>#REF!</v>
      </c>
      <c r="FC88" t="str">
        <f>AND(#REF!,"AAAAAG/0v54=")</f>
        <v>#REF!</v>
      </c>
      <c r="FD88" t="str">
        <f>AND(#REF!,"AAAAAG/0v58=")</f>
        <v>#REF!</v>
      </c>
      <c r="FE88" t="str">
        <f>AND(#REF!,"AAAAAG/0v6A=")</f>
        <v>#REF!</v>
      </c>
      <c r="FF88" t="str">
        <f>AND(#REF!,"AAAAAG/0v6E=")</f>
        <v>#REF!</v>
      </c>
      <c r="FG88" t="str">
        <f>AND(#REF!,"AAAAAG/0v6I=")</f>
        <v>#REF!</v>
      </c>
      <c r="FH88" t="str">
        <f>AND(#REF!,"AAAAAG/0v6M=")</f>
        <v>#REF!</v>
      </c>
      <c r="FI88" t="str">
        <f>AND(#REF!,"AAAAAG/0v6Q=")</f>
        <v>#REF!</v>
      </c>
      <c r="FJ88" t="str">
        <f>AND(#REF!,"AAAAAG/0v6U=")</f>
        <v>#REF!</v>
      </c>
      <c r="FK88" t="str">
        <f>AND(#REF!,"AAAAAG/0v6Y=")</f>
        <v>#REF!</v>
      </c>
      <c r="FL88" t="str">
        <f>AND(#REF!,"AAAAAG/0v6c=")</f>
        <v>#REF!</v>
      </c>
      <c r="FM88" t="str">
        <f>AND(#REF!,"AAAAAG/0v6g=")</f>
        <v>#REF!</v>
      </c>
      <c r="FN88" t="str">
        <f>AND(#REF!,"AAAAAG/0v6k=")</f>
        <v>#REF!</v>
      </c>
      <c r="FO88" t="str">
        <f>AND(#REF!,"AAAAAG/0v6o=")</f>
        <v>#REF!</v>
      </c>
      <c r="FP88" t="str">
        <f>AND(#REF!,"AAAAAG/0v6s=")</f>
        <v>#REF!</v>
      </c>
      <c r="FQ88" t="str">
        <f>AND(#REF!,"AAAAAG/0v6w=")</f>
        <v>#REF!</v>
      </c>
      <c r="FR88" t="str">
        <f>AND(#REF!,"AAAAAG/0v60=")</f>
        <v>#REF!</v>
      </c>
      <c r="FS88" t="str">
        <f>AND(#REF!,"AAAAAG/0v64=")</f>
        <v>#REF!</v>
      </c>
      <c r="FT88" t="str">
        <f>AND(#REF!,"AAAAAG/0v68=")</f>
        <v>#REF!</v>
      </c>
      <c r="FU88" t="str">
        <f>AND(#REF!,"AAAAAG/0v7A=")</f>
        <v>#REF!</v>
      </c>
      <c r="FV88" t="str">
        <f>AND(#REF!,"AAAAAG/0v7E=")</f>
        <v>#REF!</v>
      </c>
      <c r="FW88" t="str">
        <f>AND(#REF!,"AAAAAG/0v7I=")</f>
        <v>#REF!</v>
      </c>
      <c r="FX88" t="str">
        <f>AND(#REF!,"AAAAAG/0v7M=")</f>
        <v>#REF!</v>
      </c>
      <c r="FY88" t="str">
        <f>AND(#REF!,"AAAAAG/0v7Q=")</f>
        <v>#REF!</v>
      </c>
      <c r="FZ88" t="str">
        <f>AND(#REF!,"AAAAAG/0v7U=")</f>
        <v>#REF!</v>
      </c>
      <c r="GA88" t="str">
        <f>AND(#REF!,"AAAAAG/0v7Y=")</f>
        <v>#REF!</v>
      </c>
      <c r="GB88" t="str">
        <f>AND(#REF!,"AAAAAG/0v7c=")</f>
        <v>#REF!</v>
      </c>
      <c r="GC88" t="str">
        <f>AND(#REF!,"AAAAAG/0v7g=")</f>
        <v>#REF!</v>
      </c>
      <c r="GD88" t="str">
        <f>AND(#REF!,"AAAAAG/0v7k=")</f>
        <v>#REF!</v>
      </c>
      <c r="GE88" t="str">
        <f>AND(#REF!,"AAAAAG/0v7o=")</f>
        <v>#REF!</v>
      </c>
      <c r="GF88" t="str">
        <f>AND(#REF!,"AAAAAG/0v7s=")</f>
        <v>#REF!</v>
      </c>
      <c r="GG88" t="str">
        <f>AND(#REF!,"AAAAAG/0v7w=")</f>
        <v>#REF!</v>
      </c>
      <c r="GH88" t="str">
        <f>AND(#REF!,"AAAAAG/0v70=")</f>
        <v>#REF!</v>
      </c>
      <c r="GI88" t="str">
        <f>AND(#REF!,"AAAAAG/0v74=")</f>
        <v>#REF!</v>
      </c>
      <c r="GJ88" t="str">
        <f>AND(#REF!,"AAAAAG/0v78=")</f>
        <v>#REF!</v>
      </c>
      <c r="GK88" t="str">
        <f>AND(#REF!,"AAAAAG/0v8A=")</f>
        <v>#REF!</v>
      </c>
      <c r="GL88" t="str">
        <f>AND(#REF!,"AAAAAG/0v8E=")</f>
        <v>#REF!</v>
      </c>
      <c r="GM88" t="str">
        <f>AND(#REF!,"AAAAAG/0v8I=")</f>
        <v>#REF!</v>
      </c>
      <c r="GN88" t="str">
        <f>AND(#REF!,"AAAAAG/0v8M=")</f>
        <v>#REF!</v>
      </c>
      <c r="GO88" t="str">
        <f>AND(#REF!,"AAAAAG/0v8Q=")</f>
        <v>#REF!</v>
      </c>
      <c r="GP88" t="str">
        <f>AND(#REF!,"AAAAAG/0v8U=")</f>
        <v>#REF!</v>
      </c>
      <c r="GQ88" t="str">
        <f>AND(#REF!,"AAAAAG/0v8Y=")</f>
        <v>#REF!</v>
      </c>
      <c r="GR88" t="str">
        <f>AND(#REF!,"AAAAAG/0v8c=")</f>
        <v>#REF!</v>
      </c>
      <c r="GS88" t="str">
        <f>AND(#REF!,"AAAAAG/0v8g=")</f>
        <v>#REF!</v>
      </c>
      <c r="GT88" t="str">
        <f>AND(#REF!,"AAAAAG/0v8k=")</f>
        <v>#REF!</v>
      </c>
      <c r="GU88" t="str">
        <f>AND(#REF!,"AAAAAG/0v8o=")</f>
        <v>#REF!</v>
      </c>
      <c r="GV88" t="str">
        <f>AND(#REF!,"AAAAAG/0v8s=")</f>
        <v>#REF!</v>
      </c>
      <c r="GW88" t="str">
        <f>AND(#REF!,"AAAAAG/0v8w=")</f>
        <v>#REF!</v>
      </c>
      <c r="GX88" t="str">
        <f>AND(#REF!,"AAAAAG/0v80=")</f>
        <v>#REF!</v>
      </c>
      <c r="GY88" t="str">
        <f>AND(#REF!,"AAAAAG/0v84=")</f>
        <v>#REF!</v>
      </c>
      <c r="GZ88" t="str">
        <f>AND(#REF!,"AAAAAG/0v88=")</f>
        <v>#REF!</v>
      </c>
      <c r="HA88" t="str">
        <f>AND(#REF!,"AAAAAG/0v9A=")</f>
        <v>#REF!</v>
      </c>
      <c r="HB88" t="str">
        <f>AND(#REF!,"AAAAAG/0v9E=")</f>
        <v>#REF!</v>
      </c>
      <c r="HC88" t="str">
        <f>AND(#REF!,"AAAAAG/0v9I=")</f>
        <v>#REF!</v>
      </c>
      <c r="HD88" t="str">
        <f>AND(#REF!,"AAAAAG/0v9M=")</f>
        <v>#REF!</v>
      </c>
      <c r="HE88" t="str">
        <f>AND(#REF!,"AAAAAG/0v9Q=")</f>
        <v>#REF!</v>
      </c>
      <c r="HF88" t="str">
        <f>AND(#REF!,"AAAAAG/0v9U=")</f>
        <v>#REF!</v>
      </c>
      <c r="HG88" t="str">
        <f>AND(#REF!,"AAAAAG/0v9Y=")</f>
        <v>#REF!</v>
      </c>
      <c r="HH88" t="str">
        <f>AND(#REF!,"AAAAAG/0v9c=")</f>
        <v>#REF!</v>
      </c>
      <c r="HI88" t="str">
        <f>IF(#REF!,"AAAAAG/0v9g=",0)</f>
        <v>#REF!</v>
      </c>
      <c r="HJ88" t="str">
        <f>AND(#REF!,"AAAAAG/0v9k=")</f>
        <v>#REF!</v>
      </c>
      <c r="HK88" t="str">
        <f>AND(#REF!,"AAAAAG/0v9o=")</f>
        <v>#REF!</v>
      </c>
      <c r="HL88" t="str">
        <f>AND(#REF!,"AAAAAG/0v9s=")</f>
        <v>#REF!</v>
      </c>
      <c r="HM88" t="str">
        <f>AND(#REF!,"AAAAAG/0v9w=")</f>
        <v>#REF!</v>
      </c>
      <c r="HN88" t="str">
        <f>AND(#REF!,"AAAAAG/0v90=")</f>
        <v>#REF!</v>
      </c>
      <c r="HO88" t="str">
        <f>AND(#REF!,"AAAAAG/0v94=")</f>
        <v>#REF!</v>
      </c>
      <c r="HP88" t="str">
        <f>AND(#REF!,"AAAAAG/0v98=")</f>
        <v>#REF!</v>
      </c>
      <c r="HQ88" t="str">
        <f>AND(#REF!,"AAAAAG/0v+A=")</f>
        <v>#REF!</v>
      </c>
      <c r="HR88" t="str">
        <f>AND(#REF!,"AAAAAG/0v+E=")</f>
        <v>#REF!</v>
      </c>
      <c r="HS88" t="str">
        <f>AND(#REF!,"AAAAAG/0v+I=")</f>
        <v>#REF!</v>
      </c>
      <c r="HT88" t="str">
        <f>AND(#REF!,"AAAAAG/0v+M=")</f>
        <v>#REF!</v>
      </c>
      <c r="HU88" t="str">
        <f>AND(#REF!,"AAAAAG/0v+Q=")</f>
        <v>#REF!</v>
      </c>
      <c r="HV88" t="str">
        <f>AND(#REF!,"AAAAAG/0v+U=")</f>
        <v>#REF!</v>
      </c>
      <c r="HW88" t="str">
        <f>AND(#REF!,"AAAAAG/0v+Y=")</f>
        <v>#REF!</v>
      </c>
      <c r="HX88" t="str">
        <f>AND(#REF!,"AAAAAG/0v+c=")</f>
        <v>#REF!</v>
      </c>
      <c r="HY88" t="str">
        <f>AND(#REF!,"AAAAAG/0v+g=")</f>
        <v>#REF!</v>
      </c>
      <c r="HZ88" t="str">
        <f>AND(#REF!,"AAAAAG/0v+k=")</f>
        <v>#REF!</v>
      </c>
      <c r="IA88" t="str">
        <f>AND(#REF!,"AAAAAG/0v+o=")</f>
        <v>#REF!</v>
      </c>
      <c r="IB88" t="str">
        <f>AND(#REF!,"AAAAAG/0v+s=")</f>
        <v>#REF!</v>
      </c>
      <c r="IC88" t="str">
        <f>AND(#REF!,"AAAAAG/0v+w=")</f>
        <v>#REF!</v>
      </c>
      <c r="ID88" t="str">
        <f>AND(#REF!,"AAAAAG/0v+0=")</f>
        <v>#REF!</v>
      </c>
      <c r="IE88" t="str">
        <f>AND(#REF!,"AAAAAG/0v+4=")</f>
        <v>#REF!</v>
      </c>
      <c r="IF88" t="str">
        <f>AND(#REF!,"AAAAAG/0v+8=")</f>
        <v>#REF!</v>
      </c>
      <c r="IG88" t="str">
        <f>AND(#REF!,"AAAAAG/0v/A=")</f>
        <v>#REF!</v>
      </c>
      <c r="IH88" t="str">
        <f>AND(#REF!,"AAAAAG/0v/E=")</f>
        <v>#REF!</v>
      </c>
      <c r="II88" t="str">
        <f>AND(#REF!,"AAAAAG/0v/I=")</f>
        <v>#REF!</v>
      </c>
      <c r="IJ88" t="str">
        <f>AND(#REF!,"AAAAAG/0v/M=")</f>
        <v>#REF!</v>
      </c>
      <c r="IK88" t="str">
        <f>AND(#REF!,"AAAAAG/0v/Q=")</f>
        <v>#REF!</v>
      </c>
      <c r="IL88" t="str">
        <f>AND(#REF!,"AAAAAG/0v/U=")</f>
        <v>#REF!</v>
      </c>
      <c r="IM88" t="str">
        <f>AND(#REF!,"AAAAAG/0v/Y=")</f>
        <v>#REF!</v>
      </c>
      <c r="IN88" t="str">
        <f>AND(#REF!,"AAAAAG/0v/c=")</f>
        <v>#REF!</v>
      </c>
      <c r="IO88" t="str">
        <f>AND(#REF!,"AAAAAG/0v/g=")</f>
        <v>#REF!</v>
      </c>
      <c r="IP88" t="str">
        <f>AND(#REF!,"AAAAAG/0v/k=")</f>
        <v>#REF!</v>
      </c>
      <c r="IQ88" t="str">
        <f>AND(#REF!,"AAAAAG/0v/o=")</f>
        <v>#REF!</v>
      </c>
      <c r="IR88" t="str">
        <f>AND(#REF!,"AAAAAG/0v/s=")</f>
        <v>#REF!</v>
      </c>
      <c r="IS88" t="str">
        <f>AND(#REF!,"AAAAAG/0v/w=")</f>
        <v>#REF!</v>
      </c>
      <c r="IT88" t="str">
        <f>AND(#REF!,"AAAAAG/0v/0=")</f>
        <v>#REF!</v>
      </c>
      <c r="IU88" t="str">
        <f>AND(#REF!,"AAAAAG/0v/4=")</f>
        <v>#REF!</v>
      </c>
      <c r="IV88" t="str">
        <f>AND(#REF!,"AAAAAG/0v/8=")</f>
        <v>#REF!</v>
      </c>
    </row>
    <row r="89" ht="15.75" customHeight="1">
      <c r="A89" t="str">
        <f>AND(#REF!,"AAAAAD527wA=")</f>
        <v>#REF!</v>
      </c>
      <c r="B89" t="str">
        <f>AND(#REF!,"AAAAAD527wE=")</f>
        <v>#REF!</v>
      </c>
      <c r="C89" t="str">
        <f>AND(#REF!,"AAAAAD527wI=")</f>
        <v>#REF!</v>
      </c>
      <c r="D89" t="str">
        <f>AND(#REF!,"AAAAAD527wM=")</f>
        <v>#REF!</v>
      </c>
      <c r="E89" t="str">
        <f>AND(#REF!,"AAAAAD527wQ=")</f>
        <v>#REF!</v>
      </c>
      <c r="F89" t="str">
        <f>AND(#REF!,"AAAAAD527wU=")</f>
        <v>#REF!</v>
      </c>
      <c r="G89" t="str">
        <f>AND(#REF!,"AAAAAD527wY=")</f>
        <v>#REF!</v>
      </c>
      <c r="H89" t="str">
        <f>AND(#REF!,"AAAAAD527wc=")</f>
        <v>#REF!</v>
      </c>
      <c r="I89" t="str">
        <f>AND(#REF!,"AAAAAD527wg=")</f>
        <v>#REF!</v>
      </c>
      <c r="J89" t="str">
        <f>AND(#REF!,"AAAAAD527wk=")</f>
        <v>#REF!</v>
      </c>
      <c r="K89" t="str">
        <f>AND(#REF!,"AAAAAD527wo=")</f>
        <v>#REF!</v>
      </c>
      <c r="L89" t="str">
        <f>AND(#REF!,"AAAAAD527ws=")</f>
        <v>#REF!</v>
      </c>
      <c r="M89" t="str">
        <f>AND(#REF!,"AAAAAD527ww=")</f>
        <v>#REF!</v>
      </c>
      <c r="N89" t="str">
        <f>AND(#REF!,"AAAAAD527w0=")</f>
        <v>#REF!</v>
      </c>
      <c r="O89" t="str">
        <f>AND(#REF!,"AAAAAD527w4=")</f>
        <v>#REF!</v>
      </c>
      <c r="P89" t="str">
        <f>AND(#REF!,"AAAAAD527w8=")</f>
        <v>#REF!</v>
      </c>
      <c r="Q89" t="str">
        <f>AND(#REF!,"AAAAAD527xA=")</f>
        <v>#REF!</v>
      </c>
      <c r="R89" t="str">
        <f>AND(#REF!,"AAAAAD527xE=")</f>
        <v>#REF!</v>
      </c>
      <c r="S89" t="str">
        <f>AND(#REF!,"AAAAAD527xI=")</f>
        <v>#REF!</v>
      </c>
      <c r="T89" t="str">
        <f>AND(#REF!,"AAAAAD527xM=")</f>
        <v>#REF!</v>
      </c>
      <c r="U89" t="str">
        <f>AND(#REF!,"AAAAAD527xQ=")</f>
        <v>#REF!</v>
      </c>
      <c r="V89" t="str">
        <f>AND(#REF!,"AAAAAD527xU=")</f>
        <v>#REF!</v>
      </c>
      <c r="W89" t="str">
        <f>AND(#REF!,"AAAAAD527xY=")</f>
        <v>#REF!</v>
      </c>
      <c r="X89" t="str">
        <f>AND(#REF!,"AAAAAD527xc=")</f>
        <v>#REF!</v>
      </c>
      <c r="Y89" t="str">
        <f>AND(#REF!,"AAAAAD527xg=")</f>
        <v>#REF!</v>
      </c>
      <c r="Z89" t="str">
        <f>AND(#REF!,"AAAAAD527xk=")</f>
        <v>#REF!</v>
      </c>
      <c r="AA89" t="str">
        <f>AND(#REF!,"AAAAAD527xo=")</f>
        <v>#REF!</v>
      </c>
      <c r="AB89" t="str">
        <f>AND(#REF!,"AAAAAD527xs=")</f>
        <v>#REF!</v>
      </c>
      <c r="AC89" t="str">
        <f>AND(#REF!,"AAAAAD527xw=")</f>
        <v>#REF!</v>
      </c>
      <c r="AD89" t="str">
        <f>AND(#REF!,"AAAAAD527x0=")</f>
        <v>#REF!</v>
      </c>
      <c r="AE89" t="str">
        <f>AND(#REF!,"AAAAAD527x4=")</f>
        <v>#REF!</v>
      </c>
      <c r="AF89" t="str">
        <f>AND(#REF!,"AAAAAD527x8=")</f>
        <v>#REF!</v>
      </c>
      <c r="AG89" t="str">
        <f>AND(#REF!,"AAAAAD527yA=")</f>
        <v>#REF!</v>
      </c>
      <c r="AH89" t="str">
        <f>AND(#REF!,"AAAAAD527yE=")</f>
        <v>#REF!</v>
      </c>
      <c r="AI89" t="str">
        <f>AND(#REF!,"AAAAAD527yI=")</f>
        <v>#REF!</v>
      </c>
      <c r="AJ89" t="str">
        <f>AND(#REF!,"AAAAAD527yM=")</f>
        <v>#REF!</v>
      </c>
      <c r="AK89" t="str">
        <f>IF(#REF!,"AAAAAD527yQ=",0)</f>
        <v>#REF!</v>
      </c>
      <c r="AL89" t="str">
        <f>AND(#REF!,"AAAAAD527yU=")</f>
        <v>#REF!</v>
      </c>
      <c r="AM89" t="str">
        <f>AND(#REF!,"AAAAAD527yY=")</f>
        <v>#REF!</v>
      </c>
      <c r="AN89" t="str">
        <f>AND(#REF!,"AAAAAD527yc=")</f>
        <v>#REF!</v>
      </c>
      <c r="AO89" t="str">
        <f>AND(#REF!,"AAAAAD527yg=")</f>
        <v>#REF!</v>
      </c>
      <c r="AP89" t="str">
        <f>AND(#REF!,"AAAAAD527yk=")</f>
        <v>#REF!</v>
      </c>
      <c r="AQ89" t="str">
        <f>AND(#REF!,"AAAAAD527yo=")</f>
        <v>#REF!</v>
      </c>
      <c r="AR89" t="str">
        <f>AND(#REF!,"AAAAAD527ys=")</f>
        <v>#REF!</v>
      </c>
      <c r="AS89" t="str">
        <f>AND(#REF!,"AAAAAD527yw=")</f>
        <v>#REF!</v>
      </c>
      <c r="AT89" t="str">
        <f>AND(#REF!,"AAAAAD527y0=")</f>
        <v>#REF!</v>
      </c>
      <c r="AU89" t="str">
        <f>AND(#REF!,"AAAAAD527y4=")</f>
        <v>#REF!</v>
      </c>
      <c r="AV89" t="str">
        <f>AND(#REF!,"AAAAAD527y8=")</f>
        <v>#REF!</v>
      </c>
      <c r="AW89" t="str">
        <f>AND(#REF!,"AAAAAD527zA=")</f>
        <v>#REF!</v>
      </c>
      <c r="AX89" t="str">
        <f>AND(#REF!,"AAAAAD527zE=")</f>
        <v>#REF!</v>
      </c>
      <c r="AY89" t="str">
        <f>AND(#REF!,"AAAAAD527zI=")</f>
        <v>#REF!</v>
      </c>
      <c r="AZ89" t="str">
        <f>AND(#REF!,"AAAAAD527zM=")</f>
        <v>#REF!</v>
      </c>
      <c r="BA89" t="str">
        <f>AND(#REF!,"AAAAAD527zQ=")</f>
        <v>#REF!</v>
      </c>
      <c r="BB89" t="str">
        <f>AND(#REF!,"AAAAAD527zU=")</f>
        <v>#REF!</v>
      </c>
      <c r="BC89" t="str">
        <f>AND(#REF!,"AAAAAD527zY=")</f>
        <v>#REF!</v>
      </c>
      <c r="BD89" t="str">
        <f>AND(#REF!,"AAAAAD527zc=")</f>
        <v>#REF!</v>
      </c>
      <c r="BE89" t="str">
        <f>AND(#REF!,"AAAAAD527zg=")</f>
        <v>#REF!</v>
      </c>
      <c r="BF89" t="str">
        <f>AND(#REF!,"AAAAAD527zk=")</f>
        <v>#REF!</v>
      </c>
      <c r="BG89" t="str">
        <f>AND(#REF!,"AAAAAD527zo=")</f>
        <v>#REF!</v>
      </c>
      <c r="BH89" t="str">
        <f>AND(#REF!,"AAAAAD527zs=")</f>
        <v>#REF!</v>
      </c>
      <c r="BI89" t="str">
        <f>AND(#REF!,"AAAAAD527zw=")</f>
        <v>#REF!</v>
      </c>
      <c r="BJ89" t="str">
        <f>AND(#REF!,"AAAAAD527z0=")</f>
        <v>#REF!</v>
      </c>
      <c r="BK89" t="str">
        <f>AND(#REF!,"AAAAAD527z4=")</f>
        <v>#REF!</v>
      </c>
      <c r="BL89" t="str">
        <f>AND(#REF!,"AAAAAD527z8=")</f>
        <v>#REF!</v>
      </c>
      <c r="BM89" t="str">
        <f>AND(#REF!,"AAAAAD5270A=")</f>
        <v>#REF!</v>
      </c>
      <c r="BN89" t="str">
        <f>AND(#REF!,"AAAAAD5270E=")</f>
        <v>#REF!</v>
      </c>
      <c r="BO89" t="str">
        <f>AND(#REF!,"AAAAAD5270I=")</f>
        <v>#REF!</v>
      </c>
      <c r="BP89" t="str">
        <f>AND(#REF!,"AAAAAD5270M=")</f>
        <v>#REF!</v>
      </c>
      <c r="BQ89" t="str">
        <f>AND(#REF!,"AAAAAD5270Q=")</f>
        <v>#REF!</v>
      </c>
      <c r="BR89" t="str">
        <f>AND(#REF!,"AAAAAD5270U=")</f>
        <v>#REF!</v>
      </c>
      <c r="BS89" t="str">
        <f>AND(#REF!,"AAAAAD5270Y=")</f>
        <v>#REF!</v>
      </c>
      <c r="BT89" t="str">
        <f>AND(#REF!,"AAAAAD5270c=")</f>
        <v>#REF!</v>
      </c>
      <c r="BU89" t="str">
        <f>AND(#REF!,"AAAAAD5270g=")</f>
        <v>#REF!</v>
      </c>
      <c r="BV89" t="str">
        <f>AND(#REF!,"AAAAAD5270k=")</f>
        <v>#REF!</v>
      </c>
      <c r="BW89" t="str">
        <f>AND(#REF!,"AAAAAD5270o=")</f>
        <v>#REF!</v>
      </c>
      <c r="BX89" t="str">
        <f>AND(#REF!,"AAAAAD5270s=")</f>
        <v>#REF!</v>
      </c>
      <c r="BY89" t="str">
        <f>AND(#REF!,"AAAAAD5270w=")</f>
        <v>#REF!</v>
      </c>
      <c r="BZ89" t="str">
        <f>AND(#REF!,"AAAAAD52700=")</f>
        <v>#REF!</v>
      </c>
      <c r="CA89" t="str">
        <f>AND(#REF!,"AAAAAD52704=")</f>
        <v>#REF!</v>
      </c>
      <c r="CB89" t="str">
        <f>AND(#REF!,"AAAAAD52708=")</f>
        <v>#REF!</v>
      </c>
      <c r="CC89" t="str">
        <f>AND(#REF!,"AAAAAD5271A=")</f>
        <v>#REF!</v>
      </c>
      <c r="CD89" t="str">
        <f>AND(#REF!,"AAAAAD5271E=")</f>
        <v>#REF!</v>
      </c>
      <c r="CE89" t="str">
        <f>AND(#REF!,"AAAAAD5271I=")</f>
        <v>#REF!</v>
      </c>
      <c r="CF89" t="str">
        <f>AND(#REF!,"AAAAAD5271M=")</f>
        <v>#REF!</v>
      </c>
      <c r="CG89" t="str">
        <f>AND(#REF!,"AAAAAD5271Q=")</f>
        <v>#REF!</v>
      </c>
      <c r="CH89" t="str">
        <f>AND(#REF!,"AAAAAD5271U=")</f>
        <v>#REF!</v>
      </c>
      <c r="CI89" t="str">
        <f>AND(#REF!,"AAAAAD5271Y=")</f>
        <v>#REF!</v>
      </c>
      <c r="CJ89" t="str">
        <f>AND(#REF!,"AAAAAD5271c=")</f>
        <v>#REF!</v>
      </c>
      <c r="CK89" t="str">
        <f>AND(#REF!,"AAAAAD5271g=")</f>
        <v>#REF!</v>
      </c>
      <c r="CL89" t="str">
        <f>AND(#REF!,"AAAAAD5271k=")</f>
        <v>#REF!</v>
      </c>
      <c r="CM89" t="str">
        <f>AND(#REF!,"AAAAAD5271o=")</f>
        <v>#REF!</v>
      </c>
      <c r="CN89" t="str">
        <f>AND(#REF!,"AAAAAD5271s=")</f>
        <v>#REF!</v>
      </c>
      <c r="CO89" t="str">
        <f>AND(#REF!,"AAAAAD5271w=")</f>
        <v>#REF!</v>
      </c>
      <c r="CP89" t="str">
        <f>AND(#REF!,"AAAAAD52710=")</f>
        <v>#REF!</v>
      </c>
      <c r="CQ89" t="str">
        <f>AND(#REF!,"AAAAAD52714=")</f>
        <v>#REF!</v>
      </c>
      <c r="CR89" t="str">
        <f>AND(#REF!,"AAAAAD52718=")</f>
        <v>#REF!</v>
      </c>
      <c r="CS89" t="str">
        <f>AND(#REF!,"AAAAAD5272A=")</f>
        <v>#REF!</v>
      </c>
      <c r="CT89" t="str">
        <f>AND(#REF!,"AAAAAD5272E=")</f>
        <v>#REF!</v>
      </c>
      <c r="CU89" t="str">
        <f>AND(#REF!,"AAAAAD5272I=")</f>
        <v>#REF!</v>
      </c>
      <c r="CV89" t="str">
        <f>AND(#REF!,"AAAAAD5272M=")</f>
        <v>#REF!</v>
      </c>
      <c r="CW89" t="str">
        <f>AND(#REF!,"AAAAAD5272Q=")</f>
        <v>#REF!</v>
      </c>
      <c r="CX89" t="str">
        <f>AND(#REF!,"AAAAAD5272U=")</f>
        <v>#REF!</v>
      </c>
      <c r="CY89" t="str">
        <f>AND(#REF!,"AAAAAD5272Y=")</f>
        <v>#REF!</v>
      </c>
      <c r="CZ89" t="str">
        <f>AND(#REF!,"AAAAAD5272c=")</f>
        <v>#REF!</v>
      </c>
      <c r="DA89" t="str">
        <f>AND(#REF!,"AAAAAD5272g=")</f>
        <v>#REF!</v>
      </c>
      <c r="DB89" t="str">
        <f>AND(#REF!,"AAAAAD5272k=")</f>
        <v>#REF!</v>
      </c>
      <c r="DC89" t="str">
        <f>AND(#REF!,"AAAAAD5272o=")</f>
        <v>#REF!</v>
      </c>
      <c r="DD89" t="str">
        <f>AND(#REF!,"AAAAAD5272s=")</f>
        <v>#REF!</v>
      </c>
      <c r="DE89" t="str">
        <f>AND(#REF!,"AAAAAD5272w=")</f>
        <v>#REF!</v>
      </c>
      <c r="DF89" t="str">
        <f>AND(#REF!,"AAAAAD52720=")</f>
        <v>#REF!</v>
      </c>
      <c r="DG89" t="str">
        <f>AND(#REF!,"AAAAAD52724=")</f>
        <v>#REF!</v>
      </c>
      <c r="DH89" t="str">
        <f>AND(#REF!,"AAAAAD52728=")</f>
        <v>#REF!</v>
      </c>
      <c r="DI89" t="str">
        <f>IF(#REF!,"AAAAAD5273A=",0)</f>
        <v>#REF!</v>
      </c>
      <c r="DJ89" t="str">
        <f>AND(#REF!,"AAAAAD5273E=")</f>
        <v>#REF!</v>
      </c>
      <c r="DK89" t="str">
        <f>AND(#REF!,"AAAAAD5273I=")</f>
        <v>#REF!</v>
      </c>
      <c r="DL89" t="str">
        <f>AND(#REF!,"AAAAAD5273M=")</f>
        <v>#REF!</v>
      </c>
      <c r="DM89" t="str">
        <f>AND(#REF!,"AAAAAD5273Q=")</f>
        <v>#REF!</v>
      </c>
      <c r="DN89" t="str">
        <f>AND(#REF!,"AAAAAD5273U=")</f>
        <v>#REF!</v>
      </c>
      <c r="DO89" t="str">
        <f>AND(#REF!,"AAAAAD5273Y=")</f>
        <v>#REF!</v>
      </c>
      <c r="DP89" t="str">
        <f>AND(#REF!,"AAAAAD5273c=")</f>
        <v>#REF!</v>
      </c>
      <c r="DQ89" t="str">
        <f>AND(#REF!,"AAAAAD5273g=")</f>
        <v>#REF!</v>
      </c>
      <c r="DR89" t="str">
        <f>AND(#REF!,"AAAAAD5273k=")</f>
        <v>#REF!</v>
      </c>
      <c r="DS89" t="str">
        <f>AND(#REF!,"AAAAAD5273o=")</f>
        <v>#REF!</v>
      </c>
      <c r="DT89" t="str">
        <f>AND(#REF!,"AAAAAD5273s=")</f>
        <v>#REF!</v>
      </c>
      <c r="DU89" t="str">
        <f>AND(#REF!,"AAAAAD5273w=")</f>
        <v>#REF!</v>
      </c>
      <c r="DV89" t="str">
        <f>AND(#REF!,"AAAAAD52730=")</f>
        <v>#REF!</v>
      </c>
      <c r="DW89" t="str">
        <f>AND(#REF!,"AAAAAD52734=")</f>
        <v>#REF!</v>
      </c>
      <c r="DX89" t="str">
        <f>AND(#REF!,"AAAAAD52738=")</f>
        <v>#REF!</v>
      </c>
      <c r="DY89" t="str">
        <f>AND(#REF!,"AAAAAD5274A=")</f>
        <v>#REF!</v>
      </c>
      <c r="DZ89" t="str">
        <f>AND(#REF!,"AAAAAD5274E=")</f>
        <v>#REF!</v>
      </c>
      <c r="EA89" t="str">
        <f>AND(#REF!,"AAAAAD5274I=")</f>
        <v>#REF!</v>
      </c>
      <c r="EB89" t="str">
        <f>AND(#REF!,"AAAAAD5274M=")</f>
        <v>#REF!</v>
      </c>
      <c r="EC89" t="str">
        <f>AND(#REF!,"AAAAAD5274Q=")</f>
        <v>#REF!</v>
      </c>
      <c r="ED89" t="str">
        <f>AND(#REF!,"AAAAAD5274U=")</f>
        <v>#REF!</v>
      </c>
      <c r="EE89" t="str">
        <f>AND(#REF!,"AAAAAD5274Y=")</f>
        <v>#REF!</v>
      </c>
      <c r="EF89" t="str">
        <f>AND(#REF!,"AAAAAD5274c=")</f>
        <v>#REF!</v>
      </c>
      <c r="EG89" t="str">
        <f>AND(#REF!,"AAAAAD5274g=")</f>
        <v>#REF!</v>
      </c>
      <c r="EH89" t="str">
        <f>AND(#REF!,"AAAAAD5274k=")</f>
        <v>#REF!</v>
      </c>
      <c r="EI89" t="str">
        <f>AND(#REF!,"AAAAAD5274o=")</f>
        <v>#REF!</v>
      </c>
      <c r="EJ89" t="str">
        <f>AND(#REF!,"AAAAAD5274s=")</f>
        <v>#REF!</v>
      </c>
      <c r="EK89" t="str">
        <f>AND(#REF!,"AAAAAD5274w=")</f>
        <v>#REF!</v>
      </c>
      <c r="EL89" t="str">
        <f>AND(#REF!,"AAAAAD52740=")</f>
        <v>#REF!</v>
      </c>
      <c r="EM89" t="str">
        <f>AND(#REF!,"AAAAAD52744=")</f>
        <v>#REF!</v>
      </c>
      <c r="EN89" t="str">
        <f>AND(#REF!,"AAAAAD52748=")</f>
        <v>#REF!</v>
      </c>
      <c r="EO89" t="str">
        <f>AND(#REF!,"AAAAAD5275A=")</f>
        <v>#REF!</v>
      </c>
      <c r="EP89" t="str">
        <f>AND(#REF!,"AAAAAD5275E=")</f>
        <v>#REF!</v>
      </c>
      <c r="EQ89" t="str">
        <f>AND(#REF!,"AAAAAD5275I=")</f>
        <v>#REF!</v>
      </c>
      <c r="ER89" t="str">
        <f>AND(#REF!,"AAAAAD5275M=")</f>
        <v>#REF!</v>
      </c>
      <c r="ES89" t="str">
        <f>AND(#REF!,"AAAAAD5275Q=")</f>
        <v>#REF!</v>
      </c>
      <c r="ET89" t="str">
        <f>AND(#REF!,"AAAAAD5275U=")</f>
        <v>#REF!</v>
      </c>
      <c r="EU89" t="str">
        <f>AND(#REF!,"AAAAAD5275Y=")</f>
        <v>#REF!</v>
      </c>
      <c r="EV89" t="str">
        <f>AND(#REF!,"AAAAAD5275c=")</f>
        <v>#REF!</v>
      </c>
      <c r="EW89" t="str">
        <f>AND(#REF!,"AAAAAD5275g=")</f>
        <v>#REF!</v>
      </c>
      <c r="EX89" t="str">
        <f>AND(#REF!,"AAAAAD5275k=")</f>
        <v>#REF!</v>
      </c>
      <c r="EY89" t="str">
        <f>AND(#REF!,"AAAAAD5275o=")</f>
        <v>#REF!</v>
      </c>
      <c r="EZ89" t="str">
        <f>AND(#REF!,"AAAAAD5275s=")</f>
        <v>#REF!</v>
      </c>
      <c r="FA89" t="str">
        <f>AND(#REF!,"AAAAAD5275w=")</f>
        <v>#REF!</v>
      </c>
      <c r="FB89" t="str">
        <f>AND(#REF!,"AAAAAD52750=")</f>
        <v>#REF!</v>
      </c>
      <c r="FC89" t="str">
        <f>AND(#REF!,"AAAAAD52754=")</f>
        <v>#REF!</v>
      </c>
      <c r="FD89" t="str">
        <f>AND(#REF!,"AAAAAD52758=")</f>
        <v>#REF!</v>
      </c>
      <c r="FE89" t="str">
        <f>AND(#REF!,"AAAAAD5276A=")</f>
        <v>#REF!</v>
      </c>
      <c r="FF89" t="str">
        <f>AND(#REF!,"AAAAAD5276E=")</f>
        <v>#REF!</v>
      </c>
      <c r="FG89" t="str">
        <f>AND(#REF!,"AAAAAD5276I=")</f>
        <v>#REF!</v>
      </c>
      <c r="FH89" t="str">
        <f>AND(#REF!,"AAAAAD5276M=")</f>
        <v>#REF!</v>
      </c>
      <c r="FI89" t="str">
        <f>AND(#REF!,"AAAAAD5276Q=")</f>
        <v>#REF!</v>
      </c>
      <c r="FJ89" t="str">
        <f>AND(#REF!,"AAAAAD5276U=")</f>
        <v>#REF!</v>
      </c>
      <c r="FK89" t="str">
        <f>AND(#REF!,"AAAAAD5276Y=")</f>
        <v>#REF!</v>
      </c>
      <c r="FL89" t="str">
        <f>AND(#REF!,"AAAAAD5276c=")</f>
        <v>#REF!</v>
      </c>
      <c r="FM89" t="str">
        <f>AND(#REF!,"AAAAAD5276g=")</f>
        <v>#REF!</v>
      </c>
      <c r="FN89" t="str">
        <f>AND(#REF!,"AAAAAD5276k=")</f>
        <v>#REF!</v>
      </c>
      <c r="FO89" t="str">
        <f>AND(#REF!,"AAAAAD5276o=")</f>
        <v>#REF!</v>
      </c>
      <c r="FP89" t="str">
        <f>AND(#REF!,"AAAAAD5276s=")</f>
        <v>#REF!</v>
      </c>
      <c r="FQ89" t="str">
        <f>AND(#REF!,"AAAAAD5276w=")</f>
        <v>#REF!</v>
      </c>
      <c r="FR89" t="str">
        <f>AND(#REF!,"AAAAAD52760=")</f>
        <v>#REF!</v>
      </c>
      <c r="FS89" t="str">
        <f>AND(#REF!,"AAAAAD52764=")</f>
        <v>#REF!</v>
      </c>
      <c r="FT89" t="str">
        <f>AND(#REF!,"AAAAAD52768=")</f>
        <v>#REF!</v>
      </c>
      <c r="FU89" t="str">
        <f>AND(#REF!,"AAAAAD5277A=")</f>
        <v>#REF!</v>
      </c>
      <c r="FV89" t="str">
        <f>AND(#REF!,"AAAAAD5277E=")</f>
        <v>#REF!</v>
      </c>
      <c r="FW89" t="str">
        <f>AND(#REF!,"AAAAAD5277I=")</f>
        <v>#REF!</v>
      </c>
      <c r="FX89" t="str">
        <f>AND(#REF!,"AAAAAD5277M=")</f>
        <v>#REF!</v>
      </c>
      <c r="FY89" t="str">
        <f>AND(#REF!,"AAAAAD5277Q=")</f>
        <v>#REF!</v>
      </c>
      <c r="FZ89" t="str">
        <f>AND(#REF!,"AAAAAD5277U=")</f>
        <v>#REF!</v>
      </c>
      <c r="GA89" t="str">
        <f>AND(#REF!,"AAAAAD5277Y=")</f>
        <v>#REF!</v>
      </c>
      <c r="GB89" t="str">
        <f>AND(#REF!,"AAAAAD5277c=")</f>
        <v>#REF!</v>
      </c>
      <c r="GC89" t="str">
        <f>AND(#REF!,"AAAAAD5277g=")</f>
        <v>#REF!</v>
      </c>
      <c r="GD89" t="str">
        <f>AND(#REF!,"AAAAAD5277k=")</f>
        <v>#REF!</v>
      </c>
      <c r="GE89" t="str">
        <f>AND(#REF!,"AAAAAD5277o=")</f>
        <v>#REF!</v>
      </c>
      <c r="GF89" t="str">
        <f>AND(#REF!,"AAAAAD5277s=")</f>
        <v>#REF!</v>
      </c>
      <c r="GG89" t="str">
        <f>IF(#REF!,"AAAAAD5277w=",0)</f>
        <v>#REF!</v>
      </c>
      <c r="GH89" t="str">
        <f>AND(#REF!,"AAAAAD52770=")</f>
        <v>#REF!</v>
      </c>
      <c r="GI89" t="str">
        <f>AND(#REF!,"AAAAAD52774=")</f>
        <v>#REF!</v>
      </c>
      <c r="GJ89" t="str">
        <f>AND(#REF!,"AAAAAD52778=")</f>
        <v>#REF!</v>
      </c>
      <c r="GK89" t="str">
        <f>AND(#REF!,"AAAAAD5278A=")</f>
        <v>#REF!</v>
      </c>
      <c r="GL89" t="str">
        <f>AND(#REF!,"AAAAAD5278E=")</f>
        <v>#REF!</v>
      </c>
      <c r="GM89" t="str">
        <f>AND(#REF!,"AAAAAD5278I=")</f>
        <v>#REF!</v>
      </c>
      <c r="GN89" t="str">
        <f>AND(#REF!,"AAAAAD5278M=")</f>
        <v>#REF!</v>
      </c>
      <c r="GO89" t="str">
        <f>AND(#REF!,"AAAAAD5278Q=")</f>
        <v>#REF!</v>
      </c>
      <c r="GP89" t="str">
        <f>AND(#REF!,"AAAAAD5278U=")</f>
        <v>#REF!</v>
      </c>
      <c r="GQ89" t="str">
        <f>AND(#REF!,"AAAAAD5278Y=")</f>
        <v>#REF!</v>
      </c>
      <c r="GR89" t="str">
        <f>AND(#REF!,"AAAAAD5278c=")</f>
        <v>#REF!</v>
      </c>
      <c r="GS89" t="str">
        <f>AND(#REF!,"AAAAAD5278g=")</f>
        <v>#REF!</v>
      </c>
      <c r="GT89" t="str">
        <f>AND(#REF!,"AAAAAD5278k=")</f>
        <v>#REF!</v>
      </c>
      <c r="GU89" t="str">
        <f>AND(#REF!,"AAAAAD5278o=")</f>
        <v>#REF!</v>
      </c>
      <c r="GV89" t="str">
        <f>AND(#REF!,"AAAAAD5278s=")</f>
        <v>#REF!</v>
      </c>
      <c r="GW89" t="str">
        <f>AND(#REF!,"AAAAAD5278w=")</f>
        <v>#REF!</v>
      </c>
      <c r="GX89" t="str">
        <f>AND(#REF!,"AAAAAD52780=")</f>
        <v>#REF!</v>
      </c>
      <c r="GY89" t="str">
        <f>AND(#REF!,"AAAAAD52784=")</f>
        <v>#REF!</v>
      </c>
      <c r="GZ89" t="str">
        <f>AND(#REF!,"AAAAAD52788=")</f>
        <v>#REF!</v>
      </c>
      <c r="HA89" t="str">
        <f>AND(#REF!,"AAAAAD5279A=")</f>
        <v>#REF!</v>
      </c>
      <c r="HB89" t="str">
        <f>AND(#REF!,"AAAAAD5279E=")</f>
        <v>#REF!</v>
      </c>
      <c r="HC89" t="str">
        <f>AND(#REF!,"AAAAAD5279I=")</f>
        <v>#REF!</v>
      </c>
      <c r="HD89" t="str">
        <f>AND(#REF!,"AAAAAD5279M=")</f>
        <v>#REF!</v>
      </c>
      <c r="HE89" t="str">
        <f>AND(#REF!,"AAAAAD5279Q=")</f>
        <v>#REF!</v>
      </c>
      <c r="HF89" t="str">
        <f>AND(#REF!,"AAAAAD5279U=")</f>
        <v>#REF!</v>
      </c>
      <c r="HG89" t="str">
        <f>AND(#REF!,"AAAAAD5279Y=")</f>
        <v>#REF!</v>
      </c>
      <c r="HH89" t="str">
        <f>AND(#REF!,"AAAAAD5279c=")</f>
        <v>#REF!</v>
      </c>
      <c r="HI89" t="str">
        <f>AND(#REF!,"AAAAAD5279g=")</f>
        <v>#REF!</v>
      </c>
      <c r="HJ89" t="str">
        <f>AND(#REF!,"AAAAAD5279k=")</f>
        <v>#REF!</v>
      </c>
      <c r="HK89" t="str">
        <f>AND(#REF!,"AAAAAD5279o=")</f>
        <v>#REF!</v>
      </c>
      <c r="HL89" t="str">
        <f>AND(#REF!,"AAAAAD5279s=")</f>
        <v>#REF!</v>
      </c>
      <c r="HM89" t="str">
        <f>AND(#REF!,"AAAAAD5279w=")</f>
        <v>#REF!</v>
      </c>
      <c r="HN89" t="str">
        <f>AND(#REF!,"AAAAAD52790=")</f>
        <v>#REF!</v>
      </c>
      <c r="HO89" t="str">
        <f>AND(#REF!,"AAAAAD52794=")</f>
        <v>#REF!</v>
      </c>
      <c r="HP89" t="str">
        <f>AND(#REF!,"AAAAAD52798=")</f>
        <v>#REF!</v>
      </c>
      <c r="HQ89" t="str">
        <f>AND(#REF!,"AAAAAD527+A=")</f>
        <v>#REF!</v>
      </c>
      <c r="HR89" t="str">
        <f>AND(#REF!,"AAAAAD527+E=")</f>
        <v>#REF!</v>
      </c>
      <c r="HS89" t="str">
        <f>AND(#REF!,"AAAAAD527+I=")</f>
        <v>#REF!</v>
      </c>
      <c r="HT89" t="str">
        <f>AND(#REF!,"AAAAAD527+M=")</f>
        <v>#REF!</v>
      </c>
      <c r="HU89" t="str">
        <f>AND(#REF!,"AAAAAD527+Q=")</f>
        <v>#REF!</v>
      </c>
      <c r="HV89" t="str">
        <f>AND(#REF!,"AAAAAD527+U=")</f>
        <v>#REF!</v>
      </c>
      <c r="HW89" t="str">
        <f>AND(#REF!,"AAAAAD527+Y=")</f>
        <v>#REF!</v>
      </c>
      <c r="HX89" t="str">
        <f>AND(#REF!,"AAAAAD527+c=")</f>
        <v>#REF!</v>
      </c>
      <c r="HY89" t="str">
        <f>AND(#REF!,"AAAAAD527+g=")</f>
        <v>#REF!</v>
      </c>
      <c r="HZ89" t="str">
        <f>AND(#REF!,"AAAAAD527+k=")</f>
        <v>#REF!</v>
      </c>
      <c r="IA89" t="str">
        <f>AND(#REF!,"AAAAAD527+o=")</f>
        <v>#REF!</v>
      </c>
      <c r="IB89" t="str">
        <f>AND(#REF!,"AAAAAD527+s=")</f>
        <v>#REF!</v>
      </c>
      <c r="IC89" t="str">
        <f>AND(#REF!,"AAAAAD527+w=")</f>
        <v>#REF!</v>
      </c>
      <c r="ID89" t="str">
        <f>AND(#REF!,"AAAAAD527+0=")</f>
        <v>#REF!</v>
      </c>
      <c r="IE89" t="str">
        <f>AND(#REF!,"AAAAAD527+4=")</f>
        <v>#REF!</v>
      </c>
      <c r="IF89" t="str">
        <f>AND(#REF!,"AAAAAD527+8=")</f>
        <v>#REF!</v>
      </c>
      <c r="IG89" t="str">
        <f>AND(#REF!,"AAAAAD527/A=")</f>
        <v>#REF!</v>
      </c>
      <c r="IH89" t="str">
        <f>AND(#REF!,"AAAAAD527/E=")</f>
        <v>#REF!</v>
      </c>
      <c r="II89" t="str">
        <f>AND(#REF!,"AAAAAD527/I=")</f>
        <v>#REF!</v>
      </c>
      <c r="IJ89" t="str">
        <f>AND(#REF!,"AAAAAD527/M=")</f>
        <v>#REF!</v>
      </c>
      <c r="IK89" t="str">
        <f>AND(#REF!,"AAAAAD527/Q=")</f>
        <v>#REF!</v>
      </c>
      <c r="IL89" t="str">
        <f>AND(#REF!,"AAAAAD527/U=")</f>
        <v>#REF!</v>
      </c>
      <c r="IM89" t="str">
        <f>AND(#REF!,"AAAAAD527/Y=")</f>
        <v>#REF!</v>
      </c>
      <c r="IN89" t="str">
        <f>AND(#REF!,"AAAAAD527/c=")</f>
        <v>#REF!</v>
      </c>
      <c r="IO89" t="str">
        <f>AND(#REF!,"AAAAAD527/g=")</f>
        <v>#REF!</v>
      </c>
      <c r="IP89" t="str">
        <f>AND(#REF!,"AAAAAD527/k=")</f>
        <v>#REF!</v>
      </c>
      <c r="IQ89" t="str">
        <f>AND(#REF!,"AAAAAD527/o=")</f>
        <v>#REF!</v>
      </c>
      <c r="IR89" t="str">
        <f>AND(#REF!,"AAAAAD527/s=")</f>
        <v>#REF!</v>
      </c>
      <c r="IS89" t="str">
        <f>AND(#REF!,"AAAAAD527/w=")</f>
        <v>#REF!</v>
      </c>
      <c r="IT89" t="str">
        <f>AND(#REF!,"AAAAAD527/0=")</f>
        <v>#REF!</v>
      </c>
      <c r="IU89" t="str">
        <f>AND(#REF!,"AAAAAD527/4=")</f>
        <v>#REF!</v>
      </c>
      <c r="IV89" t="str">
        <f>AND(#REF!,"AAAAAD527/8=")</f>
        <v>#REF!</v>
      </c>
    </row>
    <row r="90" ht="15.75" customHeight="1">
      <c r="A90" t="str">
        <f>AND(#REF!,"AAAAAHr5vQA=")</f>
        <v>#REF!</v>
      </c>
      <c r="B90" t="str">
        <f>AND(#REF!,"AAAAAHr5vQE=")</f>
        <v>#REF!</v>
      </c>
      <c r="C90" t="str">
        <f>AND(#REF!,"AAAAAHr5vQI=")</f>
        <v>#REF!</v>
      </c>
      <c r="D90" t="str">
        <f>AND(#REF!,"AAAAAHr5vQM=")</f>
        <v>#REF!</v>
      </c>
      <c r="E90" t="str">
        <f>AND(#REF!,"AAAAAHr5vQQ=")</f>
        <v>#REF!</v>
      </c>
      <c r="F90" t="str">
        <f>AND(#REF!,"AAAAAHr5vQU=")</f>
        <v>#REF!</v>
      </c>
      <c r="G90" t="str">
        <f>AND(#REF!,"AAAAAHr5vQY=")</f>
        <v>#REF!</v>
      </c>
      <c r="H90" t="str">
        <f>AND(#REF!,"AAAAAHr5vQc=")</f>
        <v>#REF!</v>
      </c>
      <c r="I90" t="str">
        <f>IF(#REF!,"AAAAAHr5vQg=",0)</f>
        <v>#REF!</v>
      </c>
      <c r="J90" t="str">
        <f>AND(#REF!,"AAAAAHr5vQk=")</f>
        <v>#REF!</v>
      </c>
      <c r="K90" t="str">
        <f>AND(#REF!,"AAAAAHr5vQo=")</f>
        <v>#REF!</v>
      </c>
      <c r="L90" t="str">
        <f>AND(#REF!,"AAAAAHr5vQs=")</f>
        <v>#REF!</v>
      </c>
      <c r="M90" t="str">
        <f>AND(#REF!,"AAAAAHr5vQw=")</f>
        <v>#REF!</v>
      </c>
      <c r="N90" t="str">
        <f>AND(#REF!,"AAAAAHr5vQ0=")</f>
        <v>#REF!</v>
      </c>
      <c r="O90" t="str">
        <f>AND(#REF!,"AAAAAHr5vQ4=")</f>
        <v>#REF!</v>
      </c>
      <c r="P90" t="str">
        <f>AND(#REF!,"AAAAAHr5vQ8=")</f>
        <v>#REF!</v>
      </c>
      <c r="Q90" t="str">
        <f>AND(#REF!,"AAAAAHr5vRA=")</f>
        <v>#REF!</v>
      </c>
      <c r="R90" t="str">
        <f>AND(#REF!,"AAAAAHr5vRE=")</f>
        <v>#REF!</v>
      </c>
      <c r="S90" t="str">
        <f>AND(#REF!,"AAAAAHr5vRI=")</f>
        <v>#REF!</v>
      </c>
      <c r="T90" t="str">
        <f>AND(#REF!,"AAAAAHr5vRM=")</f>
        <v>#REF!</v>
      </c>
      <c r="U90" t="str">
        <f>AND(#REF!,"AAAAAHr5vRQ=")</f>
        <v>#REF!</v>
      </c>
      <c r="V90" t="str">
        <f>AND(#REF!,"AAAAAHr5vRU=")</f>
        <v>#REF!</v>
      </c>
      <c r="W90" t="str">
        <f>AND(#REF!,"AAAAAHr5vRY=")</f>
        <v>#REF!</v>
      </c>
      <c r="X90" t="str">
        <f>AND(#REF!,"AAAAAHr5vRc=")</f>
        <v>#REF!</v>
      </c>
      <c r="Y90" t="str">
        <f>AND(#REF!,"AAAAAHr5vRg=")</f>
        <v>#REF!</v>
      </c>
      <c r="Z90" t="str">
        <f>AND(#REF!,"AAAAAHr5vRk=")</f>
        <v>#REF!</v>
      </c>
      <c r="AA90" t="str">
        <f>AND(#REF!,"AAAAAHr5vRo=")</f>
        <v>#REF!</v>
      </c>
      <c r="AB90" t="str">
        <f>AND(#REF!,"AAAAAHr5vRs=")</f>
        <v>#REF!</v>
      </c>
      <c r="AC90" t="str">
        <f>AND(#REF!,"AAAAAHr5vRw=")</f>
        <v>#REF!</v>
      </c>
      <c r="AD90" t="str">
        <f>AND(#REF!,"AAAAAHr5vR0=")</f>
        <v>#REF!</v>
      </c>
      <c r="AE90" t="str">
        <f>AND(#REF!,"AAAAAHr5vR4=")</f>
        <v>#REF!</v>
      </c>
      <c r="AF90" t="str">
        <f>AND(#REF!,"AAAAAHr5vR8=")</f>
        <v>#REF!</v>
      </c>
      <c r="AG90" t="str">
        <f>AND(#REF!,"AAAAAHr5vSA=")</f>
        <v>#REF!</v>
      </c>
      <c r="AH90" t="str">
        <f>AND(#REF!,"AAAAAHr5vSE=")</f>
        <v>#REF!</v>
      </c>
      <c r="AI90" t="str">
        <f>AND(#REF!,"AAAAAHr5vSI=")</f>
        <v>#REF!</v>
      </c>
      <c r="AJ90" t="str">
        <f>AND(#REF!,"AAAAAHr5vSM=")</f>
        <v>#REF!</v>
      </c>
      <c r="AK90" t="str">
        <f>AND(#REF!,"AAAAAHr5vSQ=")</f>
        <v>#REF!</v>
      </c>
      <c r="AL90" t="str">
        <f>AND(#REF!,"AAAAAHr5vSU=")</f>
        <v>#REF!</v>
      </c>
      <c r="AM90" t="str">
        <f>AND(#REF!,"AAAAAHr5vSY=")</f>
        <v>#REF!</v>
      </c>
      <c r="AN90" t="str">
        <f>AND(#REF!,"AAAAAHr5vSc=")</f>
        <v>#REF!</v>
      </c>
      <c r="AO90" t="str">
        <f>AND(#REF!,"AAAAAHr5vSg=")</f>
        <v>#REF!</v>
      </c>
      <c r="AP90" t="str">
        <f>AND(#REF!,"AAAAAHr5vSk=")</f>
        <v>#REF!</v>
      </c>
      <c r="AQ90" t="str">
        <f>AND(#REF!,"AAAAAHr5vSo=")</f>
        <v>#REF!</v>
      </c>
      <c r="AR90" t="str">
        <f>AND(#REF!,"AAAAAHr5vSs=")</f>
        <v>#REF!</v>
      </c>
      <c r="AS90" t="str">
        <f>AND(#REF!,"AAAAAHr5vSw=")</f>
        <v>#REF!</v>
      </c>
      <c r="AT90" t="str">
        <f>AND(#REF!,"AAAAAHr5vS0=")</f>
        <v>#REF!</v>
      </c>
      <c r="AU90" t="str">
        <f>AND(#REF!,"AAAAAHr5vS4=")</f>
        <v>#REF!</v>
      </c>
      <c r="AV90" t="str">
        <f>AND(#REF!,"AAAAAHr5vS8=")</f>
        <v>#REF!</v>
      </c>
      <c r="AW90" t="str">
        <f>AND(#REF!,"AAAAAHr5vTA=")</f>
        <v>#REF!</v>
      </c>
      <c r="AX90" t="str">
        <f>AND(#REF!,"AAAAAHr5vTE=")</f>
        <v>#REF!</v>
      </c>
      <c r="AY90" t="str">
        <f>AND(#REF!,"AAAAAHr5vTI=")</f>
        <v>#REF!</v>
      </c>
      <c r="AZ90" t="str">
        <f>AND(#REF!,"AAAAAHr5vTM=")</f>
        <v>#REF!</v>
      </c>
      <c r="BA90" t="str">
        <f>AND(#REF!,"AAAAAHr5vTQ=")</f>
        <v>#REF!</v>
      </c>
      <c r="BB90" t="str">
        <f>AND(#REF!,"AAAAAHr5vTU=")</f>
        <v>#REF!</v>
      </c>
      <c r="BC90" t="str">
        <f>AND(#REF!,"AAAAAHr5vTY=")</f>
        <v>#REF!</v>
      </c>
      <c r="BD90" t="str">
        <f>AND(#REF!,"AAAAAHr5vTc=")</f>
        <v>#REF!</v>
      </c>
      <c r="BE90" t="str">
        <f>AND(#REF!,"AAAAAHr5vTg=")</f>
        <v>#REF!</v>
      </c>
      <c r="BF90" t="str">
        <f>AND(#REF!,"AAAAAHr5vTk=")</f>
        <v>#REF!</v>
      </c>
      <c r="BG90" t="str">
        <f>AND(#REF!,"AAAAAHr5vTo=")</f>
        <v>#REF!</v>
      </c>
      <c r="BH90" t="str">
        <f>AND(#REF!,"AAAAAHr5vTs=")</f>
        <v>#REF!</v>
      </c>
      <c r="BI90" t="str">
        <f>AND(#REF!,"AAAAAHr5vTw=")</f>
        <v>#REF!</v>
      </c>
      <c r="BJ90" t="str">
        <f>AND(#REF!,"AAAAAHr5vT0=")</f>
        <v>#REF!</v>
      </c>
      <c r="BK90" t="str">
        <f>AND(#REF!,"AAAAAHr5vT4=")</f>
        <v>#REF!</v>
      </c>
      <c r="BL90" t="str">
        <f>AND(#REF!,"AAAAAHr5vT8=")</f>
        <v>#REF!</v>
      </c>
      <c r="BM90" t="str">
        <f>AND(#REF!,"AAAAAHr5vUA=")</f>
        <v>#REF!</v>
      </c>
      <c r="BN90" t="str">
        <f>AND(#REF!,"AAAAAHr5vUE=")</f>
        <v>#REF!</v>
      </c>
      <c r="BO90" t="str">
        <f>AND(#REF!,"AAAAAHr5vUI=")</f>
        <v>#REF!</v>
      </c>
      <c r="BP90" t="str">
        <f>AND(#REF!,"AAAAAHr5vUM=")</f>
        <v>#REF!</v>
      </c>
      <c r="BQ90" t="str">
        <f>AND(#REF!,"AAAAAHr5vUQ=")</f>
        <v>#REF!</v>
      </c>
      <c r="BR90" t="str">
        <f>AND(#REF!,"AAAAAHr5vUU=")</f>
        <v>#REF!</v>
      </c>
      <c r="BS90" t="str">
        <f>AND(#REF!,"AAAAAHr5vUY=")</f>
        <v>#REF!</v>
      </c>
      <c r="BT90" t="str">
        <f>AND(#REF!,"AAAAAHr5vUc=")</f>
        <v>#REF!</v>
      </c>
      <c r="BU90" t="str">
        <f>AND(#REF!,"AAAAAHr5vUg=")</f>
        <v>#REF!</v>
      </c>
      <c r="BV90" t="str">
        <f>AND(#REF!,"AAAAAHr5vUk=")</f>
        <v>#REF!</v>
      </c>
      <c r="BW90" t="str">
        <f>AND(#REF!,"AAAAAHr5vUo=")</f>
        <v>#REF!</v>
      </c>
      <c r="BX90" t="str">
        <f>AND(#REF!,"AAAAAHr5vUs=")</f>
        <v>#REF!</v>
      </c>
      <c r="BY90" t="str">
        <f>AND(#REF!,"AAAAAHr5vUw=")</f>
        <v>#REF!</v>
      </c>
      <c r="BZ90" t="str">
        <f>AND(#REF!,"AAAAAHr5vU0=")</f>
        <v>#REF!</v>
      </c>
      <c r="CA90" t="str">
        <f>AND(#REF!,"AAAAAHr5vU4=")</f>
        <v>#REF!</v>
      </c>
      <c r="CB90" t="str">
        <f>AND(#REF!,"AAAAAHr5vU8=")</f>
        <v>#REF!</v>
      </c>
      <c r="CC90" t="str">
        <f>AND(#REF!,"AAAAAHr5vVA=")</f>
        <v>#REF!</v>
      </c>
      <c r="CD90" t="str">
        <f>AND(#REF!,"AAAAAHr5vVE=")</f>
        <v>#REF!</v>
      </c>
      <c r="CE90" t="str">
        <f>AND(#REF!,"AAAAAHr5vVI=")</f>
        <v>#REF!</v>
      </c>
      <c r="CF90" t="str">
        <f>AND(#REF!,"AAAAAHr5vVM=")</f>
        <v>#REF!</v>
      </c>
      <c r="CG90" t="str">
        <f>IF(#REF!,"AAAAAHr5vVQ=",0)</f>
        <v>#REF!</v>
      </c>
      <c r="CH90" t="str">
        <f>AND(#REF!,"AAAAAHr5vVU=")</f>
        <v>#REF!</v>
      </c>
      <c r="CI90" t="str">
        <f>AND(#REF!,"AAAAAHr5vVY=")</f>
        <v>#REF!</v>
      </c>
      <c r="CJ90" t="str">
        <f>AND(#REF!,"AAAAAHr5vVc=")</f>
        <v>#REF!</v>
      </c>
      <c r="CK90" t="str">
        <f>AND(#REF!,"AAAAAHr5vVg=")</f>
        <v>#REF!</v>
      </c>
      <c r="CL90" t="str">
        <f>AND(#REF!,"AAAAAHr5vVk=")</f>
        <v>#REF!</v>
      </c>
      <c r="CM90" t="str">
        <f>AND(#REF!,"AAAAAHr5vVo=")</f>
        <v>#REF!</v>
      </c>
      <c r="CN90" t="str">
        <f>AND(#REF!,"AAAAAHr5vVs=")</f>
        <v>#REF!</v>
      </c>
      <c r="CO90" t="str">
        <f>AND(#REF!,"AAAAAHr5vVw=")</f>
        <v>#REF!</v>
      </c>
      <c r="CP90" t="str">
        <f>AND(#REF!,"AAAAAHr5vV0=")</f>
        <v>#REF!</v>
      </c>
      <c r="CQ90" t="str">
        <f>AND(#REF!,"AAAAAHr5vV4=")</f>
        <v>#REF!</v>
      </c>
      <c r="CR90" t="str">
        <f>AND(#REF!,"AAAAAHr5vV8=")</f>
        <v>#REF!</v>
      </c>
      <c r="CS90" t="str">
        <f>AND(#REF!,"AAAAAHr5vWA=")</f>
        <v>#REF!</v>
      </c>
      <c r="CT90" t="str">
        <f>AND(#REF!,"AAAAAHr5vWE=")</f>
        <v>#REF!</v>
      </c>
      <c r="CU90" t="str">
        <f>AND(#REF!,"AAAAAHr5vWI=")</f>
        <v>#REF!</v>
      </c>
      <c r="CV90" t="str">
        <f>AND(#REF!,"AAAAAHr5vWM=")</f>
        <v>#REF!</v>
      </c>
      <c r="CW90" t="str">
        <f>AND(#REF!,"AAAAAHr5vWQ=")</f>
        <v>#REF!</v>
      </c>
      <c r="CX90" t="str">
        <f>AND(#REF!,"AAAAAHr5vWU=")</f>
        <v>#REF!</v>
      </c>
      <c r="CY90" t="str">
        <f>AND(#REF!,"AAAAAHr5vWY=")</f>
        <v>#REF!</v>
      </c>
      <c r="CZ90" t="str">
        <f>AND(#REF!,"AAAAAHr5vWc=")</f>
        <v>#REF!</v>
      </c>
      <c r="DA90" t="str">
        <f>AND(#REF!,"AAAAAHr5vWg=")</f>
        <v>#REF!</v>
      </c>
      <c r="DB90" t="str">
        <f>AND(#REF!,"AAAAAHr5vWk=")</f>
        <v>#REF!</v>
      </c>
      <c r="DC90" t="str">
        <f>AND(#REF!,"AAAAAHr5vWo=")</f>
        <v>#REF!</v>
      </c>
      <c r="DD90" t="str">
        <f>AND(#REF!,"AAAAAHr5vWs=")</f>
        <v>#REF!</v>
      </c>
      <c r="DE90" t="str">
        <f>AND(#REF!,"AAAAAHr5vWw=")</f>
        <v>#REF!</v>
      </c>
      <c r="DF90" t="str">
        <f>AND(#REF!,"AAAAAHr5vW0=")</f>
        <v>#REF!</v>
      </c>
      <c r="DG90" t="str">
        <f>AND(#REF!,"AAAAAHr5vW4=")</f>
        <v>#REF!</v>
      </c>
      <c r="DH90" t="str">
        <f>AND(#REF!,"AAAAAHr5vW8=")</f>
        <v>#REF!</v>
      </c>
      <c r="DI90" t="str">
        <f>AND(#REF!,"AAAAAHr5vXA=")</f>
        <v>#REF!</v>
      </c>
      <c r="DJ90" t="str">
        <f>AND(#REF!,"AAAAAHr5vXE=")</f>
        <v>#REF!</v>
      </c>
      <c r="DK90" t="str">
        <f>AND(#REF!,"AAAAAHr5vXI=")</f>
        <v>#REF!</v>
      </c>
      <c r="DL90" t="str">
        <f>AND(#REF!,"AAAAAHr5vXM=")</f>
        <v>#REF!</v>
      </c>
      <c r="DM90" t="str">
        <f>AND(#REF!,"AAAAAHr5vXQ=")</f>
        <v>#REF!</v>
      </c>
      <c r="DN90" t="str">
        <f>AND(#REF!,"AAAAAHr5vXU=")</f>
        <v>#REF!</v>
      </c>
      <c r="DO90" t="str">
        <f>AND(#REF!,"AAAAAHr5vXY=")</f>
        <v>#REF!</v>
      </c>
      <c r="DP90" t="str">
        <f>AND(#REF!,"AAAAAHr5vXc=")</f>
        <v>#REF!</v>
      </c>
      <c r="DQ90" t="str">
        <f>AND(#REF!,"AAAAAHr5vXg=")</f>
        <v>#REF!</v>
      </c>
      <c r="DR90" t="str">
        <f>AND(#REF!,"AAAAAHr5vXk=")</f>
        <v>#REF!</v>
      </c>
      <c r="DS90" t="str">
        <f>AND(#REF!,"AAAAAHr5vXo=")</f>
        <v>#REF!</v>
      </c>
      <c r="DT90" t="str">
        <f>AND(#REF!,"AAAAAHr5vXs=")</f>
        <v>#REF!</v>
      </c>
      <c r="DU90" t="str">
        <f>AND(#REF!,"AAAAAHr5vXw=")</f>
        <v>#REF!</v>
      </c>
      <c r="DV90" t="str">
        <f>AND(#REF!,"AAAAAHr5vX0=")</f>
        <v>#REF!</v>
      </c>
      <c r="DW90" t="str">
        <f>AND(#REF!,"AAAAAHr5vX4=")</f>
        <v>#REF!</v>
      </c>
      <c r="DX90" t="str">
        <f>AND(#REF!,"AAAAAHr5vX8=")</f>
        <v>#REF!</v>
      </c>
      <c r="DY90" t="str">
        <f>AND(#REF!,"AAAAAHr5vYA=")</f>
        <v>#REF!</v>
      </c>
      <c r="DZ90" t="str">
        <f>AND(#REF!,"AAAAAHr5vYE=")</f>
        <v>#REF!</v>
      </c>
      <c r="EA90" t="str">
        <f>AND(#REF!,"AAAAAHr5vYI=")</f>
        <v>#REF!</v>
      </c>
      <c r="EB90" t="str">
        <f>AND(#REF!,"AAAAAHr5vYM=")</f>
        <v>#REF!</v>
      </c>
      <c r="EC90" t="str">
        <f>AND(#REF!,"AAAAAHr5vYQ=")</f>
        <v>#REF!</v>
      </c>
      <c r="ED90" t="str">
        <f>AND(#REF!,"AAAAAHr5vYU=")</f>
        <v>#REF!</v>
      </c>
      <c r="EE90" t="str">
        <f>AND(#REF!,"AAAAAHr5vYY=")</f>
        <v>#REF!</v>
      </c>
      <c r="EF90" t="str">
        <f>AND(#REF!,"AAAAAHr5vYc=")</f>
        <v>#REF!</v>
      </c>
      <c r="EG90" t="str">
        <f>AND(#REF!,"AAAAAHr5vYg=")</f>
        <v>#REF!</v>
      </c>
      <c r="EH90" t="str">
        <f>AND(#REF!,"AAAAAHr5vYk=")</f>
        <v>#REF!</v>
      </c>
      <c r="EI90" t="str">
        <f>AND(#REF!,"AAAAAHr5vYo=")</f>
        <v>#REF!</v>
      </c>
      <c r="EJ90" t="str">
        <f>AND(#REF!,"AAAAAHr5vYs=")</f>
        <v>#REF!</v>
      </c>
      <c r="EK90" t="str">
        <f>AND(#REF!,"AAAAAHr5vYw=")</f>
        <v>#REF!</v>
      </c>
      <c r="EL90" t="str">
        <f>AND(#REF!,"AAAAAHr5vY0=")</f>
        <v>#REF!</v>
      </c>
      <c r="EM90" t="str">
        <f>AND(#REF!,"AAAAAHr5vY4=")</f>
        <v>#REF!</v>
      </c>
      <c r="EN90" t="str">
        <f>AND(#REF!,"AAAAAHr5vY8=")</f>
        <v>#REF!</v>
      </c>
      <c r="EO90" t="str">
        <f>AND(#REF!,"AAAAAHr5vZA=")</f>
        <v>#REF!</v>
      </c>
      <c r="EP90" t="str">
        <f>AND(#REF!,"AAAAAHr5vZE=")</f>
        <v>#REF!</v>
      </c>
      <c r="EQ90" t="str">
        <f>AND(#REF!,"AAAAAHr5vZI=")</f>
        <v>#REF!</v>
      </c>
      <c r="ER90" t="str">
        <f>AND(#REF!,"AAAAAHr5vZM=")</f>
        <v>#REF!</v>
      </c>
      <c r="ES90" t="str">
        <f>AND(#REF!,"AAAAAHr5vZQ=")</f>
        <v>#REF!</v>
      </c>
      <c r="ET90" t="str">
        <f>AND(#REF!,"AAAAAHr5vZU=")</f>
        <v>#REF!</v>
      </c>
      <c r="EU90" t="str">
        <f>AND(#REF!,"AAAAAHr5vZY=")</f>
        <v>#REF!</v>
      </c>
      <c r="EV90" t="str">
        <f>AND(#REF!,"AAAAAHr5vZc=")</f>
        <v>#REF!</v>
      </c>
      <c r="EW90" t="str">
        <f>AND(#REF!,"AAAAAHr5vZg=")</f>
        <v>#REF!</v>
      </c>
      <c r="EX90" t="str">
        <f>AND(#REF!,"AAAAAHr5vZk=")</f>
        <v>#REF!</v>
      </c>
      <c r="EY90" t="str">
        <f>AND(#REF!,"AAAAAHr5vZo=")</f>
        <v>#REF!</v>
      </c>
      <c r="EZ90" t="str">
        <f>AND(#REF!,"AAAAAHr5vZs=")</f>
        <v>#REF!</v>
      </c>
      <c r="FA90" t="str">
        <f>AND(#REF!,"AAAAAHr5vZw=")</f>
        <v>#REF!</v>
      </c>
      <c r="FB90" t="str">
        <f>AND(#REF!,"AAAAAHr5vZ0=")</f>
        <v>#REF!</v>
      </c>
      <c r="FC90" t="str">
        <f>AND(#REF!,"AAAAAHr5vZ4=")</f>
        <v>#REF!</v>
      </c>
      <c r="FD90" t="str">
        <f>AND(#REF!,"AAAAAHr5vZ8=")</f>
        <v>#REF!</v>
      </c>
      <c r="FE90" t="str">
        <f>IF(#REF!,"AAAAAHr5vaA=",0)</f>
        <v>#REF!</v>
      </c>
      <c r="FF90" t="str">
        <f>AND(#REF!,"AAAAAHr5vaE=")</f>
        <v>#REF!</v>
      </c>
      <c r="FG90" t="str">
        <f>AND(#REF!,"AAAAAHr5vaI=")</f>
        <v>#REF!</v>
      </c>
      <c r="FH90" t="str">
        <f>AND(#REF!,"AAAAAHr5vaM=")</f>
        <v>#REF!</v>
      </c>
      <c r="FI90" t="str">
        <f>AND(#REF!,"AAAAAHr5vaQ=")</f>
        <v>#REF!</v>
      </c>
      <c r="FJ90" t="str">
        <f>AND(#REF!,"AAAAAHr5vaU=")</f>
        <v>#REF!</v>
      </c>
      <c r="FK90" t="str">
        <f>AND(#REF!,"AAAAAHr5vaY=")</f>
        <v>#REF!</v>
      </c>
      <c r="FL90" t="str">
        <f>AND(#REF!,"AAAAAHr5vac=")</f>
        <v>#REF!</v>
      </c>
      <c r="FM90" t="str">
        <f>AND(#REF!,"AAAAAHr5vag=")</f>
        <v>#REF!</v>
      </c>
      <c r="FN90" t="str">
        <f>AND(#REF!,"AAAAAHr5vak=")</f>
        <v>#REF!</v>
      </c>
      <c r="FO90" t="str">
        <f>AND(#REF!,"AAAAAHr5vao=")</f>
        <v>#REF!</v>
      </c>
      <c r="FP90" t="str">
        <f>AND(#REF!,"AAAAAHr5vas=")</f>
        <v>#REF!</v>
      </c>
      <c r="FQ90" t="str">
        <f>AND(#REF!,"AAAAAHr5vaw=")</f>
        <v>#REF!</v>
      </c>
      <c r="FR90" t="str">
        <f>AND(#REF!,"AAAAAHr5va0=")</f>
        <v>#REF!</v>
      </c>
      <c r="FS90" t="str">
        <f>AND(#REF!,"AAAAAHr5va4=")</f>
        <v>#REF!</v>
      </c>
      <c r="FT90" t="str">
        <f>AND(#REF!,"AAAAAHr5va8=")</f>
        <v>#REF!</v>
      </c>
      <c r="FU90" t="str">
        <f>AND(#REF!,"AAAAAHr5vbA=")</f>
        <v>#REF!</v>
      </c>
      <c r="FV90" t="str">
        <f>AND(#REF!,"AAAAAHr5vbE=")</f>
        <v>#REF!</v>
      </c>
      <c r="FW90" t="str">
        <f>AND(#REF!,"AAAAAHr5vbI=")</f>
        <v>#REF!</v>
      </c>
      <c r="FX90" t="str">
        <f>AND(#REF!,"AAAAAHr5vbM=")</f>
        <v>#REF!</v>
      </c>
      <c r="FY90" t="str">
        <f>AND(#REF!,"AAAAAHr5vbQ=")</f>
        <v>#REF!</v>
      </c>
      <c r="FZ90" t="str">
        <f>AND(#REF!,"AAAAAHr5vbU=")</f>
        <v>#REF!</v>
      </c>
      <c r="GA90" t="str">
        <f>AND(#REF!,"AAAAAHr5vbY=")</f>
        <v>#REF!</v>
      </c>
      <c r="GB90" t="str">
        <f>AND(#REF!,"AAAAAHr5vbc=")</f>
        <v>#REF!</v>
      </c>
      <c r="GC90" t="str">
        <f>AND(#REF!,"AAAAAHr5vbg=")</f>
        <v>#REF!</v>
      </c>
      <c r="GD90" t="str">
        <f>AND(#REF!,"AAAAAHr5vbk=")</f>
        <v>#REF!</v>
      </c>
      <c r="GE90" t="str">
        <f>AND(#REF!,"AAAAAHr5vbo=")</f>
        <v>#REF!</v>
      </c>
      <c r="GF90" t="str">
        <f>AND(#REF!,"AAAAAHr5vbs=")</f>
        <v>#REF!</v>
      </c>
      <c r="GG90" t="str">
        <f>AND(#REF!,"AAAAAHr5vbw=")</f>
        <v>#REF!</v>
      </c>
      <c r="GH90" t="str">
        <f>AND(#REF!,"AAAAAHr5vb0=")</f>
        <v>#REF!</v>
      </c>
      <c r="GI90" t="str">
        <f>AND(#REF!,"AAAAAHr5vb4=")</f>
        <v>#REF!</v>
      </c>
      <c r="GJ90" t="str">
        <f>AND(#REF!,"AAAAAHr5vb8=")</f>
        <v>#REF!</v>
      </c>
      <c r="GK90" t="str">
        <f>AND(#REF!,"AAAAAHr5vcA=")</f>
        <v>#REF!</v>
      </c>
      <c r="GL90" t="str">
        <f>AND(#REF!,"AAAAAHr5vcE=")</f>
        <v>#REF!</v>
      </c>
      <c r="GM90" t="str">
        <f>AND(#REF!,"AAAAAHr5vcI=")</f>
        <v>#REF!</v>
      </c>
      <c r="GN90" t="str">
        <f>AND(#REF!,"AAAAAHr5vcM=")</f>
        <v>#REF!</v>
      </c>
      <c r="GO90" t="str">
        <f>AND(#REF!,"AAAAAHr5vcQ=")</f>
        <v>#REF!</v>
      </c>
      <c r="GP90" t="str">
        <f>AND(#REF!,"AAAAAHr5vcU=")</f>
        <v>#REF!</v>
      </c>
      <c r="GQ90" t="str">
        <f>AND(#REF!,"AAAAAHr5vcY=")</f>
        <v>#REF!</v>
      </c>
      <c r="GR90" t="str">
        <f>AND(#REF!,"AAAAAHr5vcc=")</f>
        <v>#REF!</v>
      </c>
      <c r="GS90" t="str">
        <f>AND(#REF!,"AAAAAHr5vcg=")</f>
        <v>#REF!</v>
      </c>
      <c r="GT90" t="str">
        <f>AND(#REF!,"AAAAAHr5vck=")</f>
        <v>#REF!</v>
      </c>
      <c r="GU90" t="str">
        <f>AND(#REF!,"AAAAAHr5vco=")</f>
        <v>#REF!</v>
      </c>
      <c r="GV90" t="str">
        <f>AND(#REF!,"AAAAAHr5vcs=")</f>
        <v>#REF!</v>
      </c>
      <c r="GW90" t="str">
        <f>AND(#REF!,"AAAAAHr5vcw=")</f>
        <v>#REF!</v>
      </c>
      <c r="GX90" t="str">
        <f>AND(#REF!,"AAAAAHr5vc0=")</f>
        <v>#REF!</v>
      </c>
      <c r="GY90" t="str">
        <f>AND(#REF!,"AAAAAHr5vc4=")</f>
        <v>#REF!</v>
      </c>
      <c r="GZ90" t="str">
        <f>AND(#REF!,"AAAAAHr5vc8=")</f>
        <v>#REF!</v>
      </c>
      <c r="HA90" t="str">
        <f>AND(#REF!,"AAAAAHr5vdA=")</f>
        <v>#REF!</v>
      </c>
      <c r="HB90" t="str">
        <f>AND(#REF!,"AAAAAHr5vdE=")</f>
        <v>#REF!</v>
      </c>
      <c r="HC90" t="str">
        <f>AND(#REF!,"AAAAAHr5vdI=")</f>
        <v>#REF!</v>
      </c>
      <c r="HD90" t="str">
        <f>AND(#REF!,"AAAAAHr5vdM=")</f>
        <v>#REF!</v>
      </c>
      <c r="HE90" t="str">
        <f>AND(#REF!,"AAAAAHr5vdQ=")</f>
        <v>#REF!</v>
      </c>
      <c r="HF90" t="str">
        <f>AND(#REF!,"AAAAAHr5vdU=")</f>
        <v>#REF!</v>
      </c>
      <c r="HG90" t="str">
        <f>AND(#REF!,"AAAAAHr5vdY=")</f>
        <v>#REF!</v>
      </c>
      <c r="HH90" t="str">
        <f>AND(#REF!,"AAAAAHr5vdc=")</f>
        <v>#REF!</v>
      </c>
      <c r="HI90" t="str">
        <f>AND(#REF!,"AAAAAHr5vdg=")</f>
        <v>#REF!</v>
      </c>
      <c r="HJ90" t="str">
        <f>AND(#REF!,"AAAAAHr5vdk=")</f>
        <v>#REF!</v>
      </c>
      <c r="HK90" t="str">
        <f>AND(#REF!,"AAAAAHr5vdo=")</f>
        <v>#REF!</v>
      </c>
      <c r="HL90" t="str">
        <f>AND(#REF!,"AAAAAHr5vds=")</f>
        <v>#REF!</v>
      </c>
      <c r="HM90" t="str">
        <f>AND(#REF!,"AAAAAHr5vdw=")</f>
        <v>#REF!</v>
      </c>
      <c r="HN90" t="str">
        <f>AND(#REF!,"AAAAAHr5vd0=")</f>
        <v>#REF!</v>
      </c>
      <c r="HO90" t="str">
        <f>AND(#REF!,"AAAAAHr5vd4=")</f>
        <v>#REF!</v>
      </c>
      <c r="HP90" t="str">
        <f>AND(#REF!,"AAAAAHr5vd8=")</f>
        <v>#REF!</v>
      </c>
      <c r="HQ90" t="str">
        <f>AND(#REF!,"AAAAAHr5veA=")</f>
        <v>#REF!</v>
      </c>
      <c r="HR90" t="str">
        <f>AND(#REF!,"AAAAAHr5veE=")</f>
        <v>#REF!</v>
      </c>
      <c r="HS90" t="str">
        <f>AND(#REF!,"AAAAAHr5veI=")</f>
        <v>#REF!</v>
      </c>
      <c r="HT90" t="str">
        <f>AND(#REF!,"AAAAAHr5veM=")</f>
        <v>#REF!</v>
      </c>
      <c r="HU90" t="str">
        <f>AND(#REF!,"AAAAAHr5veQ=")</f>
        <v>#REF!</v>
      </c>
      <c r="HV90" t="str">
        <f>AND(#REF!,"AAAAAHr5veU=")</f>
        <v>#REF!</v>
      </c>
      <c r="HW90" t="str">
        <f>AND(#REF!,"AAAAAHr5veY=")</f>
        <v>#REF!</v>
      </c>
      <c r="HX90" t="str">
        <f>AND(#REF!,"AAAAAHr5vec=")</f>
        <v>#REF!</v>
      </c>
      <c r="HY90" t="str">
        <f>AND(#REF!,"AAAAAHr5veg=")</f>
        <v>#REF!</v>
      </c>
      <c r="HZ90" t="str">
        <f>AND(#REF!,"AAAAAHr5vek=")</f>
        <v>#REF!</v>
      </c>
      <c r="IA90" t="str">
        <f>AND(#REF!,"AAAAAHr5veo=")</f>
        <v>#REF!</v>
      </c>
      <c r="IB90" t="str">
        <f>AND(#REF!,"AAAAAHr5ves=")</f>
        <v>#REF!</v>
      </c>
      <c r="IC90" t="str">
        <f>IF(#REF!,"AAAAAHr5vew=",0)</f>
        <v>#REF!</v>
      </c>
      <c r="ID90" t="str">
        <f>AND(#REF!,"AAAAAHr5ve0=")</f>
        <v>#REF!</v>
      </c>
      <c r="IE90" t="str">
        <f>AND(#REF!,"AAAAAHr5ve4=")</f>
        <v>#REF!</v>
      </c>
      <c r="IF90" t="str">
        <f>AND(#REF!,"AAAAAHr5ve8=")</f>
        <v>#REF!</v>
      </c>
      <c r="IG90" t="str">
        <f>AND(#REF!,"AAAAAHr5vfA=")</f>
        <v>#REF!</v>
      </c>
      <c r="IH90" t="str">
        <f>AND(#REF!,"AAAAAHr5vfE=")</f>
        <v>#REF!</v>
      </c>
      <c r="II90" t="str">
        <f>AND(#REF!,"AAAAAHr5vfI=")</f>
        <v>#REF!</v>
      </c>
      <c r="IJ90" t="str">
        <f>AND(#REF!,"AAAAAHr5vfM=")</f>
        <v>#REF!</v>
      </c>
      <c r="IK90" t="str">
        <f>AND(#REF!,"AAAAAHr5vfQ=")</f>
        <v>#REF!</v>
      </c>
      <c r="IL90" t="str">
        <f>AND(#REF!,"AAAAAHr5vfU=")</f>
        <v>#REF!</v>
      </c>
      <c r="IM90" t="str">
        <f>AND(#REF!,"AAAAAHr5vfY=")</f>
        <v>#REF!</v>
      </c>
      <c r="IN90" t="str">
        <f>AND(#REF!,"AAAAAHr5vfc=")</f>
        <v>#REF!</v>
      </c>
      <c r="IO90" t="str">
        <f>AND(#REF!,"AAAAAHr5vfg=")</f>
        <v>#REF!</v>
      </c>
      <c r="IP90" t="str">
        <f>AND(#REF!,"AAAAAHr5vfk=")</f>
        <v>#REF!</v>
      </c>
      <c r="IQ90" t="str">
        <f>AND(#REF!,"AAAAAHr5vfo=")</f>
        <v>#REF!</v>
      </c>
      <c r="IR90" t="str">
        <f>AND(#REF!,"AAAAAHr5vfs=")</f>
        <v>#REF!</v>
      </c>
      <c r="IS90" t="str">
        <f>AND(#REF!,"AAAAAHr5vfw=")</f>
        <v>#REF!</v>
      </c>
      <c r="IT90" t="str">
        <f>AND(#REF!,"AAAAAHr5vf0=")</f>
        <v>#REF!</v>
      </c>
      <c r="IU90" t="str">
        <f>AND(#REF!,"AAAAAHr5vf4=")</f>
        <v>#REF!</v>
      </c>
      <c r="IV90" t="str">
        <f>AND(#REF!,"AAAAAHr5vf8=")</f>
        <v>#REF!</v>
      </c>
    </row>
    <row r="91" ht="15.75" customHeight="1">
      <c r="A91" t="str">
        <f>AND(#REF!,"AAAAADd8+QA=")</f>
        <v>#REF!</v>
      </c>
      <c r="B91" t="str">
        <f>AND(#REF!,"AAAAADd8+QE=")</f>
        <v>#REF!</v>
      </c>
      <c r="C91" t="str">
        <f>AND(#REF!,"AAAAADd8+QI=")</f>
        <v>#REF!</v>
      </c>
      <c r="D91" t="str">
        <f>AND(#REF!,"AAAAADd8+QM=")</f>
        <v>#REF!</v>
      </c>
      <c r="E91" t="str">
        <f>AND(#REF!,"AAAAADd8+QQ=")</f>
        <v>#REF!</v>
      </c>
      <c r="F91" t="str">
        <f>AND(#REF!,"AAAAADd8+QU=")</f>
        <v>#REF!</v>
      </c>
      <c r="G91" t="str">
        <f>AND(#REF!,"AAAAADd8+QY=")</f>
        <v>#REF!</v>
      </c>
      <c r="H91" t="str">
        <f>AND(#REF!,"AAAAADd8+Qc=")</f>
        <v>#REF!</v>
      </c>
      <c r="I91" t="str">
        <f>AND(#REF!,"AAAAADd8+Qg=")</f>
        <v>#REF!</v>
      </c>
      <c r="J91" t="str">
        <f>AND(#REF!,"AAAAADd8+Qk=")</f>
        <v>#REF!</v>
      </c>
      <c r="K91" t="str">
        <f>AND(#REF!,"AAAAADd8+Qo=")</f>
        <v>#REF!</v>
      </c>
      <c r="L91" t="str">
        <f>AND(#REF!,"AAAAADd8+Qs=")</f>
        <v>#REF!</v>
      </c>
      <c r="M91" t="str">
        <f>AND(#REF!,"AAAAADd8+Qw=")</f>
        <v>#REF!</v>
      </c>
      <c r="N91" t="str">
        <f>AND(#REF!,"AAAAADd8+Q0=")</f>
        <v>#REF!</v>
      </c>
      <c r="O91" t="str">
        <f>AND(#REF!,"AAAAADd8+Q4=")</f>
        <v>#REF!</v>
      </c>
      <c r="P91" t="str">
        <f>AND(#REF!,"AAAAADd8+Q8=")</f>
        <v>#REF!</v>
      </c>
      <c r="Q91" t="str">
        <f>AND(#REF!,"AAAAADd8+RA=")</f>
        <v>#REF!</v>
      </c>
      <c r="R91" t="str">
        <f>AND(#REF!,"AAAAADd8+RE=")</f>
        <v>#REF!</v>
      </c>
      <c r="S91" t="str">
        <f>AND(#REF!,"AAAAADd8+RI=")</f>
        <v>#REF!</v>
      </c>
      <c r="T91" t="str">
        <f>AND(#REF!,"AAAAADd8+RM=")</f>
        <v>#REF!</v>
      </c>
      <c r="U91" t="str">
        <f>AND(#REF!,"AAAAADd8+RQ=")</f>
        <v>#REF!</v>
      </c>
      <c r="V91" t="str">
        <f>AND(#REF!,"AAAAADd8+RU=")</f>
        <v>#REF!</v>
      </c>
      <c r="W91" t="str">
        <f>AND(#REF!,"AAAAADd8+RY=")</f>
        <v>#REF!</v>
      </c>
      <c r="X91" t="str">
        <f>AND(#REF!,"AAAAADd8+Rc=")</f>
        <v>#REF!</v>
      </c>
      <c r="Y91" t="str">
        <f>AND(#REF!,"AAAAADd8+Rg=")</f>
        <v>#REF!</v>
      </c>
      <c r="Z91" t="str">
        <f>AND(#REF!,"AAAAADd8+Rk=")</f>
        <v>#REF!</v>
      </c>
      <c r="AA91" t="str">
        <f>AND(#REF!,"AAAAADd8+Ro=")</f>
        <v>#REF!</v>
      </c>
      <c r="AB91" t="str">
        <f>AND(#REF!,"AAAAADd8+Rs=")</f>
        <v>#REF!</v>
      </c>
      <c r="AC91" t="str">
        <f>AND(#REF!,"AAAAADd8+Rw=")</f>
        <v>#REF!</v>
      </c>
      <c r="AD91" t="str">
        <f>AND(#REF!,"AAAAADd8+R0=")</f>
        <v>#REF!</v>
      </c>
      <c r="AE91" t="str">
        <f>AND(#REF!,"AAAAADd8+R4=")</f>
        <v>#REF!</v>
      </c>
      <c r="AF91" t="str">
        <f>AND(#REF!,"AAAAADd8+R8=")</f>
        <v>#REF!</v>
      </c>
      <c r="AG91" t="str">
        <f>AND(#REF!,"AAAAADd8+SA=")</f>
        <v>#REF!</v>
      </c>
      <c r="AH91" t="str">
        <f>AND(#REF!,"AAAAADd8+SE=")</f>
        <v>#REF!</v>
      </c>
      <c r="AI91" t="str">
        <f>AND(#REF!,"AAAAADd8+SI=")</f>
        <v>#REF!</v>
      </c>
      <c r="AJ91" t="str">
        <f>AND(#REF!,"AAAAADd8+SM=")</f>
        <v>#REF!</v>
      </c>
      <c r="AK91" t="str">
        <f>AND(#REF!,"AAAAADd8+SQ=")</f>
        <v>#REF!</v>
      </c>
      <c r="AL91" t="str">
        <f>AND(#REF!,"AAAAADd8+SU=")</f>
        <v>#REF!</v>
      </c>
      <c r="AM91" t="str">
        <f>AND(#REF!,"AAAAADd8+SY=")</f>
        <v>#REF!</v>
      </c>
      <c r="AN91" t="str">
        <f>AND(#REF!,"AAAAADd8+Sc=")</f>
        <v>#REF!</v>
      </c>
      <c r="AO91" t="str">
        <f>AND(#REF!,"AAAAADd8+Sg=")</f>
        <v>#REF!</v>
      </c>
      <c r="AP91" t="str">
        <f>AND(#REF!,"AAAAADd8+Sk=")</f>
        <v>#REF!</v>
      </c>
      <c r="AQ91" t="str">
        <f>AND(#REF!,"AAAAADd8+So=")</f>
        <v>#REF!</v>
      </c>
      <c r="AR91" t="str">
        <f>AND(#REF!,"AAAAADd8+Ss=")</f>
        <v>#REF!</v>
      </c>
      <c r="AS91" t="str">
        <f>AND(#REF!,"AAAAADd8+Sw=")</f>
        <v>#REF!</v>
      </c>
      <c r="AT91" t="str">
        <f>AND(#REF!,"AAAAADd8+S0=")</f>
        <v>#REF!</v>
      </c>
      <c r="AU91" t="str">
        <f>AND(#REF!,"AAAAADd8+S4=")</f>
        <v>#REF!</v>
      </c>
      <c r="AV91" t="str">
        <f>AND(#REF!,"AAAAADd8+S8=")</f>
        <v>#REF!</v>
      </c>
      <c r="AW91" t="str">
        <f>AND(#REF!,"AAAAADd8+TA=")</f>
        <v>#REF!</v>
      </c>
      <c r="AX91" t="str">
        <f>AND(#REF!,"AAAAADd8+TE=")</f>
        <v>#REF!</v>
      </c>
      <c r="AY91" t="str">
        <f>AND(#REF!,"AAAAADd8+TI=")</f>
        <v>#REF!</v>
      </c>
      <c r="AZ91" t="str">
        <f>AND(#REF!,"AAAAADd8+TM=")</f>
        <v>#REF!</v>
      </c>
      <c r="BA91" t="str">
        <f>AND(#REF!,"AAAAADd8+TQ=")</f>
        <v>#REF!</v>
      </c>
      <c r="BB91" t="str">
        <f>AND(#REF!,"AAAAADd8+TU=")</f>
        <v>#REF!</v>
      </c>
      <c r="BC91" t="str">
        <f>AND(#REF!,"AAAAADd8+TY=")</f>
        <v>#REF!</v>
      </c>
      <c r="BD91" t="str">
        <f>AND(#REF!,"AAAAADd8+Tc=")</f>
        <v>#REF!</v>
      </c>
      <c r="BE91" t="str">
        <f>IF(#REF!,"AAAAADd8+Tg=",0)</f>
        <v>#REF!</v>
      </c>
      <c r="BF91" t="str">
        <f>AND(#REF!,"AAAAADd8+Tk=")</f>
        <v>#REF!</v>
      </c>
      <c r="BG91" t="str">
        <f>AND(#REF!,"AAAAADd8+To=")</f>
        <v>#REF!</v>
      </c>
      <c r="BH91" t="str">
        <f>AND(#REF!,"AAAAADd8+Ts=")</f>
        <v>#REF!</v>
      </c>
      <c r="BI91" t="str">
        <f>AND(#REF!,"AAAAADd8+Tw=")</f>
        <v>#REF!</v>
      </c>
      <c r="BJ91" t="str">
        <f>AND(#REF!,"AAAAADd8+T0=")</f>
        <v>#REF!</v>
      </c>
      <c r="BK91" t="str">
        <f>AND(#REF!,"AAAAADd8+T4=")</f>
        <v>#REF!</v>
      </c>
      <c r="BL91" t="str">
        <f>AND(#REF!,"AAAAADd8+T8=")</f>
        <v>#REF!</v>
      </c>
      <c r="BM91" t="str">
        <f>AND(#REF!,"AAAAADd8+UA=")</f>
        <v>#REF!</v>
      </c>
      <c r="BN91" t="str">
        <f>AND(#REF!,"AAAAADd8+UE=")</f>
        <v>#REF!</v>
      </c>
      <c r="BO91" t="str">
        <f>AND(#REF!,"AAAAADd8+UI=")</f>
        <v>#REF!</v>
      </c>
      <c r="BP91" t="str">
        <f>AND(#REF!,"AAAAADd8+UM=")</f>
        <v>#REF!</v>
      </c>
      <c r="BQ91" t="str">
        <f>AND(#REF!,"AAAAADd8+UQ=")</f>
        <v>#REF!</v>
      </c>
      <c r="BR91" t="str">
        <f>AND(#REF!,"AAAAADd8+UU=")</f>
        <v>#REF!</v>
      </c>
      <c r="BS91" t="str">
        <f>AND(#REF!,"AAAAADd8+UY=")</f>
        <v>#REF!</v>
      </c>
      <c r="BT91" t="str">
        <f>AND(#REF!,"AAAAADd8+Uc=")</f>
        <v>#REF!</v>
      </c>
      <c r="BU91" t="str">
        <f>AND(#REF!,"AAAAADd8+Ug=")</f>
        <v>#REF!</v>
      </c>
      <c r="BV91" t="str">
        <f>AND(#REF!,"AAAAADd8+Uk=")</f>
        <v>#REF!</v>
      </c>
      <c r="BW91" t="str">
        <f>AND(#REF!,"AAAAADd8+Uo=")</f>
        <v>#REF!</v>
      </c>
      <c r="BX91" t="str">
        <f>AND(#REF!,"AAAAADd8+Us=")</f>
        <v>#REF!</v>
      </c>
      <c r="BY91" t="str">
        <f>AND(#REF!,"AAAAADd8+Uw=")</f>
        <v>#REF!</v>
      </c>
      <c r="BZ91" t="str">
        <f>AND(#REF!,"AAAAADd8+U0=")</f>
        <v>#REF!</v>
      </c>
      <c r="CA91" t="str">
        <f>AND(#REF!,"AAAAADd8+U4=")</f>
        <v>#REF!</v>
      </c>
      <c r="CB91" t="str">
        <f>AND(#REF!,"AAAAADd8+U8=")</f>
        <v>#REF!</v>
      </c>
      <c r="CC91" t="str">
        <f>AND(#REF!,"AAAAADd8+VA=")</f>
        <v>#REF!</v>
      </c>
      <c r="CD91" t="str">
        <f>AND(#REF!,"AAAAADd8+VE=")</f>
        <v>#REF!</v>
      </c>
      <c r="CE91" t="str">
        <f>AND(#REF!,"AAAAADd8+VI=")</f>
        <v>#REF!</v>
      </c>
      <c r="CF91" t="str">
        <f>AND(#REF!,"AAAAADd8+VM=")</f>
        <v>#REF!</v>
      </c>
      <c r="CG91" t="str">
        <f>AND(#REF!,"AAAAADd8+VQ=")</f>
        <v>#REF!</v>
      </c>
      <c r="CH91" t="str">
        <f>AND(#REF!,"AAAAADd8+VU=")</f>
        <v>#REF!</v>
      </c>
      <c r="CI91" t="str">
        <f>AND(#REF!,"AAAAADd8+VY=")</f>
        <v>#REF!</v>
      </c>
      <c r="CJ91" t="str">
        <f>AND(#REF!,"AAAAADd8+Vc=")</f>
        <v>#REF!</v>
      </c>
      <c r="CK91" t="str">
        <f>AND(#REF!,"AAAAADd8+Vg=")</f>
        <v>#REF!</v>
      </c>
      <c r="CL91" t="str">
        <f>AND(#REF!,"AAAAADd8+Vk=")</f>
        <v>#REF!</v>
      </c>
      <c r="CM91" t="str">
        <f>AND(#REF!,"AAAAADd8+Vo=")</f>
        <v>#REF!</v>
      </c>
      <c r="CN91" t="str">
        <f>AND(#REF!,"AAAAADd8+Vs=")</f>
        <v>#REF!</v>
      </c>
      <c r="CO91" t="str">
        <f>AND(#REF!,"AAAAADd8+Vw=")</f>
        <v>#REF!</v>
      </c>
      <c r="CP91" t="str">
        <f>AND(#REF!,"AAAAADd8+V0=")</f>
        <v>#REF!</v>
      </c>
      <c r="CQ91" t="str">
        <f>AND(#REF!,"AAAAADd8+V4=")</f>
        <v>#REF!</v>
      </c>
      <c r="CR91" t="str">
        <f>AND(#REF!,"AAAAADd8+V8=")</f>
        <v>#REF!</v>
      </c>
      <c r="CS91" t="str">
        <f>AND(#REF!,"AAAAADd8+WA=")</f>
        <v>#REF!</v>
      </c>
      <c r="CT91" t="str">
        <f>AND(#REF!,"AAAAADd8+WE=")</f>
        <v>#REF!</v>
      </c>
      <c r="CU91" t="str">
        <f>AND(#REF!,"AAAAADd8+WI=")</f>
        <v>#REF!</v>
      </c>
      <c r="CV91" t="str">
        <f>AND(#REF!,"AAAAADd8+WM=")</f>
        <v>#REF!</v>
      </c>
      <c r="CW91" t="str">
        <f>AND(#REF!,"AAAAADd8+WQ=")</f>
        <v>#REF!</v>
      </c>
      <c r="CX91" t="str">
        <f>AND(#REF!,"AAAAADd8+WU=")</f>
        <v>#REF!</v>
      </c>
      <c r="CY91" t="str">
        <f>AND(#REF!,"AAAAADd8+WY=")</f>
        <v>#REF!</v>
      </c>
      <c r="CZ91" t="str">
        <f>AND(#REF!,"AAAAADd8+Wc=")</f>
        <v>#REF!</v>
      </c>
      <c r="DA91" t="str">
        <f>AND(#REF!,"AAAAADd8+Wg=")</f>
        <v>#REF!</v>
      </c>
      <c r="DB91" t="str">
        <f>AND(#REF!,"AAAAADd8+Wk=")</f>
        <v>#REF!</v>
      </c>
      <c r="DC91" t="str">
        <f>AND(#REF!,"AAAAADd8+Wo=")</f>
        <v>#REF!</v>
      </c>
      <c r="DD91" t="str">
        <f>AND(#REF!,"AAAAADd8+Ws=")</f>
        <v>#REF!</v>
      </c>
      <c r="DE91" t="str">
        <f>AND(#REF!,"AAAAADd8+Ww=")</f>
        <v>#REF!</v>
      </c>
      <c r="DF91" t="str">
        <f>AND(#REF!,"AAAAADd8+W0=")</f>
        <v>#REF!</v>
      </c>
      <c r="DG91" t="str">
        <f>AND(#REF!,"AAAAADd8+W4=")</f>
        <v>#REF!</v>
      </c>
      <c r="DH91" t="str">
        <f>AND(#REF!,"AAAAADd8+W8=")</f>
        <v>#REF!</v>
      </c>
      <c r="DI91" t="str">
        <f>AND(#REF!,"AAAAADd8+XA=")</f>
        <v>#REF!</v>
      </c>
      <c r="DJ91" t="str">
        <f>AND(#REF!,"AAAAADd8+XE=")</f>
        <v>#REF!</v>
      </c>
      <c r="DK91" t="str">
        <f>AND(#REF!,"AAAAADd8+XI=")</f>
        <v>#REF!</v>
      </c>
      <c r="DL91" t="str">
        <f>AND(#REF!,"AAAAADd8+XM=")</f>
        <v>#REF!</v>
      </c>
      <c r="DM91" t="str">
        <f>AND(#REF!,"AAAAADd8+XQ=")</f>
        <v>#REF!</v>
      </c>
      <c r="DN91" t="str">
        <f>AND(#REF!,"AAAAADd8+XU=")</f>
        <v>#REF!</v>
      </c>
      <c r="DO91" t="str">
        <f>AND(#REF!,"AAAAADd8+XY=")</f>
        <v>#REF!</v>
      </c>
      <c r="DP91" t="str">
        <f>AND(#REF!,"AAAAADd8+Xc=")</f>
        <v>#REF!</v>
      </c>
      <c r="DQ91" t="str">
        <f>AND(#REF!,"AAAAADd8+Xg=")</f>
        <v>#REF!</v>
      </c>
      <c r="DR91" t="str">
        <f>AND(#REF!,"AAAAADd8+Xk=")</f>
        <v>#REF!</v>
      </c>
      <c r="DS91" t="str">
        <f>AND(#REF!,"AAAAADd8+Xo=")</f>
        <v>#REF!</v>
      </c>
      <c r="DT91" t="str">
        <f>AND(#REF!,"AAAAADd8+Xs=")</f>
        <v>#REF!</v>
      </c>
      <c r="DU91" t="str">
        <f>AND(#REF!,"AAAAADd8+Xw=")</f>
        <v>#REF!</v>
      </c>
      <c r="DV91" t="str">
        <f>AND(#REF!,"AAAAADd8+X0=")</f>
        <v>#REF!</v>
      </c>
      <c r="DW91" t="str">
        <f>AND(#REF!,"AAAAADd8+X4=")</f>
        <v>#REF!</v>
      </c>
      <c r="DX91" t="str">
        <f>AND(#REF!,"AAAAADd8+X8=")</f>
        <v>#REF!</v>
      </c>
      <c r="DY91" t="str">
        <f>AND(#REF!,"AAAAADd8+YA=")</f>
        <v>#REF!</v>
      </c>
      <c r="DZ91" t="str">
        <f>AND(#REF!,"AAAAADd8+YE=")</f>
        <v>#REF!</v>
      </c>
      <c r="EA91" t="str">
        <f>AND(#REF!,"AAAAADd8+YI=")</f>
        <v>#REF!</v>
      </c>
      <c r="EB91" t="str">
        <f>AND(#REF!,"AAAAADd8+YM=")</f>
        <v>#REF!</v>
      </c>
      <c r="EC91" t="str">
        <f>IF(#REF!,"AAAAADd8+YQ=",0)</f>
        <v>#REF!</v>
      </c>
      <c r="ED91" t="str">
        <f>AND(#REF!,"AAAAADd8+YU=")</f>
        <v>#REF!</v>
      </c>
      <c r="EE91" t="str">
        <f>AND(#REF!,"AAAAADd8+YY=")</f>
        <v>#REF!</v>
      </c>
      <c r="EF91" t="str">
        <f>AND(#REF!,"AAAAADd8+Yc=")</f>
        <v>#REF!</v>
      </c>
      <c r="EG91" t="str">
        <f>AND(#REF!,"AAAAADd8+Yg=")</f>
        <v>#REF!</v>
      </c>
      <c r="EH91" t="str">
        <f>AND(#REF!,"AAAAADd8+Yk=")</f>
        <v>#REF!</v>
      </c>
      <c r="EI91" t="str">
        <f>AND(#REF!,"AAAAADd8+Yo=")</f>
        <v>#REF!</v>
      </c>
      <c r="EJ91" t="str">
        <f>AND(#REF!,"AAAAADd8+Ys=")</f>
        <v>#REF!</v>
      </c>
      <c r="EK91" t="str">
        <f>AND(#REF!,"AAAAADd8+Yw=")</f>
        <v>#REF!</v>
      </c>
      <c r="EL91" t="str">
        <f>AND(#REF!,"AAAAADd8+Y0=")</f>
        <v>#REF!</v>
      </c>
      <c r="EM91" t="str">
        <f>AND(#REF!,"AAAAADd8+Y4=")</f>
        <v>#REF!</v>
      </c>
      <c r="EN91" t="str">
        <f>AND(#REF!,"AAAAADd8+Y8=")</f>
        <v>#REF!</v>
      </c>
      <c r="EO91" t="str">
        <f>AND(#REF!,"AAAAADd8+ZA=")</f>
        <v>#REF!</v>
      </c>
      <c r="EP91" t="str">
        <f>AND(#REF!,"AAAAADd8+ZE=")</f>
        <v>#REF!</v>
      </c>
      <c r="EQ91" t="str">
        <f>AND(#REF!,"AAAAADd8+ZI=")</f>
        <v>#REF!</v>
      </c>
      <c r="ER91" t="str">
        <f>AND(#REF!,"AAAAADd8+ZM=")</f>
        <v>#REF!</v>
      </c>
      <c r="ES91" t="str">
        <f>AND(#REF!,"AAAAADd8+ZQ=")</f>
        <v>#REF!</v>
      </c>
      <c r="ET91" t="str">
        <f>AND(#REF!,"AAAAADd8+ZU=")</f>
        <v>#REF!</v>
      </c>
      <c r="EU91" t="str">
        <f>AND(#REF!,"AAAAADd8+ZY=")</f>
        <v>#REF!</v>
      </c>
      <c r="EV91" t="str">
        <f>AND(#REF!,"AAAAADd8+Zc=")</f>
        <v>#REF!</v>
      </c>
      <c r="EW91" t="str">
        <f>AND(#REF!,"AAAAADd8+Zg=")</f>
        <v>#REF!</v>
      </c>
      <c r="EX91" t="str">
        <f>AND(#REF!,"AAAAADd8+Zk=")</f>
        <v>#REF!</v>
      </c>
      <c r="EY91" t="str">
        <f>AND(#REF!,"AAAAADd8+Zo=")</f>
        <v>#REF!</v>
      </c>
      <c r="EZ91" t="str">
        <f>AND(#REF!,"AAAAADd8+Zs=")</f>
        <v>#REF!</v>
      </c>
      <c r="FA91" t="str">
        <f>AND(#REF!,"AAAAADd8+Zw=")</f>
        <v>#REF!</v>
      </c>
      <c r="FB91" t="str">
        <f>AND(#REF!,"AAAAADd8+Z0=")</f>
        <v>#REF!</v>
      </c>
      <c r="FC91" t="str">
        <f>AND(#REF!,"AAAAADd8+Z4=")</f>
        <v>#REF!</v>
      </c>
      <c r="FD91" t="str">
        <f>AND(#REF!,"AAAAADd8+Z8=")</f>
        <v>#REF!</v>
      </c>
      <c r="FE91" t="str">
        <f>AND(#REF!,"AAAAADd8+aA=")</f>
        <v>#REF!</v>
      </c>
      <c r="FF91" t="str">
        <f>AND(#REF!,"AAAAADd8+aE=")</f>
        <v>#REF!</v>
      </c>
      <c r="FG91" t="str">
        <f>AND(#REF!,"AAAAADd8+aI=")</f>
        <v>#REF!</v>
      </c>
      <c r="FH91" t="str">
        <f>AND(#REF!,"AAAAADd8+aM=")</f>
        <v>#REF!</v>
      </c>
      <c r="FI91" t="str">
        <f>AND(#REF!,"AAAAADd8+aQ=")</f>
        <v>#REF!</v>
      </c>
      <c r="FJ91" t="str">
        <f>AND(#REF!,"AAAAADd8+aU=")</f>
        <v>#REF!</v>
      </c>
      <c r="FK91" t="str">
        <f>AND(#REF!,"AAAAADd8+aY=")</f>
        <v>#REF!</v>
      </c>
      <c r="FL91" t="str">
        <f>AND(#REF!,"AAAAADd8+ac=")</f>
        <v>#REF!</v>
      </c>
      <c r="FM91" t="str">
        <f>AND(#REF!,"AAAAADd8+ag=")</f>
        <v>#REF!</v>
      </c>
      <c r="FN91" t="str">
        <f>AND(#REF!,"AAAAADd8+ak=")</f>
        <v>#REF!</v>
      </c>
      <c r="FO91" t="str">
        <f>AND(#REF!,"AAAAADd8+ao=")</f>
        <v>#REF!</v>
      </c>
      <c r="FP91" t="str">
        <f>AND(#REF!,"AAAAADd8+as=")</f>
        <v>#REF!</v>
      </c>
      <c r="FQ91" t="str">
        <f>AND(#REF!,"AAAAADd8+aw=")</f>
        <v>#REF!</v>
      </c>
      <c r="FR91" t="str">
        <f>AND(#REF!,"AAAAADd8+a0=")</f>
        <v>#REF!</v>
      </c>
      <c r="FS91" t="str">
        <f>AND(#REF!,"AAAAADd8+a4=")</f>
        <v>#REF!</v>
      </c>
      <c r="FT91" t="str">
        <f>AND(#REF!,"AAAAADd8+a8=")</f>
        <v>#REF!</v>
      </c>
      <c r="FU91" t="str">
        <f>AND(#REF!,"AAAAADd8+bA=")</f>
        <v>#REF!</v>
      </c>
      <c r="FV91" t="str">
        <f>AND(#REF!,"AAAAADd8+bE=")</f>
        <v>#REF!</v>
      </c>
      <c r="FW91" t="str">
        <f>AND(#REF!,"AAAAADd8+bI=")</f>
        <v>#REF!</v>
      </c>
      <c r="FX91" t="str">
        <f>AND(#REF!,"AAAAADd8+bM=")</f>
        <v>#REF!</v>
      </c>
      <c r="FY91" t="str">
        <f>AND(#REF!,"AAAAADd8+bQ=")</f>
        <v>#REF!</v>
      </c>
      <c r="FZ91" t="str">
        <f>AND(#REF!,"AAAAADd8+bU=")</f>
        <v>#REF!</v>
      </c>
      <c r="GA91" t="str">
        <f>AND(#REF!,"AAAAADd8+bY=")</f>
        <v>#REF!</v>
      </c>
      <c r="GB91" t="str">
        <f>AND(#REF!,"AAAAADd8+bc=")</f>
        <v>#REF!</v>
      </c>
      <c r="GC91" t="str">
        <f>AND(#REF!,"AAAAADd8+bg=")</f>
        <v>#REF!</v>
      </c>
      <c r="GD91" t="str">
        <f>AND(#REF!,"AAAAADd8+bk=")</f>
        <v>#REF!</v>
      </c>
      <c r="GE91" t="str">
        <f>AND(#REF!,"AAAAADd8+bo=")</f>
        <v>#REF!</v>
      </c>
      <c r="GF91" t="str">
        <f>AND(#REF!,"AAAAADd8+bs=")</f>
        <v>#REF!</v>
      </c>
      <c r="GG91" t="str">
        <f>AND(#REF!,"AAAAADd8+bw=")</f>
        <v>#REF!</v>
      </c>
      <c r="GH91" t="str">
        <f>AND(#REF!,"AAAAADd8+b0=")</f>
        <v>#REF!</v>
      </c>
      <c r="GI91" t="str">
        <f>AND(#REF!,"AAAAADd8+b4=")</f>
        <v>#REF!</v>
      </c>
      <c r="GJ91" t="str">
        <f>AND(#REF!,"AAAAADd8+b8=")</f>
        <v>#REF!</v>
      </c>
      <c r="GK91" t="str">
        <f>AND(#REF!,"AAAAADd8+cA=")</f>
        <v>#REF!</v>
      </c>
      <c r="GL91" t="str">
        <f>AND(#REF!,"AAAAADd8+cE=")</f>
        <v>#REF!</v>
      </c>
      <c r="GM91" t="str">
        <f>AND(#REF!,"AAAAADd8+cI=")</f>
        <v>#REF!</v>
      </c>
      <c r="GN91" t="str">
        <f>AND(#REF!,"AAAAADd8+cM=")</f>
        <v>#REF!</v>
      </c>
      <c r="GO91" t="str">
        <f>AND(#REF!,"AAAAADd8+cQ=")</f>
        <v>#REF!</v>
      </c>
      <c r="GP91" t="str">
        <f>AND(#REF!,"AAAAADd8+cU=")</f>
        <v>#REF!</v>
      </c>
      <c r="GQ91" t="str">
        <f>AND(#REF!,"AAAAADd8+cY=")</f>
        <v>#REF!</v>
      </c>
      <c r="GR91" t="str">
        <f>AND(#REF!,"AAAAADd8+cc=")</f>
        <v>#REF!</v>
      </c>
      <c r="GS91" t="str">
        <f>AND(#REF!,"AAAAADd8+cg=")</f>
        <v>#REF!</v>
      </c>
      <c r="GT91" t="str">
        <f>AND(#REF!,"AAAAADd8+ck=")</f>
        <v>#REF!</v>
      </c>
      <c r="GU91" t="str">
        <f>AND(#REF!,"AAAAADd8+co=")</f>
        <v>#REF!</v>
      </c>
      <c r="GV91" t="str">
        <f>AND(#REF!,"AAAAADd8+cs=")</f>
        <v>#REF!</v>
      </c>
      <c r="GW91" t="str">
        <f>AND(#REF!,"AAAAADd8+cw=")</f>
        <v>#REF!</v>
      </c>
      <c r="GX91" t="str">
        <f>AND(#REF!,"AAAAADd8+c0=")</f>
        <v>#REF!</v>
      </c>
      <c r="GY91" t="str">
        <f>AND(#REF!,"AAAAADd8+c4=")</f>
        <v>#REF!</v>
      </c>
      <c r="GZ91" t="str">
        <f>AND(#REF!,"AAAAADd8+c8=")</f>
        <v>#REF!</v>
      </c>
      <c r="HA91" t="str">
        <f>IF(#REF!,"AAAAADd8+dA=",0)</f>
        <v>#REF!</v>
      </c>
      <c r="HB91" t="str">
        <f>AND(#REF!,"AAAAADd8+dE=")</f>
        <v>#REF!</v>
      </c>
      <c r="HC91" t="str">
        <f>AND(#REF!,"AAAAADd8+dI=")</f>
        <v>#REF!</v>
      </c>
      <c r="HD91" t="str">
        <f>AND(#REF!,"AAAAADd8+dM=")</f>
        <v>#REF!</v>
      </c>
      <c r="HE91" t="str">
        <f>AND(#REF!,"AAAAADd8+dQ=")</f>
        <v>#REF!</v>
      </c>
      <c r="HF91" t="str">
        <f>AND(#REF!,"AAAAADd8+dU=")</f>
        <v>#REF!</v>
      </c>
      <c r="HG91" t="str">
        <f>AND(#REF!,"AAAAADd8+dY=")</f>
        <v>#REF!</v>
      </c>
      <c r="HH91" t="str">
        <f>AND(#REF!,"AAAAADd8+dc=")</f>
        <v>#REF!</v>
      </c>
      <c r="HI91" t="str">
        <f>AND(#REF!,"AAAAADd8+dg=")</f>
        <v>#REF!</v>
      </c>
      <c r="HJ91" t="str">
        <f>AND(#REF!,"AAAAADd8+dk=")</f>
        <v>#REF!</v>
      </c>
      <c r="HK91" t="str">
        <f>AND(#REF!,"AAAAADd8+do=")</f>
        <v>#REF!</v>
      </c>
      <c r="HL91" t="str">
        <f>AND(#REF!,"AAAAADd8+ds=")</f>
        <v>#REF!</v>
      </c>
      <c r="HM91" t="str">
        <f>AND(#REF!,"AAAAADd8+dw=")</f>
        <v>#REF!</v>
      </c>
      <c r="HN91" t="str">
        <f>AND(#REF!,"AAAAADd8+d0=")</f>
        <v>#REF!</v>
      </c>
      <c r="HO91" t="str">
        <f>AND(#REF!,"AAAAADd8+d4=")</f>
        <v>#REF!</v>
      </c>
      <c r="HP91" t="str">
        <f>AND(#REF!,"AAAAADd8+d8=")</f>
        <v>#REF!</v>
      </c>
      <c r="HQ91" t="str">
        <f>AND(#REF!,"AAAAADd8+eA=")</f>
        <v>#REF!</v>
      </c>
      <c r="HR91" t="str">
        <f>AND(#REF!,"AAAAADd8+eE=")</f>
        <v>#REF!</v>
      </c>
      <c r="HS91" t="str">
        <f>AND(#REF!,"AAAAADd8+eI=")</f>
        <v>#REF!</v>
      </c>
      <c r="HT91" t="str">
        <f>AND(#REF!,"AAAAADd8+eM=")</f>
        <v>#REF!</v>
      </c>
      <c r="HU91" t="str">
        <f>AND(#REF!,"AAAAADd8+eQ=")</f>
        <v>#REF!</v>
      </c>
      <c r="HV91" t="str">
        <f>AND(#REF!,"AAAAADd8+eU=")</f>
        <v>#REF!</v>
      </c>
      <c r="HW91" t="str">
        <f>AND(#REF!,"AAAAADd8+eY=")</f>
        <v>#REF!</v>
      </c>
      <c r="HX91" t="str">
        <f>AND(#REF!,"AAAAADd8+ec=")</f>
        <v>#REF!</v>
      </c>
      <c r="HY91" t="str">
        <f>AND(#REF!,"AAAAADd8+eg=")</f>
        <v>#REF!</v>
      </c>
      <c r="HZ91" t="str">
        <f>AND(#REF!,"AAAAADd8+ek=")</f>
        <v>#REF!</v>
      </c>
      <c r="IA91" t="str">
        <f>AND(#REF!,"AAAAADd8+eo=")</f>
        <v>#REF!</v>
      </c>
      <c r="IB91" t="str">
        <f>AND(#REF!,"AAAAADd8+es=")</f>
        <v>#REF!</v>
      </c>
      <c r="IC91" t="str">
        <f>AND(#REF!,"AAAAADd8+ew=")</f>
        <v>#REF!</v>
      </c>
      <c r="ID91" t="str">
        <f>AND(#REF!,"AAAAADd8+e0=")</f>
        <v>#REF!</v>
      </c>
      <c r="IE91" t="str">
        <f>AND(#REF!,"AAAAADd8+e4=")</f>
        <v>#REF!</v>
      </c>
      <c r="IF91" t="str">
        <f>AND(#REF!,"AAAAADd8+e8=")</f>
        <v>#REF!</v>
      </c>
      <c r="IG91" t="str">
        <f>AND(#REF!,"AAAAADd8+fA=")</f>
        <v>#REF!</v>
      </c>
      <c r="IH91" t="str">
        <f>AND(#REF!,"AAAAADd8+fE=")</f>
        <v>#REF!</v>
      </c>
      <c r="II91" t="str">
        <f>AND(#REF!,"AAAAADd8+fI=")</f>
        <v>#REF!</v>
      </c>
      <c r="IJ91" t="str">
        <f>AND(#REF!,"AAAAADd8+fM=")</f>
        <v>#REF!</v>
      </c>
      <c r="IK91" t="str">
        <f>AND(#REF!,"AAAAADd8+fQ=")</f>
        <v>#REF!</v>
      </c>
      <c r="IL91" t="str">
        <f>AND(#REF!,"AAAAADd8+fU=")</f>
        <v>#REF!</v>
      </c>
      <c r="IM91" t="str">
        <f>AND(#REF!,"AAAAADd8+fY=")</f>
        <v>#REF!</v>
      </c>
      <c r="IN91" t="str">
        <f>AND(#REF!,"AAAAADd8+fc=")</f>
        <v>#REF!</v>
      </c>
      <c r="IO91" t="str">
        <f>AND(#REF!,"AAAAADd8+fg=")</f>
        <v>#REF!</v>
      </c>
      <c r="IP91" t="str">
        <f>AND(#REF!,"AAAAADd8+fk=")</f>
        <v>#REF!</v>
      </c>
      <c r="IQ91" t="str">
        <f>AND(#REF!,"AAAAADd8+fo=")</f>
        <v>#REF!</v>
      </c>
      <c r="IR91" t="str">
        <f>AND(#REF!,"AAAAADd8+fs=")</f>
        <v>#REF!</v>
      </c>
      <c r="IS91" t="str">
        <f>AND(#REF!,"AAAAADd8+fw=")</f>
        <v>#REF!</v>
      </c>
      <c r="IT91" t="str">
        <f>AND(#REF!,"AAAAADd8+f0=")</f>
        <v>#REF!</v>
      </c>
      <c r="IU91" t="str">
        <f>AND(#REF!,"AAAAADd8+f4=")</f>
        <v>#REF!</v>
      </c>
      <c r="IV91" t="str">
        <f>AND(#REF!,"AAAAADd8+f8=")</f>
        <v>#REF!</v>
      </c>
    </row>
    <row r="92" ht="15.75" customHeight="1">
      <c r="A92" t="str">
        <f>AND(#REF!,"AAAAAH//OwA=")</f>
        <v>#REF!</v>
      </c>
      <c r="B92" t="str">
        <f>AND(#REF!,"AAAAAH//OwE=")</f>
        <v>#REF!</v>
      </c>
      <c r="C92" t="str">
        <f>AND(#REF!,"AAAAAH//OwI=")</f>
        <v>#REF!</v>
      </c>
      <c r="D92" t="str">
        <f>AND(#REF!,"AAAAAH//OwM=")</f>
        <v>#REF!</v>
      </c>
      <c r="E92" t="str">
        <f>AND(#REF!,"AAAAAH//OwQ=")</f>
        <v>#REF!</v>
      </c>
      <c r="F92" t="str">
        <f>AND(#REF!,"AAAAAH//OwU=")</f>
        <v>#REF!</v>
      </c>
      <c r="G92" t="str">
        <f>AND(#REF!,"AAAAAH//OwY=")</f>
        <v>#REF!</v>
      </c>
      <c r="H92" t="str">
        <f>AND(#REF!,"AAAAAH//Owc=")</f>
        <v>#REF!</v>
      </c>
      <c r="I92" t="str">
        <f>AND(#REF!,"AAAAAH//Owg=")</f>
        <v>#REF!</v>
      </c>
      <c r="J92" t="str">
        <f>AND(#REF!,"AAAAAH//Owk=")</f>
        <v>#REF!</v>
      </c>
      <c r="K92" t="str">
        <f>AND(#REF!,"AAAAAH//Owo=")</f>
        <v>#REF!</v>
      </c>
      <c r="L92" t="str">
        <f>AND(#REF!,"AAAAAH//Ows=")</f>
        <v>#REF!</v>
      </c>
      <c r="M92" t="str">
        <f>AND(#REF!,"AAAAAH//Oww=")</f>
        <v>#REF!</v>
      </c>
      <c r="N92" t="str">
        <f>AND(#REF!,"AAAAAH//Ow0=")</f>
        <v>#REF!</v>
      </c>
      <c r="O92" t="str">
        <f>AND(#REF!,"AAAAAH//Ow4=")</f>
        <v>#REF!</v>
      </c>
      <c r="P92" t="str">
        <f>AND(#REF!,"AAAAAH//Ow8=")</f>
        <v>#REF!</v>
      </c>
      <c r="Q92" t="str">
        <f>AND(#REF!,"AAAAAH//OxA=")</f>
        <v>#REF!</v>
      </c>
      <c r="R92" t="str">
        <f>AND(#REF!,"AAAAAH//OxE=")</f>
        <v>#REF!</v>
      </c>
      <c r="S92" t="str">
        <f>AND(#REF!,"AAAAAH//OxI=")</f>
        <v>#REF!</v>
      </c>
      <c r="T92" t="str">
        <f>AND(#REF!,"AAAAAH//OxM=")</f>
        <v>#REF!</v>
      </c>
      <c r="U92" t="str">
        <f>AND(#REF!,"AAAAAH//OxQ=")</f>
        <v>#REF!</v>
      </c>
      <c r="V92" t="str">
        <f>AND(#REF!,"AAAAAH//OxU=")</f>
        <v>#REF!</v>
      </c>
      <c r="W92" t="str">
        <f>AND(#REF!,"AAAAAH//OxY=")</f>
        <v>#REF!</v>
      </c>
      <c r="X92" t="str">
        <f>AND(#REF!,"AAAAAH//Oxc=")</f>
        <v>#REF!</v>
      </c>
      <c r="Y92" t="str">
        <f>AND(#REF!,"AAAAAH//Oxg=")</f>
        <v>#REF!</v>
      </c>
      <c r="Z92" t="str">
        <f>AND(#REF!,"AAAAAH//Oxk=")</f>
        <v>#REF!</v>
      </c>
      <c r="AA92" t="str">
        <f>AND(#REF!,"AAAAAH//Oxo=")</f>
        <v>#REF!</v>
      </c>
      <c r="AB92" t="str">
        <f>AND(#REF!,"AAAAAH//Oxs=")</f>
        <v>#REF!</v>
      </c>
      <c r="AC92" t="str">
        <f>IF(#REF!,"AAAAAH//Oxw=",0)</f>
        <v>#REF!</v>
      </c>
      <c r="AD92" t="str">
        <f>AND(#REF!,"AAAAAH//Ox0=")</f>
        <v>#REF!</v>
      </c>
      <c r="AE92" t="str">
        <f>AND(#REF!,"AAAAAH//Ox4=")</f>
        <v>#REF!</v>
      </c>
      <c r="AF92" t="str">
        <f>AND(#REF!,"AAAAAH//Ox8=")</f>
        <v>#REF!</v>
      </c>
      <c r="AG92" t="str">
        <f>AND(#REF!,"AAAAAH//OyA=")</f>
        <v>#REF!</v>
      </c>
      <c r="AH92" t="str">
        <f>AND(#REF!,"AAAAAH//OyE=")</f>
        <v>#REF!</v>
      </c>
      <c r="AI92" t="str">
        <f>AND(#REF!,"AAAAAH//OyI=")</f>
        <v>#REF!</v>
      </c>
      <c r="AJ92" t="str">
        <f>AND(#REF!,"AAAAAH//OyM=")</f>
        <v>#REF!</v>
      </c>
      <c r="AK92" t="str">
        <f>AND(#REF!,"AAAAAH//OyQ=")</f>
        <v>#REF!</v>
      </c>
      <c r="AL92" t="str">
        <f>AND(#REF!,"AAAAAH//OyU=")</f>
        <v>#REF!</v>
      </c>
      <c r="AM92" t="str">
        <f>AND(#REF!,"AAAAAH//OyY=")</f>
        <v>#REF!</v>
      </c>
      <c r="AN92" t="str">
        <f>AND(#REF!,"AAAAAH//Oyc=")</f>
        <v>#REF!</v>
      </c>
      <c r="AO92" t="str">
        <f>AND(#REF!,"AAAAAH//Oyg=")</f>
        <v>#REF!</v>
      </c>
      <c r="AP92" t="str">
        <f>AND(#REF!,"AAAAAH//Oyk=")</f>
        <v>#REF!</v>
      </c>
      <c r="AQ92" t="str">
        <f>AND(#REF!,"AAAAAH//Oyo=")</f>
        <v>#REF!</v>
      </c>
      <c r="AR92" t="str">
        <f>AND(#REF!,"AAAAAH//Oys=")</f>
        <v>#REF!</v>
      </c>
      <c r="AS92" t="str">
        <f>AND(#REF!,"AAAAAH//Oyw=")</f>
        <v>#REF!</v>
      </c>
      <c r="AT92" t="str">
        <f>AND(#REF!,"AAAAAH//Oy0=")</f>
        <v>#REF!</v>
      </c>
      <c r="AU92" t="str">
        <f>AND(#REF!,"AAAAAH//Oy4=")</f>
        <v>#REF!</v>
      </c>
      <c r="AV92" t="str">
        <f>AND(#REF!,"AAAAAH//Oy8=")</f>
        <v>#REF!</v>
      </c>
      <c r="AW92" t="str">
        <f>AND(#REF!,"AAAAAH//OzA=")</f>
        <v>#REF!</v>
      </c>
      <c r="AX92" t="str">
        <f>AND(#REF!,"AAAAAH//OzE=")</f>
        <v>#REF!</v>
      </c>
      <c r="AY92" t="str">
        <f>AND(#REF!,"AAAAAH//OzI=")</f>
        <v>#REF!</v>
      </c>
      <c r="AZ92" t="str">
        <f>AND(#REF!,"AAAAAH//OzM=")</f>
        <v>#REF!</v>
      </c>
      <c r="BA92" t="str">
        <f>AND(#REF!,"AAAAAH//OzQ=")</f>
        <v>#REF!</v>
      </c>
      <c r="BB92" t="str">
        <f>AND(#REF!,"AAAAAH//OzU=")</f>
        <v>#REF!</v>
      </c>
      <c r="BC92" t="str">
        <f>AND(#REF!,"AAAAAH//OzY=")</f>
        <v>#REF!</v>
      </c>
      <c r="BD92" t="str">
        <f>AND(#REF!,"AAAAAH//Ozc=")</f>
        <v>#REF!</v>
      </c>
      <c r="BE92" t="str">
        <f>AND(#REF!,"AAAAAH//Ozg=")</f>
        <v>#REF!</v>
      </c>
      <c r="BF92" t="str">
        <f>AND(#REF!,"AAAAAH//Ozk=")</f>
        <v>#REF!</v>
      </c>
      <c r="BG92" t="str">
        <f>AND(#REF!,"AAAAAH//Ozo=")</f>
        <v>#REF!</v>
      </c>
      <c r="BH92" t="str">
        <f>AND(#REF!,"AAAAAH//Ozs=")</f>
        <v>#REF!</v>
      </c>
      <c r="BI92" t="str">
        <f>AND(#REF!,"AAAAAH//Ozw=")</f>
        <v>#REF!</v>
      </c>
      <c r="BJ92" t="str">
        <f>AND(#REF!,"AAAAAH//Oz0=")</f>
        <v>#REF!</v>
      </c>
      <c r="BK92" t="str">
        <f>AND(#REF!,"AAAAAH//Oz4=")</f>
        <v>#REF!</v>
      </c>
      <c r="BL92" t="str">
        <f>AND(#REF!,"AAAAAH//Oz8=")</f>
        <v>#REF!</v>
      </c>
      <c r="BM92" t="str">
        <f>AND(#REF!,"AAAAAH//O0A=")</f>
        <v>#REF!</v>
      </c>
      <c r="BN92" t="str">
        <f>AND(#REF!,"AAAAAH//O0E=")</f>
        <v>#REF!</v>
      </c>
      <c r="BO92" t="str">
        <f>AND(#REF!,"AAAAAH//O0I=")</f>
        <v>#REF!</v>
      </c>
      <c r="BP92" t="str">
        <f>AND(#REF!,"AAAAAH//O0M=")</f>
        <v>#REF!</v>
      </c>
      <c r="BQ92" t="str">
        <f>AND(#REF!,"AAAAAH//O0Q=")</f>
        <v>#REF!</v>
      </c>
      <c r="BR92" t="str">
        <f>AND(#REF!,"AAAAAH//O0U=")</f>
        <v>#REF!</v>
      </c>
      <c r="BS92" t="str">
        <f>AND(#REF!,"AAAAAH//O0Y=")</f>
        <v>#REF!</v>
      </c>
      <c r="BT92" t="str">
        <f>AND(#REF!,"AAAAAH//O0c=")</f>
        <v>#REF!</v>
      </c>
      <c r="BU92" t="str">
        <f>AND(#REF!,"AAAAAH//O0g=")</f>
        <v>#REF!</v>
      </c>
      <c r="BV92" t="str">
        <f>AND(#REF!,"AAAAAH//O0k=")</f>
        <v>#REF!</v>
      </c>
      <c r="BW92" t="str">
        <f>AND(#REF!,"AAAAAH//O0o=")</f>
        <v>#REF!</v>
      </c>
      <c r="BX92" t="str">
        <f>AND(#REF!,"AAAAAH//O0s=")</f>
        <v>#REF!</v>
      </c>
      <c r="BY92" t="str">
        <f>AND(#REF!,"AAAAAH//O0w=")</f>
        <v>#REF!</v>
      </c>
      <c r="BZ92" t="str">
        <f>AND(#REF!,"AAAAAH//O00=")</f>
        <v>#REF!</v>
      </c>
      <c r="CA92" t="str">
        <f>AND(#REF!,"AAAAAH//O04=")</f>
        <v>#REF!</v>
      </c>
      <c r="CB92" t="str">
        <f>AND(#REF!,"AAAAAH//O08=")</f>
        <v>#REF!</v>
      </c>
      <c r="CC92" t="str">
        <f>AND(#REF!,"AAAAAH//O1A=")</f>
        <v>#REF!</v>
      </c>
      <c r="CD92" t="str">
        <f>AND(#REF!,"AAAAAH//O1E=")</f>
        <v>#REF!</v>
      </c>
      <c r="CE92" t="str">
        <f>AND(#REF!,"AAAAAH//O1I=")</f>
        <v>#REF!</v>
      </c>
      <c r="CF92" t="str">
        <f>AND(#REF!,"AAAAAH//O1M=")</f>
        <v>#REF!</v>
      </c>
      <c r="CG92" t="str">
        <f>AND(#REF!,"AAAAAH//O1Q=")</f>
        <v>#REF!</v>
      </c>
      <c r="CH92" t="str">
        <f>AND(#REF!,"AAAAAH//O1U=")</f>
        <v>#REF!</v>
      </c>
      <c r="CI92" t="str">
        <f>AND(#REF!,"AAAAAH//O1Y=")</f>
        <v>#REF!</v>
      </c>
      <c r="CJ92" t="str">
        <f>AND(#REF!,"AAAAAH//O1c=")</f>
        <v>#REF!</v>
      </c>
      <c r="CK92" t="str">
        <f>AND(#REF!,"AAAAAH//O1g=")</f>
        <v>#REF!</v>
      </c>
      <c r="CL92" t="str">
        <f>AND(#REF!,"AAAAAH//O1k=")</f>
        <v>#REF!</v>
      </c>
      <c r="CM92" t="str">
        <f>AND(#REF!,"AAAAAH//O1o=")</f>
        <v>#REF!</v>
      </c>
      <c r="CN92" t="str">
        <f>AND(#REF!,"AAAAAH//O1s=")</f>
        <v>#REF!</v>
      </c>
      <c r="CO92" t="str">
        <f>AND(#REF!,"AAAAAH//O1w=")</f>
        <v>#REF!</v>
      </c>
      <c r="CP92" t="str">
        <f>AND(#REF!,"AAAAAH//O10=")</f>
        <v>#REF!</v>
      </c>
      <c r="CQ92" t="str">
        <f>AND(#REF!,"AAAAAH//O14=")</f>
        <v>#REF!</v>
      </c>
      <c r="CR92" t="str">
        <f>AND(#REF!,"AAAAAH//O18=")</f>
        <v>#REF!</v>
      </c>
      <c r="CS92" t="str">
        <f>AND(#REF!,"AAAAAH//O2A=")</f>
        <v>#REF!</v>
      </c>
      <c r="CT92" t="str">
        <f>AND(#REF!,"AAAAAH//O2E=")</f>
        <v>#REF!</v>
      </c>
      <c r="CU92" t="str">
        <f>AND(#REF!,"AAAAAH//O2I=")</f>
        <v>#REF!</v>
      </c>
      <c r="CV92" t="str">
        <f>AND(#REF!,"AAAAAH//O2M=")</f>
        <v>#REF!</v>
      </c>
      <c r="CW92" t="str">
        <f>AND(#REF!,"AAAAAH//O2Q=")</f>
        <v>#REF!</v>
      </c>
      <c r="CX92" t="str">
        <f>AND(#REF!,"AAAAAH//O2U=")</f>
        <v>#REF!</v>
      </c>
      <c r="CY92" t="str">
        <f>AND(#REF!,"AAAAAH//O2Y=")</f>
        <v>#REF!</v>
      </c>
      <c r="CZ92" t="str">
        <f>AND(#REF!,"AAAAAH//O2c=")</f>
        <v>#REF!</v>
      </c>
      <c r="DA92" t="str">
        <f>IF(#REF!,"AAAAAH//O2g=",0)</f>
        <v>#REF!</v>
      </c>
      <c r="DB92" t="str">
        <f>AND(#REF!,"AAAAAH//O2k=")</f>
        <v>#REF!</v>
      </c>
      <c r="DC92" t="str">
        <f>AND(#REF!,"AAAAAH//O2o=")</f>
        <v>#REF!</v>
      </c>
      <c r="DD92" t="str">
        <f>AND(#REF!,"AAAAAH//O2s=")</f>
        <v>#REF!</v>
      </c>
      <c r="DE92" t="str">
        <f>AND(#REF!,"AAAAAH//O2w=")</f>
        <v>#REF!</v>
      </c>
      <c r="DF92" t="str">
        <f>AND(#REF!,"AAAAAH//O20=")</f>
        <v>#REF!</v>
      </c>
      <c r="DG92" t="str">
        <f>AND(#REF!,"AAAAAH//O24=")</f>
        <v>#REF!</v>
      </c>
      <c r="DH92" t="str">
        <f>AND(#REF!,"AAAAAH//O28=")</f>
        <v>#REF!</v>
      </c>
      <c r="DI92" t="str">
        <f>AND(#REF!,"AAAAAH//O3A=")</f>
        <v>#REF!</v>
      </c>
      <c r="DJ92" t="str">
        <f>AND(#REF!,"AAAAAH//O3E=")</f>
        <v>#REF!</v>
      </c>
      <c r="DK92" t="str">
        <f>AND(#REF!,"AAAAAH//O3I=")</f>
        <v>#REF!</v>
      </c>
      <c r="DL92" t="str">
        <f>AND(#REF!,"AAAAAH//O3M=")</f>
        <v>#REF!</v>
      </c>
      <c r="DM92" t="str">
        <f>AND(#REF!,"AAAAAH//O3Q=")</f>
        <v>#REF!</v>
      </c>
      <c r="DN92" t="str">
        <f>AND(#REF!,"AAAAAH//O3U=")</f>
        <v>#REF!</v>
      </c>
      <c r="DO92" t="str">
        <f>AND(#REF!,"AAAAAH//O3Y=")</f>
        <v>#REF!</v>
      </c>
      <c r="DP92" t="str">
        <f>AND(#REF!,"AAAAAH//O3c=")</f>
        <v>#REF!</v>
      </c>
      <c r="DQ92" t="str">
        <f>AND(#REF!,"AAAAAH//O3g=")</f>
        <v>#REF!</v>
      </c>
      <c r="DR92" t="str">
        <f>AND(#REF!,"AAAAAH//O3k=")</f>
        <v>#REF!</v>
      </c>
      <c r="DS92" t="str">
        <f>AND(#REF!,"AAAAAH//O3o=")</f>
        <v>#REF!</v>
      </c>
      <c r="DT92" t="str">
        <f>AND(#REF!,"AAAAAH//O3s=")</f>
        <v>#REF!</v>
      </c>
      <c r="DU92" t="str">
        <f>AND(#REF!,"AAAAAH//O3w=")</f>
        <v>#REF!</v>
      </c>
      <c r="DV92" t="str">
        <f>AND(#REF!,"AAAAAH//O30=")</f>
        <v>#REF!</v>
      </c>
      <c r="DW92" t="str">
        <f>AND(#REF!,"AAAAAH//O34=")</f>
        <v>#REF!</v>
      </c>
      <c r="DX92" t="str">
        <f>AND(#REF!,"AAAAAH//O38=")</f>
        <v>#REF!</v>
      </c>
      <c r="DY92" t="str">
        <f>AND(#REF!,"AAAAAH//O4A=")</f>
        <v>#REF!</v>
      </c>
      <c r="DZ92" t="str">
        <f>AND(#REF!,"AAAAAH//O4E=")</f>
        <v>#REF!</v>
      </c>
      <c r="EA92" t="str">
        <f>AND(#REF!,"AAAAAH//O4I=")</f>
        <v>#REF!</v>
      </c>
      <c r="EB92" t="str">
        <f>AND(#REF!,"AAAAAH//O4M=")</f>
        <v>#REF!</v>
      </c>
      <c r="EC92" t="str">
        <f>AND(#REF!,"AAAAAH//O4Q=")</f>
        <v>#REF!</v>
      </c>
      <c r="ED92" t="str">
        <f>AND(#REF!,"AAAAAH//O4U=")</f>
        <v>#REF!</v>
      </c>
      <c r="EE92" t="str">
        <f>AND(#REF!,"AAAAAH//O4Y=")</f>
        <v>#REF!</v>
      </c>
      <c r="EF92" t="str">
        <f>AND(#REF!,"AAAAAH//O4c=")</f>
        <v>#REF!</v>
      </c>
      <c r="EG92" t="str">
        <f>AND(#REF!,"AAAAAH//O4g=")</f>
        <v>#REF!</v>
      </c>
      <c r="EH92" t="str">
        <f>AND(#REF!,"AAAAAH//O4k=")</f>
        <v>#REF!</v>
      </c>
      <c r="EI92" t="str">
        <f>AND(#REF!,"AAAAAH//O4o=")</f>
        <v>#REF!</v>
      </c>
      <c r="EJ92" t="str">
        <f>AND(#REF!,"AAAAAH//O4s=")</f>
        <v>#REF!</v>
      </c>
      <c r="EK92" t="str">
        <f>AND(#REF!,"AAAAAH//O4w=")</f>
        <v>#REF!</v>
      </c>
      <c r="EL92" t="str">
        <f>AND(#REF!,"AAAAAH//O40=")</f>
        <v>#REF!</v>
      </c>
      <c r="EM92" t="str">
        <f>AND(#REF!,"AAAAAH//O44=")</f>
        <v>#REF!</v>
      </c>
      <c r="EN92" t="str">
        <f>AND(#REF!,"AAAAAH//O48=")</f>
        <v>#REF!</v>
      </c>
      <c r="EO92" t="str">
        <f>AND(#REF!,"AAAAAH//O5A=")</f>
        <v>#REF!</v>
      </c>
      <c r="EP92" t="str">
        <f>AND(#REF!,"AAAAAH//O5E=")</f>
        <v>#REF!</v>
      </c>
      <c r="EQ92" t="str">
        <f>AND(#REF!,"AAAAAH//O5I=")</f>
        <v>#REF!</v>
      </c>
      <c r="ER92" t="str">
        <f>AND(#REF!,"AAAAAH//O5M=")</f>
        <v>#REF!</v>
      </c>
      <c r="ES92" t="str">
        <f>AND(#REF!,"AAAAAH//O5Q=")</f>
        <v>#REF!</v>
      </c>
      <c r="ET92" t="str">
        <f>AND(#REF!,"AAAAAH//O5U=")</f>
        <v>#REF!</v>
      </c>
      <c r="EU92" t="str">
        <f>AND(#REF!,"AAAAAH//O5Y=")</f>
        <v>#REF!</v>
      </c>
      <c r="EV92" t="str">
        <f>AND(#REF!,"AAAAAH//O5c=")</f>
        <v>#REF!</v>
      </c>
      <c r="EW92" t="str">
        <f>AND(#REF!,"AAAAAH//O5g=")</f>
        <v>#REF!</v>
      </c>
      <c r="EX92" t="str">
        <f>AND(#REF!,"AAAAAH//O5k=")</f>
        <v>#REF!</v>
      </c>
      <c r="EY92" t="str">
        <f>AND(#REF!,"AAAAAH//O5o=")</f>
        <v>#REF!</v>
      </c>
      <c r="EZ92" t="str">
        <f>AND(#REF!,"AAAAAH//O5s=")</f>
        <v>#REF!</v>
      </c>
      <c r="FA92" t="str">
        <f>AND(#REF!,"AAAAAH//O5w=")</f>
        <v>#REF!</v>
      </c>
      <c r="FB92" t="str">
        <f>AND(#REF!,"AAAAAH//O50=")</f>
        <v>#REF!</v>
      </c>
      <c r="FC92" t="str">
        <f>AND(#REF!,"AAAAAH//O54=")</f>
        <v>#REF!</v>
      </c>
      <c r="FD92" t="str">
        <f>AND(#REF!,"AAAAAH//O58=")</f>
        <v>#REF!</v>
      </c>
      <c r="FE92" t="str">
        <f>AND(#REF!,"AAAAAH//O6A=")</f>
        <v>#REF!</v>
      </c>
      <c r="FF92" t="str">
        <f>AND(#REF!,"AAAAAH//O6E=")</f>
        <v>#REF!</v>
      </c>
      <c r="FG92" t="str">
        <f>AND(#REF!,"AAAAAH//O6I=")</f>
        <v>#REF!</v>
      </c>
      <c r="FH92" t="str">
        <f>AND(#REF!,"AAAAAH//O6M=")</f>
        <v>#REF!</v>
      </c>
      <c r="FI92" t="str">
        <f>AND(#REF!,"AAAAAH//O6Q=")</f>
        <v>#REF!</v>
      </c>
      <c r="FJ92" t="str">
        <f>AND(#REF!,"AAAAAH//O6U=")</f>
        <v>#REF!</v>
      </c>
      <c r="FK92" t="str">
        <f>AND(#REF!,"AAAAAH//O6Y=")</f>
        <v>#REF!</v>
      </c>
      <c r="FL92" t="str">
        <f>AND(#REF!,"AAAAAH//O6c=")</f>
        <v>#REF!</v>
      </c>
      <c r="FM92" t="str">
        <f>AND(#REF!,"AAAAAH//O6g=")</f>
        <v>#REF!</v>
      </c>
      <c r="FN92" t="str">
        <f>AND(#REF!,"AAAAAH//O6k=")</f>
        <v>#REF!</v>
      </c>
      <c r="FO92" t="str">
        <f>AND(#REF!,"AAAAAH//O6o=")</f>
        <v>#REF!</v>
      </c>
      <c r="FP92" t="str">
        <f>AND(#REF!,"AAAAAH//O6s=")</f>
        <v>#REF!</v>
      </c>
      <c r="FQ92" t="str">
        <f>AND(#REF!,"AAAAAH//O6w=")</f>
        <v>#REF!</v>
      </c>
      <c r="FR92" t="str">
        <f>AND(#REF!,"AAAAAH//O60=")</f>
        <v>#REF!</v>
      </c>
      <c r="FS92" t="str">
        <f>AND(#REF!,"AAAAAH//O64=")</f>
        <v>#REF!</v>
      </c>
      <c r="FT92" t="str">
        <f>AND(#REF!,"AAAAAH//O68=")</f>
        <v>#REF!</v>
      </c>
      <c r="FU92" t="str">
        <f>AND(#REF!,"AAAAAH//O7A=")</f>
        <v>#REF!</v>
      </c>
      <c r="FV92" t="str">
        <f>AND(#REF!,"AAAAAH//O7E=")</f>
        <v>#REF!</v>
      </c>
      <c r="FW92" t="str">
        <f>AND(#REF!,"AAAAAH//O7I=")</f>
        <v>#REF!</v>
      </c>
      <c r="FX92" t="str">
        <f>AND(#REF!,"AAAAAH//O7M=")</f>
        <v>#REF!</v>
      </c>
      <c r="FY92" t="str">
        <f>IF(#REF!,"AAAAAH//O7Q=",0)</f>
        <v>#REF!</v>
      </c>
      <c r="FZ92" t="str">
        <f>AND(#REF!,"AAAAAH//O7U=")</f>
        <v>#REF!</v>
      </c>
      <c r="GA92" t="str">
        <f>AND(#REF!,"AAAAAH//O7Y=")</f>
        <v>#REF!</v>
      </c>
      <c r="GB92" t="str">
        <f>AND(#REF!,"AAAAAH//O7c=")</f>
        <v>#REF!</v>
      </c>
      <c r="GC92" t="str">
        <f>AND(#REF!,"AAAAAH//O7g=")</f>
        <v>#REF!</v>
      </c>
      <c r="GD92" t="str">
        <f>AND(#REF!,"AAAAAH//O7k=")</f>
        <v>#REF!</v>
      </c>
      <c r="GE92" t="str">
        <f>AND(#REF!,"AAAAAH//O7o=")</f>
        <v>#REF!</v>
      </c>
      <c r="GF92" t="str">
        <f>AND(#REF!,"AAAAAH//O7s=")</f>
        <v>#REF!</v>
      </c>
      <c r="GG92" t="str">
        <f>AND(#REF!,"AAAAAH//O7w=")</f>
        <v>#REF!</v>
      </c>
      <c r="GH92" t="str">
        <f>AND(#REF!,"AAAAAH//O70=")</f>
        <v>#REF!</v>
      </c>
      <c r="GI92" t="str">
        <f>AND(#REF!,"AAAAAH//O74=")</f>
        <v>#REF!</v>
      </c>
      <c r="GJ92" t="str">
        <f>AND(#REF!,"AAAAAH//O78=")</f>
        <v>#REF!</v>
      </c>
      <c r="GK92" t="str">
        <f>AND(#REF!,"AAAAAH//O8A=")</f>
        <v>#REF!</v>
      </c>
      <c r="GL92" t="str">
        <f>AND(#REF!,"AAAAAH//O8E=")</f>
        <v>#REF!</v>
      </c>
      <c r="GM92" t="str">
        <f>AND(#REF!,"AAAAAH//O8I=")</f>
        <v>#REF!</v>
      </c>
      <c r="GN92" t="str">
        <f>AND(#REF!,"AAAAAH//O8M=")</f>
        <v>#REF!</v>
      </c>
      <c r="GO92" t="str">
        <f>AND(#REF!,"AAAAAH//O8Q=")</f>
        <v>#REF!</v>
      </c>
      <c r="GP92" t="str">
        <f>AND(#REF!,"AAAAAH//O8U=")</f>
        <v>#REF!</v>
      </c>
      <c r="GQ92" t="str">
        <f>AND(#REF!,"AAAAAH//O8Y=")</f>
        <v>#REF!</v>
      </c>
      <c r="GR92" t="str">
        <f>AND(#REF!,"AAAAAH//O8c=")</f>
        <v>#REF!</v>
      </c>
      <c r="GS92" t="str">
        <f>AND(#REF!,"AAAAAH//O8g=")</f>
        <v>#REF!</v>
      </c>
      <c r="GT92" t="str">
        <f>AND(#REF!,"AAAAAH//O8k=")</f>
        <v>#REF!</v>
      </c>
      <c r="GU92" t="str">
        <f>AND(#REF!,"AAAAAH//O8o=")</f>
        <v>#REF!</v>
      </c>
      <c r="GV92" t="str">
        <f>AND(#REF!,"AAAAAH//O8s=")</f>
        <v>#REF!</v>
      </c>
      <c r="GW92" t="str">
        <f>AND(#REF!,"AAAAAH//O8w=")</f>
        <v>#REF!</v>
      </c>
      <c r="GX92" t="str">
        <f>AND(#REF!,"AAAAAH//O80=")</f>
        <v>#REF!</v>
      </c>
      <c r="GY92" t="str">
        <f>AND(#REF!,"AAAAAH//O84=")</f>
        <v>#REF!</v>
      </c>
      <c r="GZ92" t="str">
        <f>AND(#REF!,"AAAAAH//O88=")</f>
        <v>#REF!</v>
      </c>
      <c r="HA92" t="str">
        <f>AND(#REF!,"AAAAAH//O9A=")</f>
        <v>#REF!</v>
      </c>
      <c r="HB92" t="str">
        <f>AND(#REF!,"AAAAAH//O9E=")</f>
        <v>#REF!</v>
      </c>
      <c r="HC92" t="str">
        <f>AND(#REF!,"AAAAAH//O9I=")</f>
        <v>#REF!</v>
      </c>
      <c r="HD92" t="str">
        <f>AND(#REF!,"AAAAAH//O9M=")</f>
        <v>#REF!</v>
      </c>
      <c r="HE92" t="str">
        <f>AND(#REF!,"AAAAAH//O9Q=")</f>
        <v>#REF!</v>
      </c>
      <c r="HF92" t="str">
        <f>AND(#REF!,"AAAAAH//O9U=")</f>
        <v>#REF!</v>
      </c>
      <c r="HG92" t="str">
        <f>AND(#REF!,"AAAAAH//O9Y=")</f>
        <v>#REF!</v>
      </c>
      <c r="HH92" t="str">
        <f>AND(#REF!,"AAAAAH//O9c=")</f>
        <v>#REF!</v>
      </c>
      <c r="HI92" t="str">
        <f>AND(#REF!,"AAAAAH//O9g=")</f>
        <v>#REF!</v>
      </c>
      <c r="HJ92" t="str">
        <f>AND(#REF!,"AAAAAH//O9k=")</f>
        <v>#REF!</v>
      </c>
      <c r="HK92" t="str">
        <f>AND(#REF!,"AAAAAH//O9o=")</f>
        <v>#REF!</v>
      </c>
      <c r="HL92" t="str">
        <f>AND(#REF!,"AAAAAH//O9s=")</f>
        <v>#REF!</v>
      </c>
      <c r="HM92" t="str">
        <f>AND(#REF!,"AAAAAH//O9w=")</f>
        <v>#REF!</v>
      </c>
      <c r="HN92" t="str">
        <f>AND(#REF!,"AAAAAH//O90=")</f>
        <v>#REF!</v>
      </c>
      <c r="HO92" t="str">
        <f>AND(#REF!,"AAAAAH//O94=")</f>
        <v>#REF!</v>
      </c>
      <c r="HP92" t="str">
        <f>AND(#REF!,"AAAAAH//O98=")</f>
        <v>#REF!</v>
      </c>
      <c r="HQ92" t="str">
        <f>AND(#REF!,"AAAAAH//O+A=")</f>
        <v>#REF!</v>
      </c>
      <c r="HR92" t="str">
        <f>AND(#REF!,"AAAAAH//O+E=")</f>
        <v>#REF!</v>
      </c>
      <c r="HS92" t="str">
        <f>AND(#REF!,"AAAAAH//O+I=")</f>
        <v>#REF!</v>
      </c>
      <c r="HT92" t="str">
        <f>AND(#REF!,"AAAAAH//O+M=")</f>
        <v>#REF!</v>
      </c>
      <c r="HU92" t="str">
        <f>AND(#REF!,"AAAAAH//O+Q=")</f>
        <v>#REF!</v>
      </c>
      <c r="HV92" t="str">
        <f>AND(#REF!,"AAAAAH//O+U=")</f>
        <v>#REF!</v>
      </c>
      <c r="HW92" t="str">
        <f>AND(#REF!,"AAAAAH//O+Y=")</f>
        <v>#REF!</v>
      </c>
      <c r="HX92" t="str">
        <f>AND(#REF!,"AAAAAH//O+c=")</f>
        <v>#REF!</v>
      </c>
      <c r="HY92" t="str">
        <f>AND(#REF!,"AAAAAH//O+g=")</f>
        <v>#REF!</v>
      </c>
      <c r="HZ92" t="str">
        <f>AND(#REF!,"AAAAAH//O+k=")</f>
        <v>#REF!</v>
      </c>
      <c r="IA92" t="str">
        <f>AND(#REF!,"AAAAAH//O+o=")</f>
        <v>#REF!</v>
      </c>
      <c r="IB92" t="str">
        <f>AND(#REF!,"AAAAAH//O+s=")</f>
        <v>#REF!</v>
      </c>
      <c r="IC92" t="str">
        <f>AND(#REF!,"AAAAAH//O+w=")</f>
        <v>#REF!</v>
      </c>
      <c r="ID92" t="str">
        <f>AND(#REF!,"AAAAAH//O+0=")</f>
        <v>#REF!</v>
      </c>
      <c r="IE92" t="str">
        <f>AND(#REF!,"AAAAAH//O+4=")</f>
        <v>#REF!</v>
      </c>
      <c r="IF92" t="str">
        <f>AND(#REF!,"AAAAAH//O+8=")</f>
        <v>#REF!</v>
      </c>
      <c r="IG92" t="str">
        <f>AND(#REF!,"AAAAAH//O/A=")</f>
        <v>#REF!</v>
      </c>
      <c r="IH92" t="str">
        <f>AND(#REF!,"AAAAAH//O/E=")</f>
        <v>#REF!</v>
      </c>
      <c r="II92" t="str">
        <f>AND(#REF!,"AAAAAH//O/I=")</f>
        <v>#REF!</v>
      </c>
      <c r="IJ92" t="str">
        <f>AND(#REF!,"AAAAAH//O/M=")</f>
        <v>#REF!</v>
      </c>
      <c r="IK92" t="str">
        <f>AND(#REF!,"AAAAAH//O/Q=")</f>
        <v>#REF!</v>
      </c>
      <c r="IL92" t="str">
        <f>AND(#REF!,"AAAAAH//O/U=")</f>
        <v>#REF!</v>
      </c>
      <c r="IM92" t="str">
        <f>AND(#REF!,"AAAAAH//O/Y=")</f>
        <v>#REF!</v>
      </c>
      <c r="IN92" t="str">
        <f>AND(#REF!,"AAAAAH//O/c=")</f>
        <v>#REF!</v>
      </c>
      <c r="IO92" t="str">
        <f>AND(#REF!,"AAAAAH//O/g=")</f>
        <v>#REF!</v>
      </c>
      <c r="IP92" t="str">
        <f>AND(#REF!,"AAAAAH//O/k=")</f>
        <v>#REF!</v>
      </c>
      <c r="IQ92" t="str">
        <f>AND(#REF!,"AAAAAH//O/o=")</f>
        <v>#REF!</v>
      </c>
      <c r="IR92" t="str">
        <f>AND(#REF!,"AAAAAH//O/s=")</f>
        <v>#REF!</v>
      </c>
      <c r="IS92" t="str">
        <f>AND(#REF!,"AAAAAH//O/w=")</f>
        <v>#REF!</v>
      </c>
      <c r="IT92" t="str">
        <f>AND(#REF!,"AAAAAH//O/0=")</f>
        <v>#REF!</v>
      </c>
      <c r="IU92" t="str">
        <f>AND(#REF!,"AAAAAH//O/4=")</f>
        <v>#REF!</v>
      </c>
      <c r="IV92" t="str">
        <f>AND(#REF!,"AAAAAH//O/8=")</f>
        <v>#REF!</v>
      </c>
    </row>
    <row r="93" ht="15.75" customHeight="1">
      <c r="A93" t="str">
        <f>IF(#REF!,"AAAAAFdH/gA=",0)</f>
        <v>#REF!</v>
      </c>
      <c r="B93" t="str">
        <f>AND(#REF!,"AAAAAFdH/gE=")</f>
        <v>#REF!</v>
      </c>
      <c r="C93" t="str">
        <f>AND(#REF!,"AAAAAFdH/gI=")</f>
        <v>#REF!</v>
      </c>
      <c r="D93" t="str">
        <f>AND(#REF!,"AAAAAFdH/gM=")</f>
        <v>#REF!</v>
      </c>
      <c r="E93" t="str">
        <f>IF(#REF!,"AAAAAFdH/gQ=",0)</f>
        <v>#REF!</v>
      </c>
      <c r="F93" t="str">
        <f>AND(#REF!,"AAAAAFdH/gU=")</f>
        <v>#REF!</v>
      </c>
      <c r="G93" t="str">
        <f>AND(#REF!,"AAAAAFdH/gY=")</f>
        <v>#REF!</v>
      </c>
      <c r="H93" t="str">
        <f>AND(#REF!,"AAAAAFdH/gc=")</f>
        <v>#REF!</v>
      </c>
      <c r="I93" t="str">
        <f>IF(#REF!,"AAAAAFdH/gg=",0)</f>
        <v>#REF!</v>
      </c>
      <c r="J93" t="str">
        <f>AND(#REF!,"AAAAAFdH/gk=")</f>
        <v>#REF!</v>
      </c>
      <c r="K93" t="str">
        <f>AND(#REF!,"AAAAAFdH/go=")</f>
        <v>#REF!</v>
      </c>
      <c r="L93" t="str">
        <f>AND(#REF!,"AAAAAFdH/gs=")</f>
        <v>#REF!</v>
      </c>
      <c r="M93" t="str">
        <f>IF(#REF!,"AAAAAFdH/gw=",0)</f>
        <v>#REF!</v>
      </c>
      <c r="N93" t="str">
        <f>AND(#REF!,"AAAAAFdH/g0=")</f>
        <v>#REF!</v>
      </c>
      <c r="O93" t="str">
        <f>AND(#REF!,"AAAAAFdH/g4=")</f>
        <v>#REF!</v>
      </c>
      <c r="P93" t="str">
        <f>AND(#REF!,"AAAAAFdH/g8=")</f>
        <v>#REF!</v>
      </c>
      <c r="Q93" t="str">
        <f>IF(#REF!,"AAAAAFdH/hA=",0)</f>
        <v>#REF!</v>
      </c>
      <c r="R93" t="str">
        <f>AND(#REF!,"AAAAAFdH/hE=")</f>
        <v>#REF!</v>
      </c>
      <c r="S93" t="str">
        <f>AND(#REF!,"AAAAAFdH/hI=")</f>
        <v>#REF!</v>
      </c>
      <c r="T93" t="str">
        <f>AND(#REF!,"AAAAAFdH/hM=")</f>
        <v>#REF!</v>
      </c>
      <c r="U93" t="str">
        <f>IF(#REF!,"AAAAAFdH/hQ=",0)</f>
        <v>#REF!</v>
      </c>
      <c r="V93" t="str">
        <f>AND(#REF!,"AAAAAFdH/hU=")</f>
        <v>#REF!</v>
      </c>
      <c r="W93" t="str">
        <f>AND(#REF!,"AAAAAFdH/hY=")</f>
        <v>#REF!</v>
      </c>
      <c r="X93" t="str">
        <f>AND(#REF!,"AAAAAFdH/hc=")</f>
        <v>#REF!</v>
      </c>
      <c r="Y93" t="str">
        <f>IF(#REF!,"AAAAAFdH/hg=",0)</f>
        <v>#REF!</v>
      </c>
      <c r="Z93" t="str">
        <f>AND(#REF!,"AAAAAFdH/hk=")</f>
        <v>#REF!</v>
      </c>
      <c r="AA93" t="str">
        <f>AND(#REF!,"AAAAAFdH/ho=")</f>
        <v>#REF!</v>
      </c>
      <c r="AB93" t="str">
        <f>AND(#REF!,"AAAAAFdH/hs=")</f>
        <v>#REF!</v>
      </c>
      <c r="AC93" t="str">
        <f>IF(#REF!,"AAAAAFdH/hw=",0)</f>
        <v>#REF!</v>
      </c>
      <c r="AD93" t="str">
        <f>IF(#REF!,"AAAAAFdH/h0=",0)</f>
        <v>#REF!</v>
      </c>
      <c r="AE93" t="str">
        <f>IF(#REF!,"AAAAAFdH/h4=",0)</f>
        <v>#REF!</v>
      </c>
      <c r="AF93" t="str">
        <f>IF(#REF!,"AAAAAFdH/h8=",0)</f>
        <v>#REF!</v>
      </c>
      <c r="AG93" t="str">
        <f>IF(#REF!,"AAAAAFdH/iA=",0)</f>
        <v>#REF!</v>
      </c>
      <c r="AH93" t="str">
        <f>IF(#REF!,"AAAAAFdH/iE=",0)</f>
        <v>#REF!</v>
      </c>
      <c r="AI93" t="str">
        <f>IF(#REF!,"AAAAAFdH/iI=",0)</f>
        <v>#REF!</v>
      </c>
      <c r="AJ93" t="str">
        <f>IF(#REF!,"AAAAAFdH/iM=",0)</f>
        <v>#REF!</v>
      </c>
      <c r="AK93" t="str">
        <f>IF(#REF!,"AAAAAFdH/iQ=",0)</f>
        <v>#REF!</v>
      </c>
      <c r="AL93" t="str">
        <f>IF(#REF!,"AAAAAFdH/iU=",0)</f>
        <v>#REF!</v>
      </c>
      <c r="AM93" t="str">
        <f>IF(#REF!,"AAAAAFdH/iY=",0)</f>
        <v>#REF!</v>
      </c>
      <c r="AN93" t="str">
        <f>IF(#REF!,"AAAAAFdH/ic=",0)</f>
        <v>#REF!</v>
      </c>
      <c r="AO93" t="str">
        <f>IF(#REF!,"AAAAAFdH/ig=",0)</f>
        <v>#REF!</v>
      </c>
      <c r="AP93" t="str">
        <f>IF(#REF!,"AAAAAFdH/ik=",0)</f>
        <v>#REF!</v>
      </c>
      <c r="AQ93" t="str">
        <f>IF(#REF!,"AAAAAFdH/io=",0)</f>
        <v>#REF!</v>
      </c>
      <c r="AR93" t="str">
        <f>IF(#REF!,"AAAAAFdH/is=",0)</f>
        <v>#REF!</v>
      </c>
      <c r="AS93" t="str">
        <f>IF(#REF!,"AAAAAFdH/iw=",0)</f>
        <v>#REF!</v>
      </c>
      <c r="AT93" t="str">
        <f>IF(#REF!,"AAAAAFdH/i0=",0)</f>
        <v>#REF!</v>
      </c>
      <c r="AU93" t="str">
        <f>IF(#REF!,"AAAAAFdH/i4=",0)</f>
        <v>#REF!</v>
      </c>
      <c r="AV93" t="str">
        <f>IF(#REF!,"AAAAAFdH/i8=",0)</f>
        <v>#REF!</v>
      </c>
      <c r="AW93" t="str">
        <f>IF(#REF!,"AAAAAFdH/jA=",0)</f>
        <v>#REF!</v>
      </c>
      <c r="AX93" t="str">
        <f>IF(#REF!,"AAAAAFdH/jE=",0)</f>
        <v>#REF!</v>
      </c>
      <c r="AY93" t="str">
        <f>IF(#REF!,"AAAAAFdH/jI=",0)</f>
        <v>#REF!</v>
      </c>
      <c r="AZ93" t="str">
        <f>IF(#REF!,"AAAAAFdH/jM=",0)</f>
        <v>#REF!</v>
      </c>
      <c r="BA93" t="str">
        <f>IF(#REF!,"AAAAAFdH/jQ=",0)</f>
        <v>#REF!</v>
      </c>
      <c r="BB93" t="str">
        <f>IF(#REF!,"AAAAAFdH/jU=",0)</f>
        <v>#REF!</v>
      </c>
      <c r="BC93" t="str">
        <f>IF(#REF!,"AAAAAFdH/jY=",0)</f>
        <v>#REF!</v>
      </c>
      <c r="BD93" t="str">
        <f>IF(#REF!,"AAAAAFdH/jc=",0)</f>
        <v>#REF!</v>
      </c>
      <c r="BE93" t="str">
        <f>IF(#REF!,"AAAAAFdH/jg=",0)</f>
        <v>#REF!</v>
      </c>
      <c r="BF93" t="str">
        <f>IF(#REF!,"AAAAAFdH/jk=",0)</f>
        <v>#REF!</v>
      </c>
      <c r="BG93" t="str">
        <f>IF(#REF!,"AAAAAFdH/jo=",0)</f>
        <v>#REF!</v>
      </c>
      <c r="BH93" t="str">
        <f>IF(#REF!,"AAAAAFdH/js=",0)</f>
        <v>#REF!</v>
      </c>
      <c r="BI93" t="str">
        <f>IF(#REF!,"AAAAAFdH/jw=",0)</f>
        <v>#REF!</v>
      </c>
      <c r="BJ93" t="str">
        <f>IF(#REF!,"AAAAAFdH/j0=",0)</f>
        <v>#REF!</v>
      </c>
      <c r="BK93" t="str">
        <f>IF(#REF!,"AAAAAFdH/j4=",0)</f>
        <v>#REF!</v>
      </c>
      <c r="BL93" t="str">
        <f>IF(#REF!,"AAAAAFdH/j8=",0)</f>
        <v>#REF!</v>
      </c>
      <c r="BM93" t="str">
        <f>IF(#REF!,"AAAAAFdH/kA=",0)</f>
        <v>#REF!</v>
      </c>
      <c r="BN93" t="str">
        <f>IF(#REF!,"AAAAAFdH/kE=",0)</f>
        <v>#REF!</v>
      </c>
      <c r="BO93" t="str">
        <f>IF(#REF!,"AAAAAFdH/kI=",0)</f>
        <v>#REF!</v>
      </c>
      <c r="BP93" t="str">
        <f>IF(#REF!,"AAAAAFdH/kM=",0)</f>
        <v>#REF!</v>
      </c>
      <c r="BQ93" t="str">
        <f>IF(#REF!,"AAAAAFdH/kQ=",0)</f>
        <v>#REF!</v>
      </c>
      <c r="BR93" t="str">
        <f>IF(#REF!,"AAAAAFdH/kU=",0)</f>
        <v>#REF!</v>
      </c>
      <c r="BS93" t="str">
        <f>IF(#REF!,"AAAAAFdH/kY=",0)</f>
        <v>#REF!</v>
      </c>
      <c r="BT93" t="str">
        <f>IF(#REF!,"AAAAAFdH/kc=",0)</f>
        <v>#REF!</v>
      </c>
      <c r="BU93" t="str">
        <f>IF(#REF!,"AAAAAFdH/kg=",0)</f>
        <v>#REF!</v>
      </c>
      <c r="BV93" t="str">
        <f>IF(#REF!,"AAAAAFdH/kk=",0)</f>
        <v>#REF!</v>
      </c>
      <c r="BW93" t="str">
        <f>IF(#REF!,"AAAAAFdH/ko=",0)</f>
        <v>#REF!</v>
      </c>
      <c r="BX93" t="str">
        <f>IF(#REF!,"AAAAAFdH/ks=",0)</f>
        <v>#REF!</v>
      </c>
      <c r="BY93" t="str">
        <f>IF(#REF!,"AAAAAFdH/kw=",0)</f>
        <v>#REF!</v>
      </c>
      <c r="BZ93" t="str">
        <f>IF(#REF!,"AAAAAFdH/k0=",0)</f>
        <v>#REF!</v>
      </c>
      <c r="CA93" t="str">
        <f>IF(#REF!,"AAAAAFdH/k4=",0)</f>
        <v>#REF!</v>
      </c>
      <c r="CB93" t="str">
        <f>IF(#REF!,"AAAAAFdH/k8=",0)</f>
        <v>#REF!</v>
      </c>
      <c r="CC93" t="str">
        <f>IF(#REF!,"AAAAAFdH/lA=",0)</f>
        <v>#REF!</v>
      </c>
      <c r="CD93" t="str">
        <f>IF(#REF!,"AAAAAFdH/lE=",0)</f>
        <v>#REF!</v>
      </c>
      <c r="CE93" t="str">
        <f>IF(#REF!,"AAAAAFdH/lI=",0)</f>
        <v>#REF!</v>
      </c>
      <c r="CF93" t="str">
        <f>IF(#REF!,"AAAAAFdH/lM=",0)</f>
        <v>#REF!</v>
      </c>
      <c r="CG93" t="str">
        <f>IF(#REF!,"AAAAAFdH/lQ=",0)</f>
        <v>#REF!</v>
      </c>
      <c r="CH93" t="str">
        <f>IF(#REF!,"AAAAAFdH/lU=",0)</f>
        <v>#REF!</v>
      </c>
      <c r="CI93" t="str">
        <f>IF(#REF!,"AAAAAFdH/lY=",0)</f>
        <v>#REF!</v>
      </c>
      <c r="CJ93" t="str">
        <f>IF(#REF!,"AAAAAFdH/lc=",0)</f>
        <v>#REF!</v>
      </c>
      <c r="CK93" t="str">
        <f>IF(#REF!,"AAAAAFdH/lg=",0)</f>
        <v>#REF!</v>
      </c>
      <c r="CL93" t="str">
        <f>IF(#REF!,"AAAAAFdH/lk=",0)</f>
        <v>#REF!</v>
      </c>
      <c r="CM93" t="str">
        <f>IF(#REF!,"AAAAAFdH/lo=",0)</f>
        <v>#REF!</v>
      </c>
      <c r="CN93" t="str">
        <f>IF(#REF!,"AAAAAFdH/ls=",0)</f>
        <v>#REF!</v>
      </c>
      <c r="CO93" t="str">
        <f>IF(#REF!,"AAAAAFdH/lw=",0)</f>
        <v>#REF!</v>
      </c>
      <c r="CP93" t="str">
        <f>IF(#REF!,"AAAAAFdH/l0=",0)</f>
        <v>#REF!</v>
      </c>
      <c r="CQ93" t="str">
        <f>IF(#REF!,"AAAAAFdH/l4=",0)</f>
        <v>#REF!</v>
      </c>
      <c r="CR93" t="str">
        <f>IF(#REF!,"AAAAAFdH/l8=",0)</f>
        <v>#REF!</v>
      </c>
      <c r="CS93" t="str">
        <f>IF(#REF!,"AAAAAFdH/mA=",0)</f>
        <v>#REF!</v>
      </c>
      <c r="CT93" t="str">
        <f>IF(#REF!,"AAAAAFdH/mE=",0)</f>
        <v>#REF!</v>
      </c>
      <c r="CU93" t="str">
        <f>IF(#REF!,"AAAAAFdH/mI=",0)</f>
        <v>#REF!</v>
      </c>
      <c r="CV93" t="str">
        <f>IF(#REF!,"AAAAAFdH/mM=",0)</f>
        <v>#REF!</v>
      </c>
      <c r="CW93" t="str">
        <f>IF(#REF!,"AAAAAFdH/mQ=",0)</f>
        <v>#REF!</v>
      </c>
      <c r="CX93" t="str">
        <f>IF(#REF!,"AAAAAFdH/mU=",0)</f>
        <v>#REF!</v>
      </c>
      <c r="CY93" t="str">
        <f>IF(#REF!,"AAAAAFdH/mY=",0)</f>
        <v>#REF!</v>
      </c>
      <c r="CZ93" t="str">
        <f>IF(#REF!,"AAAAAFdH/mc=",0)</f>
        <v>#REF!</v>
      </c>
      <c r="DA93" t="str">
        <f>AND(#REF!,"AAAAAFdH/mg=")</f>
        <v>#REF!</v>
      </c>
      <c r="DB93" t="str">
        <f>AND(#REF!,"AAAAAFdH/mk=")</f>
        <v>#REF!</v>
      </c>
      <c r="DC93" t="str">
        <f>AND(#REF!,"AAAAAFdH/mo=")</f>
        <v>#REF!</v>
      </c>
      <c r="DD93" t="str">
        <f>AND(#REF!,"AAAAAFdH/ms=")</f>
        <v>#REF!</v>
      </c>
      <c r="DE93" t="str">
        <f>AND(#REF!,"AAAAAFdH/mw=")</f>
        <v>#REF!</v>
      </c>
      <c r="DF93" t="str">
        <f>AND(#REF!,"AAAAAFdH/m0=")</f>
        <v>#REF!</v>
      </c>
      <c r="DG93" t="str">
        <f>AND(#REF!,"AAAAAFdH/m4=")</f>
        <v>#REF!</v>
      </c>
      <c r="DH93" t="str">
        <f>AND(#REF!,"AAAAAFdH/m8=")</f>
        <v>#REF!</v>
      </c>
      <c r="DI93" t="str">
        <f>AND(#REF!,"AAAAAFdH/nA=")</f>
        <v>#REF!</v>
      </c>
      <c r="DJ93" t="str">
        <f>AND(#REF!,"AAAAAFdH/nE=")</f>
        <v>#REF!</v>
      </c>
      <c r="DK93" t="str">
        <f>AND(#REF!,"AAAAAFdH/nI=")</f>
        <v>#REF!</v>
      </c>
      <c r="DL93" t="str">
        <f>AND(#REF!,"AAAAAFdH/nM=")</f>
        <v>#REF!</v>
      </c>
      <c r="DM93" t="str">
        <f>AND(#REF!,"AAAAAFdH/nQ=")</f>
        <v>#REF!</v>
      </c>
      <c r="DN93" t="str">
        <f>AND(#REF!,"AAAAAFdH/nU=")</f>
        <v>#REF!</v>
      </c>
      <c r="DO93" t="str">
        <f>AND(#REF!,"AAAAAFdH/nY=")</f>
        <v>#REF!</v>
      </c>
      <c r="DP93" t="str">
        <f>AND(#REF!,"AAAAAFdH/nc=")</f>
        <v>#REF!</v>
      </c>
      <c r="DQ93" t="str">
        <f>AND(#REF!,"AAAAAFdH/ng=")</f>
        <v>#REF!</v>
      </c>
      <c r="DR93" t="str">
        <f>AND(#REF!,"AAAAAFdH/nk=")</f>
        <v>#REF!</v>
      </c>
      <c r="DS93" t="str">
        <f>AND(#REF!,"AAAAAFdH/no=")</f>
        <v>#REF!</v>
      </c>
      <c r="DT93" t="str">
        <f>AND(#REF!,"AAAAAFdH/ns=")</f>
        <v>#REF!</v>
      </c>
      <c r="DU93" t="str">
        <f>AND(#REF!,"AAAAAFdH/nw=")</f>
        <v>#REF!</v>
      </c>
      <c r="DV93" t="str">
        <f>AND(#REF!,"AAAAAFdH/n0=")</f>
        <v>#REF!</v>
      </c>
      <c r="DW93" t="str">
        <f>AND(#REF!,"AAAAAFdH/n4=")</f>
        <v>#REF!</v>
      </c>
      <c r="DX93" t="str">
        <f>AND(#REF!,"AAAAAFdH/n8=")</f>
        <v>#REF!</v>
      </c>
      <c r="DY93" t="str">
        <f>AND(#REF!,"AAAAAFdH/oA=")</f>
        <v>#REF!</v>
      </c>
      <c r="DZ93" t="str">
        <f>AND(#REF!,"AAAAAFdH/oE=")</f>
        <v>#REF!</v>
      </c>
      <c r="EA93" t="str">
        <f>AND(#REF!,"AAAAAFdH/oI=")</f>
        <v>#REF!</v>
      </c>
      <c r="EB93" t="str">
        <f>AND(#REF!,"AAAAAFdH/oM=")</f>
        <v>#REF!</v>
      </c>
      <c r="EC93" t="str">
        <f>AND(#REF!,"AAAAAFdH/oQ=")</f>
        <v>#REF!</v>
      </c>
      <c r="ED93" t="str">
        <f>AND(#REF!,"AAAAAFdH/oU=")</f>
        <v>#REF!</v>
      </c>
      <c r="EE93" t="str">
        <f>AND(#REF!,"AAAAAFdH/oY=")</f>
        <v>#REF!</v>
      </c>
      <c r="EF93" t="str">
        <f>AND(#REF!,"AAAAAFdH/oc=")</f>
        <v>#REF!</v>
      </c>
      <c r="EG93" t="str">
        <f>AND(#REF!,"AAAAAFdH/og=")</f>
        <v>#REF!</v>
      </c>
      <c r="EH93" t="str">
        <f>AND(#REF!,"AAAAAFdH/ok=")</f>
        <v>#REF!</v>
      </c>
      <c r="EI93" t="str">
        <f>AND(#REF!,"AAAAAFdH/oo=")</f>
        <v>#REF!</v>
      </c>
      <c r="EJ93" t="str">
        <f>AND(#REF!,"AAAAAFdH/os=")</f>
        <v>#REF!</v>
      </c>
      <c r="EK93" t="str">
        <f>AND(#REF!,"AAAAAFdH/ow=")</f>
        <v>#REF!</v>
      </c>
      <c r="EL93" t="str">
        <f>AND(#REF!,"AAAAAFdH/o0=")</f>
        <v>#REF!</v>
      </c>
      <c r="EM93" t="str">
        <f>AND(#REF!,"AAAAAFdH/o4=")</f>
        <v>#REF!</v>
      </c>
      <c r="EN93" t="str">
        <f>AND(#REF!,"AAAAAFdH/o8=")</f>
        <v>#REF!</v>
      </c>
      <c r="EO93" t="str">
        <f>AND(#REF!,"AAAAAFdH/pA=")</f>
        <v>#REF!</v>
      </c>
      <c r="EP93" t="str">
        <f>AND(#REF!,"AAAAAFdH/pE=")</f>
        <v>#REF!</v>
      </c>
      <c r="EQ93" t="str">
        <f>AND(#REF!,"AAAAAFdH/pI=")</f>
        <v>#REF!</v>
      </c>
      <c r="ER93" t="str">
        <f>AND(#REF!,"AAAAAFdH/pM=")</f>
        <v>#REF!</v>
      </c>
      <c r="ES93" t="str">
        <f>AND(#REF!,"AAAAAFdH/pQ=")</f>
        <v>#REF!</v>
      </c>
      <c r="ET93" t="str">
        <f>AND(#REF!,"AAAAAFdH/pU=")</f>
        <v>#REF!</v>
      </c>
      <c r="EU93" t="str">
        <f>AND(#REF!,"AAAAAFdH/pY=")</f>
        <v>#REF!</v>
      </c>
      <c r="EV93" t="str">
        <f>AND(#REF!,"AAAAAFdH/pc=")</f>
        <v>#REF!</v>
      </c>
      <c r="EW93" t="str">
        <f>AND(#REF!,"AAAAAFdH/pg=")</f>
        <v>#REF!</v>
      </c>
      <c r="EX93" t="str">
        <f>AND(#REF!,"AAAAAFdH/pk=")</f>
        <v>#REF!</v>
      </c>
      <c r="EY93" t="str">
        <f>AND(#REF!,"AAAAAFdH/po=")</f>
        <v>#REF!</v>
      </c>
      <c r="EZ93" t="str">
        <f>AND(#REF!,"AAAAAFdH/ps=")</f>
        <v>#REF!</v>
      </c>
      <c r="FA93" t="str">
        <f>AND(#REF!,"AAAAAFdH/pw=")</f>
        <v>#REF!</v>
      </c>
      <c r="FB93" t="str">
        <f>AND(#REF!,"AAAAAFdH/p0=")</f>
        <v>#REF!</v>
      </c>
      <c r="FC93" t="str">
        <f>AND(#REF!,"AAAAAFdH/p4=")</f>
        <v>#REF!</v>
      </c>
      <c r="FD93" t="str">
        <f>AND(#REF!,"AAAAAFdH/p8=")</f>
        <v>#REF!</v>
      </c>
      <c r="FE93" t="str">
        <f>AND(#REF!,"AAAAAFdH/qA=")</f>
        <v>#REF!</v>
      </c>
      <c r="FF93" t="str">
        <f>AND(#REF!,"AAAAAFdH/qE=")</f>
        <v>#REF!</v>
      </c>
      <c r="FG93" t="str">
        <f>AND(#REF!,"AAAAAFdH/qI=")</f>
        <v>#REF!</v>
      </c>
      <c r="FH93" t="str">
        <f>AND(#REF!,"AAAAAFdH/qM=")</f>
        <v>#REF!</v>
      </c>
      <c r="FI93" t="str">
        <f>AND(#REF!,"AAAAAFdH/qQ=")</f>
        <v>#REF!</v>
      </c>
      <c r="FJ93" t="str">
        <f>AND(#REF!,"AAAAAFdH/qU=")</f>
        <v>#REF!</v>
      </c>
      <c r="FK93" t="str">
        <f>AND(#REF!,"AAAAAFdH/qY=")</f>
        <v>#REF!</v>
      </c>
      <c r="FL93" t="str">
        <f>AND(#REF!,"AAAAAFdH/qc=")</f>
        <v>#REF!</v>
      </c>
      <c r="FM93" t="str">
        <f>AND(#REF!,"AAAAAFdH/qg=")</f>
        <v>#REF!</v>
      </c>
      <c r="FN93" t="str">
        <f>AND(#REF!,"AAAAAFdH/qk=")</f>
        <v>#REF!</v>
      </c>
      <c r="FO93" t="str">
        <f>AND(#REF!,"AAAAAFdH/qo=")</f>
        <v>#REF!</v>
      </c>
      <c r="FP93" t="str">
        <f>AND(#REF!,"AAAAAFdH/qs=")</f>
        <v>#REF!</v>
      </c>
      <c r="FQ93" t="str">
        <f>AND(#REF!,"AAAAAFdH/qw=")</f>
        <v>#REF!</v>
      </c>
      <c r="FR93" t="str">
        <f>AND(#REF!,"AAAAAFdH/q0=")</f>
        <v>#REF!</v>
      </c>
      <c r="FS93" t="str">
        <f>AND(#REF!,"AAAAAFdH/q4=")</f>
        <v>#REF!</v>
      </c>
      <c r="FT93" t="str">
        <f>AND(#REF!,"AAAAAFdH/q8=")</f>
        <v>#REF!</v>
      </c>
      <c r="FU93" t="str">
        <f>AND(#REF!,"AAAAAFdH/rA=")</f>
        <v>#REF!</v>
      </c>
      <c r="FV93" t="str">
        <f>AND(#REF!,"AAAAAFdH/rE=")</f>
        <v>#REF!</v>
      </c>
      <c r="FW93" t="str">
        <f>AND(#REF!,"AAAAAFdH/rI=")</f>
        <v>#REF!</v>
      </c>
      <c r="FX93" t="str">
        <f>IF(#REF!,"AAAAAFdH/rM=",0)</f>
        <v>#REF!</v>
      </c>
      <c r="FY93" t="str">
        <f>AND(#REF!,"AAAAAFdH/rQ=")</f>
        <v>#REF!</v>
      </c>
      <c r="FZ93" t="str">
        <f>AND(#REF!,"AAAAAFdH/rU=")</f>
        <v>#REF!</v>
      </c>
      <c r="GA93" t="str">
        <f>AND(#REF!,"AAAAAFdH/rY=")</f>
        <v>#REF!</v>
      </c>
      <c r="GB93" t="str">
        <f>AND(#REF!,"AAAAAFdH/rc=")</f>
        <v>#REF!</v>
      </c>
      <c r="GC93" t="str">
        <f>AND(#REF!,"AAAAAFdH/rg=")</f>
        <v>#REF!</v>
      </c>
      <c r="GD93" t="str">
        <f>AND(#REF!,"AAAAAFdH/rk=")</f>
        <v>#REF!</v>
      </c>
      <c r="GE93" t="str">
        <f>AND(#REF!,"AAAAAFdH/ro=")</f>
        <v>#REF!</v>
      </c>
      <c r="GF93" t="str">
        <f>AND(#REF!,"AAAAAFdH/rs=")</f>
        <v>#REF!</v>
      </c>
      <c r="GG93" t="str">
        <f>AND(#REF!,"AAAAAFdH/rw=")</f>
        <v>#REF!</v>
      </c>
      <c r="GH93" t="str">
        <f>AND(#REF!,"AAAAAFdH/r0=")</f>
        <v>#REF!</v>
      </c>
      <c r="GI93" t="str">
        <f>AND(#REF!,"AAAAAFdH/r4=")</f>
        <v>#REF!</v>
      </c>
      <c r="GJ93" t="str">
        <f>AND(#REF!,"AAAAAFdH/r8=")</f>
        <v>#REF!</v>
      </c>
      <c r="GK93" t="str">
        <f>AND(#REF!,"AAAAAFdH/sA=")</f>
        <v>#REF!</v>
      </c>
      <c r="GL93" t="str">
        <f>AND(#REF!,"AAAAAFdH/sE=")</f>
        <v>#REF!</v>
      </c>
      <c r="GM93" t="str">
        <f>AND(#REF!,"AAAAAFdH/sI=")</f>
        <v>#REF!</v>
      </c>
      <c r="GN93" t="str">
        <f>AND(#REF!,"AAAAAFdH/sM=")</f>
        <v>#REF!</v>
      </c>
      <c r="GO93" t="str">
        <f>AND(#REF!,"AAAAAFdH/sQ=")</f>
        <v>#REF!</v>
      </c>
      <c r="GP93" t="str">
        <f>AND(#REF!,"AAAAAFdH/sU=")</f>
        <v>#REF!</v>
      </c>
      <c r="GQ93" t="str">
        <f>AND(#REF!,"AAAAAFdH/sY=")</f>
        <v>#REF!</v>
      </c>
      <c r="GR93" t="str">
        <f>AND(#REF!,"AAAAAFdH/sc=")</f>
        <v>#REF!</v>
      </c>
      <c r="GS93" t="str">
        <f>AND(#REF!,"AAAAAFdH/sg=")</f>
        <v>#REF!</v>
      </c>
      <c r="GT93" t="str">
        <f>AND(#REF!,"AAAAAFdH/sk=")</f>
        <v>#REF!</v>
      </c>
      <c r="GU93" t="str">
        <f>AND(#REF!,"AAAAAFdH/so=")</f>
        <v>#REF!</v>
      </c>
      <c r="GV93" t="str">
        <f>AND(#REF!,"AAAAAFdH/ss=")</f>
        <v>#REF!</v>
      </c>
      <c r="GW93" t="str">
        <f>AND(#REF!,"AAAAAFdH/sw=")</f>
        <v>#REF!</v>
      </c>
      <c r="GX93" t="str">
        <f>AND(#REF!,"AAAAAFdH/s0=")</f>
        <v>#REF!</v>
      </c>
      <c r="GY93" t="str">
        <f>AND(#REF!,"AAAAAFdH/s4=")</f>
        <v>#REF!</v>
      </c>
      <c r="GZ93" t="str">
        <f>AND(#REF!,"AAAAAFdH/s8=")</f>
        <v>#REF!</v>
      </c>
      <c r="HA93" t="str">
        <f>AND(#REF!,"AAAAAFdH/tA=")</f>
        <v>#REF!</v>
      </c>
      <c r="HB93" t="str">
        <f>AND(#REF!,"AAAAAFdH/tE=")</f>
        <v>#REF!</v>
      </c>
      <c r="HC93" t="str">
        <f>AND(#REF!,"AAAAAFdH/tI=")</f>
        <v>#REF!</v>
      </c>
      <c r="HD93" t="str">
        <f>AND(#REF!,"AAAAAFdH/tM=")</f>
        <v>#REF!</v>
      </c>
      <c r="HE93" t="str">
        <f>AND(#REF!,"AAAAAFdH/tQ=")</f>
        <v>#REF!</v>
      </c>
      <c r="HF93" t="str">
        <f>AND(#REF!,"AAAAAFdH/tU=")</f>
        <v>#REF!</v>
      </c>
      <c r="HG93" t="str">
        <f>AND(#REF!,"AAAAAFdH/tY=")</f>
        <v>#REF!</v>
      </c>
      <c r="HH93" t="str">
        <f>AND(#REF!,"AAAAAFdH/tc=")</f>
        <v>#REF!</v>
      </c>
      <c r="HI93" t="str">
        <f>AND(#REF!,"AAAAAFdH/tg=")</f>
        <v>#REF!</v>
      </c>
      <c r="HJ93" t="str">
        <f>AND(#REF!,"AAAAAFdH/tk=")</f>
        <v>#REF!</v>
      </c>
      <c r="HK93" t="str">
        <f>AND(#REF!,"AAAAAFdH/to=")</f>
        <v>#REF!</v>
      </c>
      <c r="HL93" t="str">
        <f>AND(#REF!,"AAAAAFdH/ts=")</f>
        <v>#REF!</v>
      </c>
      <c r="HM93" t="str">
        <f>AND(#REF!,"AAAAAFdH/tw=")</f>
        <v>#REF!</v>
      </c>
      <c r="HN93" t="str">
        <f>AND(#REF!,"AAAAAFdH/t0=")</f>
        <v>#REF!</v>
      </c>
      <c r="HO93" t="str">
        <f>AND(#REF!,"AAAAAFdH/t4=")</f>
        <v>#REF!</v>
      </c>
      <c r="HP93" t="str">
        <f>AND(#REF!,"AAAAAFdH/t8=")</f>
        <v>#REF!</v>
      </c>
      <c r="HQ93" t="str">
        <f>AND(#REF!,"AAAAAFdH/uA=")</f>
        <v>#REF!</v>
      </c>
      <c r="HR93" t="str">
        <f>AND(#REF!,"AAAAAFdH/uE=")</f>
        <v>#REF!</v>
      </c>
      <c r="HS93" t="str">
        <f>AND(#REF!,"AAAAAFdH/uI=")</f>
        <v>#REF!</v>
      </c>
      <c r="HT93" t="str">
        <f>AND(#REF!,"AAAAAFdH/uM=")</f>
        <v>#REF!</v>
      </c>
      <c r="HU93" t="str">
        <f>AND(#REF!,"AAAAAFdH/uQ=")</f>
        <v>#REF!</v>
      </c>
      <c r="HV93" t="str">
        <f>AND(#REF!,"AAAAAFdH/uU=")</f>
        <v>#REF!</v>
      </c>
      <c r="HW93" t="str">
        <f>AND(#REF!,"AAAAAFdH/uY=")</f>
        <v>#REF!</v>
      </c>
      <c r="HX93" t="str">
        <f>AND(#REF!,"AAAAAFdH/uc=")</f>
        <v>#REF!</v>
      </c>
      <c r="HY93" t="str">
        <f>AND(#REF!,"AAAAAFdH/ug=")</f>
        <v>#REF!</v>
      </c>
      <c r="HZ93" t="str">
        <f>AND(#REF!,"AAAAAFdH/uk=")</f>
        <v>#REF!</v>
      </c>
      <c r="IA93" t="str">
        <f>AND(#REF!,"AAAAAFdH/uo=")</f>
        <v>#REF!</v>
      </c>
      <c r="IB93" t="str">
        <f>AND(#REF!,"AAAAAFdH/us=")</f>
        <v>#REF!</v>
      </c>
      <c r="IC93" t="str">
        <f>AND(#REF!,"AAAAAFdH/uw=")</f>
        <v>#REF!</v>
      </c>
      <c r="ID93" t="str">
        <f>AND(#REF!,"AAAAAFdH/u0=")</f>
        <v>#REF!</v>
      </c>
      <c r="IE93" t="str">
        <f>AND(#REF!,"AAAAAFdH/u4=")</f>
        <v>#REF!</v>
      </c>
      <c r="IF93" t="str">
        <f>AND(#REF!,"AAAAAFdH/u8=")</f>
        <v>#REF!</v>
      </c>
      <c r="IG93" t="str">
        <f>AND(#REF!,"AAAAAFdH/vA=")</f>
        <v>#REF!</v>
      </c>
      <c r="IH93" t="str">
        <f>AND(#REF!,"AAAAAFdH/vE=")</f>
        <v>#REF!</v>
      </c>
      <c r="II93" t="str">
        <f>AND(#REF!,"AAAAAFdH/vI=")</f>
        <v>#REF!</v>
      </c>
      <c r="IJ93" t="str">
        <f>AND(#REF!,"AAAAAFdH/vM=")</f>
        <v>#REF!</v>
      </c>
      <c r="IK93" t="str">
        <f>AND(#REF!,"AAAAAFdH/vQ=")</f>
        <v>#REF!</v>
      </c>
      <c r="IL93" t="str">
        <f>AND(#REF!,"AAAAAFdH/vU=")</f>
        <v>#REF!</v>
      </c>
      <c r="IM93" t="str">
        <f>AND(#REF!,"AAAAAFdH/vY=")</f>
        <v>#REF!</v>
      </c>
      <c r="IN93" t="str">
        <f>AND(#REF!,"AAAAAFdH/vc=")</f>
        <v>#REF!</v>
      </c>
      <c r="IO93" t="str">
        <f>AND(#REF!,"AAAAAFdH/vg=")</f>
        <v>#REF!</v>
      </c>
      <c r="IP93" t="str">
        <f>AND(#REF!,"AAAAAFdH/vk=")</f>
        <v>#REF!</v>
      </c>
      <c r="IQ93" t="str">
        <f>AND(#REF!,"AAAAAFdH/vo=")</f>
        <v>#REF!</v>
      </c>
      <c r="IR93" t="str">
        <f>AND(#REF!,"AAAAAFdH/vs=")</f>
        <v>#REF!</v>
      </c>
      <c r="IS93" t="str">
        <f>AND(#REF!,"AAAAAFdH/vw=")</f>
        <v>#REF!</v>
      </c>
      <c r="IT93" t="str">
        <f>AND(#REF!,"AAAAAFdH/v0=")</f>
        <v>#REF!</v>
      </c>
      <c r="IU93" t="str">
        <f>AND(#REF!,"AAAAAFdH/v4=")</f>
        <v>#REF!</v>
      </c>
      <c r="IV93" t="str">
        <f>IF(#REF!,"AAAAAFdH/v8=",0)</f>
        <v>#REF!</v>
      </c>
    </row>
    <row r="94" ht="15.75" customHeight="1">
      <c r="A94" t="str">
        <f>AND(#REF!,"AAAAAGZ2fgA=")</f>
        <v>#REF!</v>
      </c>
      <c r="B94" t="str">
        <f>AND(#REF!,"AAAAAGZ2fgE=")</f>
        <v>#REF!</v>
      </c>
      <c r="C94" t="str">
        <f>AND(#REF!,"AAAAAGZ2fgI=")</f>
        <v>#REF!</v>
      </c>
      <c r="D94" t="str">
        <f>AND(#REF!,"AAAAAGZ2fgM=")</f>
        <v>#REF!</v>
      </c>
      <c r="E94" t="str">
        <f>AND(#REF!,"AAAAAGZ2fgQ=")</f>
        <v>#REF!</v>
      </c>
      <c r="F94" t="str">
        <f>AND(#REF!,"AAAAAGZ2fgU=")</f>
        <v>#REF!</v>
      </c>
      <c r="G94" t="str">
        <f>AND(#REF!,"AAAAAGZ2fgY=")</f>
        <v>#REF!</v>
      </c>
      <c r="H94" t="str">
        <f>AND(#REF!,"AAAAAGZ2fgc=")</f>
        <v>#REF!</v>
      </c>
      <c r="I94" t="str">
        <f>AND(#REF!,"AAAAAGZ2fgg=")</f>
        <v>#REF!</v>
      </c>
      <c r="J94" t="str">
        <f>AND(#REF!,"AAAAAGZ2fgk=")</f>
        <v>#REF!</v>
      </c>
      <c r="K94" t="str">
        <f>AND(#REF!,"AAAAAGZ2fgo=")</f>
        <v>#REF!</v>
      </c>
      <c r="L94" t="str">
        <f>AND(#REF!,"AAAAAGZ2fgs=")</f>
        <v>#REF!</v>
      </c>
      <c r="M94" t="str">
        <f>AND(#REF!,"AAAAAGZ2fgw=")</f>
        <v>#REF!</v>
      </c>
      <c r="N94" t="str">
        <f>AND(#REF!,"AAAAAGZ2fg0=")</f>
        <v>#REF!</v>
      </c>
      <c r="O94" t="str">
        <f>AND(#REF!,"AAAAAGZ2fg4=")</f>
        <v>#REF!</v>
      </c>
      <c r="P94" t="str">
        <f>AND(#REF!,"AAAAAGZ2fg8=")</f>
        <v>#REF!</v>
      </c>
      <c r="Q94" t="str">
        <f>AND(#REF!,"AAAAAGZ2fhA=")</f>
        <v>#REF!</v>
      </c>
      <c r="R94" t="str">
        <f>AND(#REF!,"AAAAAGZ2fhE=")</f>
        <v>#REF!</v>
      </c>
      <c r="S94" t="str">
        <f>AND(#REF!,"AAAAAGZ2fhI=")</f>
        <v>#REF!</v>
      </c>
      <c r="T94" t="str">
        <f>AND(#REF!,"AAAAAGZ2fhM=")</f>
        <v>#REF!</v>
      </c>
      <c r="U94" t="str">
        <f>AND(#REF!,"AAAAAGZ2fhQ=")</f>
        <v>#REF!</v>
      </c>
      <c r="V94" t="str">
        <f>AND(#REF!,"AAAAAGZ2fhU=")</f>
        <v>#REF!</v>
      </c>
      <c r="W94" t="str">
        <f>AND(#REF!,"AAAAAGZ2fhY=")</f>
        <v>#REF!</v>
      </c>
      <c r="X94" t="str">
        <f>AND(#REF!,"AAAAAGZ2fhc=")</f>
        <v>#REF!</v>
      </c>
      <c r="Y94" t="str">
        <f>AND(#REF!,"AAAAAGZ2fhg=")</f>
        <v>#REF!</v>
      </c>
      <c r="Z94" t="str">
        <f>AND(#REF!,"AAAAAGZ2fhk=")</f>
        <v>#REF!</v>
      </c>
      <c r="AA94" t="str">
        <f>AND(#REF!,"AAAAAGZ2fho=")</f>
        <v>#REF!</v>
      </c>
      <c r="AB94" t="str">
        <f>AND(#REF!,"AAAAAGZ2fhs=")</f>
        <v>#REF!</v>
      </c>
      <c r="AC94" t="str">
        <f>AND(#REF!,"AAAAAGZ2fhw=")</f>
        <v>#REF!</v>
      </c>
      <c r="AD94" t="str">
        <f>AND(#REF!,"AAAAAGZ2fh0=")</f>
        <v>#REF!</v>
      </c>
      <c r="AE94" t="str">
        <f>AND(#REF!,"AAAAAGZ2fh4=")</f>
        <v>#REF!</v>
      </c>
      <c r="AF94" t="str">
        <f>AND(#REF!,"AAAAAGZ2fh8=")</f>
        <v>#REF!</v>
      </c>
      <c r="AG94" t="str">
        <f>AND(#REF!,"AAAAAGZ2fiA=")</f>
        <v>#REF!</v>
      </c>
      <c r="AH94" t="str">
        <f>AND(#REF!,"AAAAAGZ2fiE=")</f>
        <v>#REF!</v>
      </c>
      <c r="AI94" t="str">
        <f>AND(#REF!,"AAAAAGZ2fiI=")</f>
        <v>#REF!</v>
      </c>
      <c r="AJ94" t="str">
        <f>AND(#REF!,"AAAAAGZ2fiM=")</f>
        <v>#REF!</v>
      </c>
      <c r="AK94" t="str">
        <f>AND(#REF!,"AAAAAGZ2fiQ=")</f>
        <v>#REF!</v>
      </c>
      <c r="AL94" t="str">
        <f>AND(#REF!,"AAAAAGZ2fiU=")</f>
        <v>#REF!</v>
      </c>
      <c r="AM94" t="str">
        <f>AND(#REF!,"AAAAAGZ2fiY=")</f>
        <v>#REF!</v>
      </c>
      <c r="AN94" t="str">
        <f>AND(#REF!,"AAAAAGZ2fic=")</f>
        <v>#REF!</v>
      </c>
      <c r="AO94" t="str">
        <f>AND(#REF!,"AAAAAGZ2fig=")</f>
        <v>#REF!</v>
      </c>
      <c r="AP94" t="str">
        <f>AND(#REF!,"AAAAAGZ2fik=")</f>
        <v>#REF!</v>
      </c>
      <c r="AQ94" t="str">
        <f>AND(#REF!,"AAAAAGZ2fio=")</f>
        <v>#REF!</v>
      </c>
      <c r="AR94" t="str">
        <f>AND(#REF!,"AAAAAGZ2fis=")</f>
        <v>#REF!</v>
      </c>
      <c r="AS94" t="str">
        <f>AND(#REF!,"AAAAAGZ2fiw=")</f>
        <v>#REF!</v>
      </c>
      <c r="AT94" t="str">
        <f>AND(#REF!,"AAAAAGZ2fi0=")</f>
        <v>#REF!</v>
      </c>
      <c r="AU94" t="str">
        <f>AND(#REF!,"AAAAAGZ2fi4=")</f>
        <v>#REF!</v>
      </c>
      <c r="AV94" t="str">
        <f>AND(#REF!,"AAAAAGZ2fi8=")</f>
        <v>#REF!</v>
      </c>
      <c r="AW94" t="str">
        <f>AND(#REF!,"AAAAAGZ2fjA=")</f>
        <v>#REF!</v>
      </c>
      <c r="AX94" t="str">
        <f>AND(#REF!,"AAAAAGZ2fjE=")</f>
        <v>#REF!</v>
      </c>
      <c r="AY94" t="str">
        <f>AND(#REF!,"AAAAAGZ2fjI=")</f>
        <v>#REF!</v>
      </c>
      <c r="AZ94" t="str">
        <f>AND(#REF!,"AAAAAGZ2fjM=")</f>
        <v>#REF!</v>
      </c>
      <c r="BA94" t="str">
        <f>AND(#REF!,"AAAAAGZ2fjQ=")</f>
        <v>#REF!</v>
      </c>
      <c r="BB94" t="str">
        <f>AND(#REF!,"AAAAAGZ2fjU=")</f>
        <v>#REF!</v>
      </c>
      <c r="BC94" t="str">
        <f>AND(#REF!,"AAAAAGZ2fjY=")</f>
        <v>#REF!</v>
      </c>
      <c r="BD94" t="str">
        <f>AND(#REF!,"AAAAAGZ2fjc=")</f>
        <v>#REF!</v>
      </c>
      <c r="BE94" t="str">
        <f>AND(#REF!,"AAAAAGZ2fjg=")</f>
        <v>#REF!</v>
      </c>
      <c r="BF94" t="str">
        <f>AND(#REF!,"AAAAAGZ2fjk=")</f>
        <v>#REF!</v>
      </c>
      <c r="BG94" t="str">
        <f>AND(#REF!,"AAAAAGZ2fjo=")</f>
        <v>#REF!</v>
      </c>
      <c r="BH94" t="str">
        <f>AND(#REF!,"AAAAAGZ2fjs=")</f>
        <v>#REF!</v>
      </c>
      <c r="BI94" t="str">
        <f>AND(#REF!,"AAAAAGZ2fjw=")</f>
        <v>#REF!</v>
      </c>
      <c r="BJ94" t="str">
        <f>AND(#REF!,"AAAAAGZ2fj0=")</f>
        <v>#REF!</v>
      </c>
      <c r="BK94" t="str">
        <f>AND(#REF!,"AAAAAGZ2fj4=")</f>
        <v>#REF!</v>
      </c>
      <c r="BL94" t="str">
        <f>AND(#REF!,"AAAAAGZ2fj8=")</f>
        <v>#REF!</v>
      </c>
      <c r="BM94" t="str">
        <f>AND(#REF!,"AAAAAGZ2fkA=")</f>
        <v>#REF!</v>
      </c>
      <c r="BN94" t="str">
        <f>AND(#REF!,"AAAAAGZ2fkE=")</f>
        <v>#REF!</v>
      </c>
      <c r="BO94" t="str">
        <f>AND(#REF!,"AAAAAGZ2fkI=")</f>
        <v>#REF!</v>
      </c>
      <c r="BP94" t="str">
        <f>AND(#REF!,"AAAAAGZ2fkM=")</f>
        <v>#REF!</v>
      </c>
      <c r="BQ94" t="str">
        <f>AND(#REF!,"AAAAAGZ2fkQ=")</f>
        <v>#REF!</v>
      </c>
      <c r="BR94" t="str">
        <f>AND(#REF!,"AAAAAGZ2fkU=")</f>
        <v>#REF!</v>
      </c>
      <c r="BS94" t="str">
        <f>AND(#REF!,"AAAAAGZ2fkY=")</f>
        <v>#REF!</v>
      </c>
      <c r="BT94" t="str">
        <f>AND(#REF!,"AAAAAGZ2fkc=")</f>
        <v>#REF!</v>
      </c>
      <c r="BU94" t="str">
        <f>AND(#REF!,"AAAAAGZ2fkg=")</f>
        <v>#REF!</v>
      </c>
      <c r="BV94" t="str">
        <f>AND(#REF!,"AAAAAGZ2fkk=")</f>
        <v>#REF!</v>
      </c>
      <c r="BW94" t="str">
        <f>AND(#REF!,"AAAAAGZ2fko=")</f>
        <v>#REF!</v>
      </c>
      <c r="BX94" t="str">
        <f>IF(#REF!,"AAAAAGZ2fks=",0)</f>
        <v>#REF!</v>
      </c>
      <c r="BY94" t="str">
        <f>AND(#REF!,"AAAAAGZ2fkw=")</f>
        <v>#REF!</v>
      </c>
      <c r="BZ94" t="str">
        <f>AND(#REF!,"AAAAAGZ2fk0=")</f>
        <v>#REF!</v>
      </c>
      <c r="CA94" t="str">
        <f>AND(#REF!,"AAAAAGZ2fk4=")</f>
        <v>#REF!</v>
      </c>
      <c r="CB94" t="str">
        <f>AND(#REF!,"AAAAAGZ2fk8=")</f>
        <v>#REF!</v>
      </c>
      <c r="CC94" t="str">
        <f>AND(#REF!,"AAAAAGZ2flA=")</f>
        <v>#REF!</v>
      </c>
      <c r="CD94" t="str">
        <f>AND(#REF!,"AAAAAGZ2flE=")</f>
        <v>#REF!</v>
      </c>
      <c r="CE94" t="str">
        <f>AND(#REF!,"AAAAAGZ2flI=")</f>
        <v>#REF!</v>
      </c>
      <c r="CF94" t="str">
        <f>AND(#REF!,"AAAAAGZ2flM=")</f>
        <v>#REF!</v>
      </c>
      <c r="CG94" t="str">
        <f>AND(#REF!,"AAAAAGZ2flQ=")</f>
        <v>#REF!</v>
      </c>
      <c r="CH94" t="str">
        <f>AND(#REF!,"AAAAAGZ2flU=")</f>
        <v>#REF!</v>
      </c>
      <c r="CI94" t="str">
        <f>AND(#REF!,"AAAAAGZ2flY=")</f>
        <v>#REF!</v>
      </c>
      <c r="CJ94" t="str">
        <f>AND(#REF!,"AAAAAGZ2flc=")</f>
        <v>#REF!</v>
      </c>
      <c r="CK94" t="str">
        <f>AND(#REF!,"AAAAAGZ2flg=")</f>
        <v>#REF!</v>
      </c>
      <c r="CL94" t="str">
        <f>AND(#REF!,"AAAAAGZ2flk=")</f>
        <v>#REF!</v>
      </c>
      <c r="CM94" t="str">
        <f>AND(#REF!,"AAAAAGZ2flo=")</f>
        <v>#REF!</v>
      </c>
      <c r="CN94" t="str">
        <f>AND(#REF!,"AAAAAGZ2fls=")</f>
        <v>#REF!</v>
      </c>
      <c r="CO94" t="str">
        <f>AND(#REF!,"AAAAAGZ2flw=")</f>
        <v>#REF!</v>
      </c>
      <c r="CP94" t="str">
        <f>AND(#REF!,"AAAAAGZ2fl0=")</f>
        <v>#REF!</v>
      </c>
      <c r="CQ94" t="str">
        <f>AND(#REF!,"AAAAAGZ2fl4=")</f>
        <v>#REF!</v>
      </c>
      <c r="CR94" t="str">
        <f>AND(#REF!,"AAAAAGZ2fl8=")</f>
        <v>#REF!</v>
      </c>
      <c r="CS94" t="str">
        <f>AND(#REF!,"AAAAAGZ2fmA=")</f>
        <v>#REF!</v>
      </c>
      <c r="CT94" t="str">
        <f>AND(#REF!,"AAAAAGZ2fmE=")</f>
        <v>#REF!</v>
      </c>
      <c r="CU94" t="str">
        <f>AND(#REF!,"AAAAAGZ2fmI=")</f>
        <v>#REF!</v>
      </c>
      <c r="CV94" t="str">
        <f>AND(#REF!,"AAAAAGZ2fmM=")</f>
        <v>#REF!</v>
      </c>
      <c r="CW94" t="str">
        <f>AND(#REF!,"AAAAAGZ2fmQ=")</f>
        <v>#REF!</v>
      </c>
      <c r="CX94" t="str">
        <f>AND(#REF!,"AAAAAGZ2fmU=")</f>
        <v>#REF!</v>
      </c>
      <c r="CY94" t="str">
        <f>AND(#REF!,"AAAAAGZ2fmY=")</f>
        <v>#REF!</v>
      </c>
      <c r="CZ94" t="str">
        <f>AND(#REF!,"AAAAAGZ2fmc=")</f>
        <v>#REF!</v>
      </c>
      <c r="DA94" t="str">
        <f>AND(#REF!,"AAAAAGZ2fmg=")</f>
        <v>#REF!</v>
      </c>
      <c r="DB94" t="str">
        <f>AND(#REF!,"AAAAAGZ2fmk=")</f>
        <v>#REF!</v>
      </c>
      <c r="DC94" t="str">
        <f>AND(#REF!,"AAAAAGZ2fmo=")</f>
        <v>#REF!</v>
      </c>
      <c r="DD94" t="str">
        <f>AND(#REF!,"AAAAAGZ2fms=")</f>
        <v>#REF!</v>
      </c>
      <c r="DE94" t="str">
        <f>AND(#REF!,"AAAAAGZ2fmw=")</f>
        <v>#REF!</v>
      </c>
      <c r="DF94" t="str">
        <f>AND(#REF!,"AAAAAGZ2fm0=")</f>
        <v>#REF!</v>
      </c>
      <c r="DG94" t="str">
        <f>AND(#REF!,"AAAAAGZ2fm4=")</f>
        <v>#REF!</v>
      </c>
      <c r="DH94" t="str">
        <f>AND(#REF!,"AAAAAGZ2fm8=")</f>
        <v>#REF!</v>
      </c>
      <c r="DI94" t="str">
        <f>AND(#REF!,"AAAAAGZ2fnA=")</f>
        <v>#REF!</v>
      </c>
      <c r="DJ94" t="str">
        <f>AND(#REF!,"AAAAAGZ2fnE=")</f>
        <v>#REF!</v>
      </c>
      <c r="DK94" t="str">
        <f>AND(#REF!,"AAAAAGZ2fnI=")</f>
        <v>#REF!</v>
      </c>
      <c r="DL94" t="str">
        <f>AND(#REF!,"AAAAAGZ2fnM=")</f>
        <v>#REF!</v>
      </c>
      <c r="DM94" t="str">
        <f>AND(#REF!,"AAAAAGZ2fnQ=")</f>
        <v>#REF!</v>
      </c>
      <c r="DN94" t="str">
        <f>AND(#REF!,"AAAAAGZ2fnU=")</f>
        <v>#REF!</v>
      </c>
      <c r="DO94" t="str">
        <f>AND(#REF!,"AAAAAGZ2fnY=")</f>
        <v>#REF!</v>
      </c>
      <c r="DP94" t="str">
        <f>AND(#REF!,"AAAAAGZ2fnc=")</f>
        <v>#REF!</v>
      </c>
      <c r="DQ94" t="str">
        <f>AND(#REF!,"AAAAAGZ2fng=")</f>
        <v>#REF!</v>
      </c>
      <c r="DR94" t="str">
        <f>AND(#REF!,"AAAAAGZ2fnk=")</f>
        <v>#REF!</v>
      </c>
      <c r="DS94" t="str">
        <f>AND(#REF!,"AAAAAGZ2fno=")</f>
        <v>#REF!</v>
      </c>
      <c r="DT94" t="str">
        <f>AND(#REF!,"AAAAAGZ2fns=")</f>
        <v>#REF!</v>
      </c>
      <c r="DU94" t="str">
        <f>AND(#REF!,"AAAAAGZ2fnw=")</f>
        <v>#REF!</v>
      </c>
      <c r="DV94" t="str">
        <f>AND(#REF!,"AAAAAGZ2fn0=")</f>
        <v>#REF!</v>
      </c>
      <c r="DW94" t="str">
        <f>AND(#REF!,"AAAAAGZ2fn4=")</f>
        <v>#REF!</v>
      </c>
      <c r="DX94" t="str">
        <f>AND(#REF!,"AAAAAGZ2fn8=")</f>
        <v>#REF!</v>
      </c>
      <c r="DY94" t="str">
        <f>AND(#REF!,"AAAAAGZ2foA=")</f>
        <v>#REF!</v>
      </c>
      <c r="DZ94" t="str">
        <f>AND(#REF!,"AAAAAGZ2foE=")</f>
        <v>#REF!</v>
      </c>
      <c r="EA94" t="str">
        <f>AND(#REF!,"AAAAAGZ2foI=")</f>
        <v>#REF!</v>
      </c>
      <c r="EB94" t="str">
        <f>AND(#REF!,"AAAAAGZ2foM=")</f>
        <v>#REF!</v>
      </c>
      <c r="EC94" t="str">
        <f>AND(#REF!,"AAAAAGZ2foQ=")</f>
        <v>#REF!</v>
      </c>
      <c r="ED94" t="str">
        <f>AND(#REF!,"AAAAAGZ2foU=")</f>
        <v>#REF!</v>
      </c>
      <c r="EE94" t="str">
        <f>AND(#REF!,"AAAAAGZ2foY=")</f>
        <v>#REF!</v>
      </c>
      <c r="EF94" t="str">
        <f>AND(#REF!,"AAAAAGZ2foc=")</f>
        <v>#REF!</v>
      </c>
      <c r="EG94" t="str">
        <f>AND(#REF!,"AAAAAGZ2fog=")</f>
        <v>#REF!</v>
      </c>
      <c r="EH94" t="str">
        <f>AND(#REF!,"AAAAAGZ2fok=")</f>
        <v>#REF!</v>
      </c>
      <c r="EI94" t="str">
        <f>AND(#REF!,"AAAAAGZ2foo=")</f>
        <v>#REF!</v>
      </c>
      <c r="EJ94" t="str">
        <f>AND(#REF!,"AAAAAGZ2fos=")</f>
        <v>#REF!</v>
      </c>
      <c r="EK94" t="str">
        <f>AND(#REF!,"AAAAAGZ2fow=")</f>
        <v>#REF!</v>
      </c>
      <c r="EL94" t="str">
        <f>AND(#REF!,"AAAAAGZ2fo0=")</f>
        <v>#REF!</v>
      </c>
      <c r="EM94" t="str">
        <f>AND(#REF!,"AAAAAGZ2fo4=")</f>
        <v>#REF!</v>
      </c>
      <c r="EN94" t="str">
        <f>AND(#REF!,"AAAAAGZ2fo8=")</f>
        <v>#REF!</v>
      </c>
      <c r="EO94" t="str">
        <f>AND(#REF!,"AAAAAGZ2fpA=")</f>
        <v>#REF!</v>
      </c>
      <c r="EP94" t="str">
        <f>AND(#REF!,"AAAAAGZ2fpE=")</f>
        <v>#REF!</v>
      </c>
      <c r="EQ94" t="str">
        <f>AND(#REF!,"AAAAAGZ2fpI=")</f>
        <v>#REF!</v>
      </c>
      <c r="ER94" t="str">
        <f>AND(#REF!,"AAAAAGZ2fpM=")</f>
        <v>#REF!</v>
      </c>
      <c r="ES94" t="str">
        <f>AND(#REF!,"AAAAAGZ2fpQ=")</f>
        <v>#REF!</v>
      </c>
      <c r="ET94" t="str">
        <f>AND(#REF!,"AAAAAGZ2fpU=")</f>
        <v>#REF!</v>
      </c>
      <c r="EU94" t="str">
        <f>AND(#REF!,"AAAAAGZ2fpY=")</f>
        <v>#REF!</v>
      </c>
      <c r="EV94" t="str">
        <f>IF(#REF!,"AAAAAGZ2fpc=",0)</f>
        <v>#REF!</v>
      </c>
      <c r="EW94" t="str">
        <f>AND(#REF!,"AAAAAGZ2fpg=")</f>
        <v>#REF!</v>
      </c>
      <c r="EX94" t="str">
        <f>AND(#REF!,"AAAAAGZ2fpk=")</f>
        <v>#REF!</v>
      </c>
      <c r="EY94" t="str">
        <f>AND(#REF!,"AAAAAGZ2fpo=")</f>
        <v>#REF!</v>
      </c>
      <c r="EZ94" t="str">
        <f>AND(#REF!,"AAAAAGZ2fps=")</f>
        <v>#REF!</v>
      </c>
      <c r="FA94" t="str">
        <f>AND(#REF!,"AAAAAGZ2fpw=")</f>
        <v>#REF!</v>
      </c>
      <c r="FB94" t="str">
        <f>AND(#REF!,"AAAAAGZ2fp0=")</f>
        <v>#REF!</v>
      </c>
      <c r="FC94" t="str">
        <f>AND(#REF!,"AAAAAGZ2fp4=")</f>
        <v>#REF!</v>
      </c>
      <c r="FD94" t="str">
        <f>AND(#REF!,"AAAAAGZ2fp8=")</f>
        <v>#REF!</v>
      </c>
      <c r="FE94" t="str">
        <f>AND(#REF!,"AAAAAGZ2fqA=")</f>
        <v>#REF!</v>
      </c>
      <c r="FF94" t="str">
        <f>AND(#REF!,"AAAAAGZ2fqE=")</f>
        <v>#REF!</v>
      </c>
      <c r="FG94" t="str">
        <f>AND(#REF!,"AAAAAGZ2fqI=")</f>
        <v>#REF!</v>
      </c>
      <c r="FH94" t="str">
        <f>AND(#REF!,"AAAAAGZ2fqM=")</f>
        <v>#REF!</v>
      </c>
      <c r="FI94" t="str">
        <f>AND(#REF!,"AAAAAGZ2fqQ=")</f>
        <v>#REF!</v>
      </c>
      <c r="FJ94" t="str">
        <f>AND(#REF!,"AAAAAGZ2fqU=")</f>
        <v>#REF!</v>
      </c>
      <c r="FK94" t="str">
        <f>AND(#REF!,"AAAAAGZ2fqY=")</f>
        <v>#REF!</v>
      </c>
      <c r="FL94" t="str">
        <f>AND(#REF!,"AAAAAGZ2fqc=")</f>
        <v>#REF!</v>
      </c>
      <c r="FM94" t="str">
        <f>AND(#REF!,"AAAAAGZ2fqg=")</f>
        <v>#REF!</v>
      </c>
      <c r="FN94" t="str">
        <f>AND(#REF!,"AAAAAGZ2fqk=")</f>
        <v>#REF!</v>
      </c>
      <c r="FO94" t="str">
        <f>AND(#REF!,"AAAAAGZ2fqo=")</f>
        <v>#REF!</v>
      </c>
      <c r="FP94" t="str">
        <f>AND(#REF!,"AAAAAGZ2fqs=")</f>
        <v>#REF!</v>
      </c>
      <c r="FQ94" t="str">
        <f>AND(#REF!,"AAAAAGZ2fqw=")</f>
        <v>#REF!</v>
      </c>
      <c r="FR94" t="str">
        <f>AND(#REF!,"AAAAAGZ2fq0=")</f>
        <v>#REF!</v>
      </c>
      <c r="FS94" t="str">
        <f>AND(#REF!,"AAAAAGZ2fq4=")</f>
        <v>#REF!</v>
      </c>
      <c r="FT94" t="str">
        <f>AND(#REF!,"AAAAAGZ2fq8=")</f>
        <v>#REF!</v>
      </c>
      <c r="FU94" t="str">
        <f>AND(#REF!,"AAAAAGZ2frA=")</f>
        <v>#REF!</v>
      </c>
      <c r="FV94" t="str">
        <f>AND(#REF!,"AAAAAGZ2frE=")</f>
        <v>#REF!</v>
      </c>
      <c r="FW94" t="str">
        <f>AND(#REF!,"AAAAAGZ2frI=")</f>
        <v>#REF!</v>
      </c>
      <c r="FX94" t="str">
        <f>AND(#REF!,"AAAAAGZ2frM=")</f>
        <v>#REF!</v>
      </c>
      <c r="FY94" t="str">
        <f>AND(#REF!,"AAAAAGZ2frQ=")</f>
        <v>#REF!</v>
      </c>
      <c r="FZ94" t="str">
        <f>AND(#REF!,"AAAAAGZ2frU=")</f>
        <v>#REF!</v>
      </c>
      <c r="GA94" t="str">
        <f>AND(#REF!,"AAAAAGZ2frY=")</f>
        <v>#REF!</v>
      </c>
      <c r="GB94" t="str">
        <f>AND(#REF!,"AAAAAGZ2frc=")</f>
        <v>#REF!</v>
      </c>
      <c r="GC94" t="str">
        <f>AND(#REF!,"AAAAAGZ2frg=")</f>
        <v>#REF!</v>
      </c>
      <c r="GD94" t="str">
        <f>AND(#REF!,"AAAAAGZ2frk=")</f>
        <v>#REF!</v>
      </c>
      <c r="GE94" t="str">
        <f>AND(#REF!,"AAAAAGZ2fro=")</f>
        <v>#REF!</v>
      </c>
      <c r="GF94" t="str">
        <f>AND(#REF!,"AAAAAGZ2frs=")</f>
        <v>#REF!</v>
      </c>
      <c r="GG94" t="str">
        <f>AND(#REF!,"AAAAAGZ2frw=")</f>
        <v>#REF!</v>
      </c>
      <c r="GH94" t="str">
        <f>AND(#REF!,"AAAAAGZ2fr0=")</f>
        <v>#REF!</v>
      </c>
      <c r="GI94" t="str">
        <f>AND(#REF!,"AAAAAGZ2fr4=")</f>
        <v>#REF!</v>
      </c>
      <c r="GJ94" t="str">
        <f>AND(#REF!,"AAAAAGZ2fr8=")</f>
        <v>#REF!</v>
      </c>
      <c r="GK94" t="str">
        <f>AND(#REF!,"AAAAAGZ2fsA=")</f>
        <v>#REF!</v>
      </c>
      <c r="GL94" t="str">
        <f>AND(#REF!,"AAAAAGZ2fsE=")</f>
        <v>#REF!</v>
      </c>
      <c r="GM94" t="str">
        <f>AND(#REF!,"AAAAAGZ2fsI=")</f>
        <v>#REF!</v>
      </c>
      <c r="GN94" t="str">
        <f>AND(#REF!,"AAAAAGZ2fsM=")</f>
        <v>#REF!</v>
      </c>
      <c r="GO94" t="str">
        <f>AND(#REF!,"AAAAAGZ2fsQ=")</f>
        <v>#REF!</v>
      </c>
      <c r="GP94" t="str">
        <f>AND(#REF!,"AAAAAGZ2fsU=")</f>
        <v>#REF!</v>
      </c>
      <c r="GQ94" t="str">
        <f>AND(#REF!,"AAAAAGZ2fsY=")</f>
        <v>#REF!</v>
      </c>
      <c r="GR94" t="str">
        <f>AND(#REF!,"AAAAAGZ2fsc=")</f>
        <v>#REF!</v>
      </c>
      <c r="GS94" t="str">
        <f>AND(#REF!,"AAAAAGZ2fsg=")</f>
        <v>#REF!</v>
      </c>
      <c r="GT94" t="str">
        <f>AND(#REF!,"AAAAAGZ2fsk=")</f>
        <v>#REF!</v>
      </c>
      <c r="GU94" t="str">
        <f>AND(#REF!,"AAAAAGZ2fso=")</f>
        <v>#REF!</v>
      </c>
      <c r="GV94" t="str">
        <f>AND(#REF!,"AAAAAGZ2fss=")</f>
        <v>#REF!</v>
      </c>
      <c r="GW94" t="str">
        <f>AND(#REF!,"AAAAAGZ2fsw=")</f>
        <v>#REF!</v>
      </c>
      <c r="GX94" t="str">
        <f>AND(#REF!,"AAAAAGZ2fs0=")</f>
        <v>#REF!</v>
      </c>
      <c r="GY94" t="str">
        <f>AND(#REF!,"AAAAAGZ2fs4=")</f>
        <v>#REF!</v>
      </c>
      <c r="GZ94" t="str">
        <f>AND(#REF!,"AAAAAGZ2fs8=")</f>
        <v>#REF!</v>
      </c>
      <c r="HA94" t="str">
        <f>AND(#REF!,"AAAAAGZ2ftA=")</f>
        <v>#REF!</v>
      </c>
      <c r="HB94" t="str">
        <f>AND(#REF!,"AAAAAGZ2ftE=")</f>
        <v>#REF!</v>
      </c>
      <c r="HC94" t="str">
        <f>AND(#REF!,"AAAAAGZ2ftI=")</f>
        <v>#REF!</v>
      </c>
      <c r="HD94" t="str">
        <f>AND(#REF!,"AAAAAGZ2ftM=")</f>
        <v>#REF!</v>
      </c>
      <c r="HE94" t="str">
        <f>AND(#REF!,"AAAAAGZ2ftQ=")</f>
        <v>#REF!</v>
      </c>
      <c r="HF94" t="str">
        <f>AND(#REF!,"AAAAAGZ2ftU=")</f>
        <v>#REF!</v>
      </c>
      <c r="HG94" t="str">
        <f>AND(#REF!,"AAAAAGZ2ftY=")</f>
        <v>#REF!</v>
      </c>
      <c r="HH94" t="str">
        <f>AND(#REF!,"AAAAAGZ2ftc=")</f>
        <v>#REF!</v>
      </c>
      <c r="HI94" t="str">
        <f>AND(#REF!,"AAAAAGZ2ftg=")</f>
        <v>#REF!</v>
      </c>
      <c r="HJ94" t="str">
        <f>AND(#REF!,"AAAAAGZ2ftk=")</f>
        <v>#REF!</v>
      </c>
      <c r="HK94" t="str">
        <f>AND(#REF!,"AAAAAGZ2fto=")</f>
        <v>#REF!</v>
      </c>
      <c r="HL94" t="str">
        <f>AND(#REF!,"AAAAAGZ2fts=")</f>
        <v>#REF!</v>
      </c>
      <c r="HM94" t="str">
        <f>AND(#REF!,"AAAAAGZ2ftw=")</f>
        <v>#REF!</v>
      </c>
      <c r="HN94" t="str">
        <f>AND(#REF!,"AAAAAGZ2ft0=")</f>
        <v>#REF!</v>
      </c>
      <c r="HO94" t="str">
        <f>AND(#REF!,"AAAAAGZ2ft4=")</f>
        <v>#REF!</v>
      </c>
      <c r="HP94" t="str">
        <f>AND(#REF!,"AAAAAGZ2ft8=")</f>
        <v>#REF!</v>
      </c>
      <c r="HQ94" t="str">
        <f>AND(#REF!,"AAAAAGZ2fuA=")</f>
        <v>#REF!</v>
      </c>
      <c r="HR94" t="str">
        <f>AND(#REF!,"AAAAAGZ2fuE=")</f>
        <v>#REF!</v>
      </c>
      <c r="HS94" t="str">
        <f>AND(#REF!,"AAAAAGZ2fuI=")</f>
        <v>#REF!</v>
      </c>
      <c r="HT94" t="str">
        <f>IF(#REF!,"AAAAAGZ2fuM=",0)</f>
        <v>#REF!</v>
      </c>
      <c r="HU94" t="str">
        <f>AND(#REF!,"AAAAAGZ2fuQ=")</f>
        <v>#REF!</v>
      </c>
      <c r="HV94" t="str">
        <f>AND(#REF!,"AAAAAGZ2fuU=")</f>
        <v>#REF!</v>
      </c>
      <c r="HW94" t="str">
        <f>AND(#REF!,"AAAAAGZ2fuY=")</f>
        <v>#REF!</v>
      </c>
      <c r="HX94" t="str">
        <f>AND(#REF!,"AAAAAGZ2fuc=")</f>
        <v>#REF!</v>
      </c>
      <c r="HY94" t="str">
        <f>AND(#REF!,"AAAAAGZ2fug=")</f>
        <v>#REF!</v>
      </c>
      <c r="HZ94" t="str">
        <f>AND(#REF!,"AAAAAGZ2fuk=")</f>
        <v>#REF!</v>
      </c>
      <c r="IA94" t="str">
        <f>AND(#REF!,"AAAAAGZ2fuo=")</f>
        <v>#REF!</v>
      </c>
      <c r="IB94" t="str">
        <f>AND(#REF!,"AAAAAGZ2fus=")</f>
        <v>#REF!</v>
      </c>
      <c r="IC94" t="str">
        <f>AND(#REF!,"AAAAAGZ2fuw=")</f>
        <v>#REF!</v>
      </c>
      <c r="ID94" t="str">
        <f>AND(#REF!,"AAAAAGZ2fu0=")</f>
        <v>#REF!</v>
      </c>
      <c r="IE94" t="str">
        <f>AND(#REF!,"AAAAAGZ2fu4=")</f>
        <v>#REF!</v>
      </c>
      <c r="IF94" t="str">
        <f>AND(#REF!,"AAAAAGZ2fu8=")</f>
        <v>#REF!</v>
      </c>
      <c r="IG94" t="str">
        <f>AND(#REF!,"AAAAAGZ2fvA=")</f>
        <v>#REF!</v>
      </c>
      <c r="IH94" t="str">
        <f>AND(#REF!,"AAAAAGZ2fvE=")</f>
        <v>#REF!</v>
      </c>
      <c r="II94" t="str">
        <f>AND(#REF!,"AAAAAGZ2fvI=")</f>
        <v>#REF!</v>
      </c>
      <c r="IJ94" t="str">
        <f>AND(#REF!,"AAAAAGZ2fvM=")</f>
        <v>#REF!</v>
      </c>
      <c r="IK94" t="str">
        <f>AND(#REF!,"AAAAAGZ2fvQ=")</f>
        <v>#REF!</v>
      </c>
      <c r="IL94" t="str">
        <f>AND(#REF!,"AAAAAGZ2fvU=")</f>
        <v>#REF!</v>
      </c>
      <c r="IM94" t="str">
        <f>AND(#REF!,"AAAAAGZ2fvY=")</f>
        <v>#REF!</v>
      </c>
      <c r="IN94" t="str">
        <f>AND(#REF!,"AAAAAGZ2fvc=")</f>
        <v>#REF!</v>
      </c>
      <c r="IO94" t="str">
        <f>AND(#REF!,"AAAAAGZ2fvg=")</f>
        <v>#REF!</v>
      </c>
      <c r="IP94" t="str">
        <f>AND(#REF!,"AAAAAGZ2fvk=")</f>
        <v>#REF!</v>
      </c>
      <c r="IQ94" t="str">
        <f>AND(#REF!,"AAAAAGZ2fvo=")</f>
        <v>#REF!</v>
      </c>
      <c r="IR94" t="str">
        <f>AND(#REF!,"AAAAAGZ2fvs=")</f>
        <v>#REF!</v>
      </c>
      <c r="IS94" t="str">
        <f>AND(#REF!,"AAAAAGZ2fvw=")</f>
        <v>#REF!</v>
      </c>
      <c r="IT94" t="str">
        <f>AND(#REF!,"AAAAAGZ2fv0=")</f>
        <v>#REF!</v>
      </c>
      <c r="IU94" t="str">
        <f>AND(#REF!,"AAAAAGZ2fv4=")</f>
        <v>#REF!</v>
      </c>
      <c r="IV94" t="str">
        <f>AND(#REF!,"AAAAAGZ2fv8=")</f>
        <v>#REF!</v>
      </c>
    </row>
    <row r="95" ht="15.75" customHeight="1">
      <c r="A95" t="str">
        <f>AND(#REF!,"AAAAAGfbrwA=")</f>
        <v>#REF!</v>
      </c>
      <c r="B95" t="str">
        <f>AND(#REF!,"AAAAAGfbrwE=")</f>
        <v>#REF!</v>
      </c>
      <c r="C95" t="str">
        <f>AND(#REF!,"AAAAAGfbrwI=")</f>
        <v>#REF!</v>
      </c>
      <c r="D95" t="str">
        <f>AND(#REF!,"AAAAAGfbrwM=")</f>
        <v>#REF!</v>
      </c>
      <c r="E95" t="str">
        <f>AND(#REF!,"AAAAAGfbrwQ=")</f>
        <v>#REF!</v>
      </c>
      <c r="F95" t="str">
        <f>AND(#REF!,"AAAAAGfbrwU=")</f>
        <v>#REF!</v>
      </c>
      <c r="G95" t="str">
        <f>AND(#REF!,"AAAAAGfbrwY=")</f>
        <v>#REF!</v>
      </c>
      <c r="H95" t="str">
        <f>AND(#REF!,"AAAAAGfbrwc=")</f>
        <v>#REF!</v>
      </c>
      <c r="I95" t="str">
        <f>AND(#REF!,"AAAAAGfbrwg=")</f>
        <v>#REF!</v>
      </c>
      <c r="J95" t="str">
        <f>AND(#REF!,"AAAAAGfbrwk=")</f>
        <v>#REF!</v>
      </c>
      <c r="K95" t="str">
        <f>AND(#REF!,"AAAAAGfbrwo=")</f>
        <v>#REF!</v>
      </c>
      <c r="L95" t="str">
        <f>AND(#REF!,"AAAAAGfbrws=")</f>
        <v>#REF!</v>
      </c>
      <c r="M95" t="str">
        <f>AND(#REF!,"AAAAAGfbrww=")</f>
        <v>#REF!</v>
      </c>
      <c r="N95" t="str">
        <f>AND(#REF!,"AAAAAGfbrw0=")</f>
        <v>#REF!</v>
      </c>
      <c r="O95" t="str">
        <f>AND(#REF!,"AAAAAGfbrw4=")</f>
        <v>#REF!</v>
      </c>
      <c r="P95" t="str">
        <f>AND(#REF!,"AAAAAGfbrw8=")</f>
        <v>#REF!</v>
      </c>
      <c r="Q95" t="str">
        <f>AND(#REF!,"AAAAAGfbrxA=")</f>
        <v>#REF!</v>
      </c>
      <c r="R95" t="str">
        <f>AND(#REF!,"AAAAAGfbrxE=")</f>
        <v>#REF!</v>
      </c>
      <c r="S95" t="str">
        <f>AND(#REF!,"AAAAAGfbrxI=")</f>
        <v>#REF!</v>
      </c>
      <c r="T95" t="str">
        <f>AND(#REF!,"AAAAAGfbrxM=")</f>
        <v>#REF!</v>
      </c>
      <c r="U95" t="str">
        <f>AND(#REF!,"AAAAAGfbrxQ=")</f>
        <v>#REF!</v>
      </c>
      <c r="V95" t="str">
        <f>AND(#REF!,"AAAAAGfbrxU=")</f>
        <v>#REF!</v>
      </c>
      <c r="W95" t="str">
        <f>AND(#REF!,"AAAAAGfbrxY=")</f>
        <v>#REF!</v>
      </c>
      <c r="X95" t="str">
        <f>AND(#REF!,"AAAAAGfbrxc=")</f>
        <v>#REF!</v>
      </c>
      <c r="Y95" t="str">
        <f>AND(#REF!,"AAAAAGfbrxg=")</f>
        <v>#REF!</v>
      </c>
      <c r="Z95" t="str">
        <f>AND(#REF!,"AAAAAGfbrxk=")</f>
        <v>#REF!</v>
      </c>
      <c r="AA95" t="str">
        <f>AND(#REF!,"AAAAAGfbrxo=")</f>
        <v>#REF!</v>
      </c>
      <c r="AB95" t="str">
        <f>AND(#REF!,"AAAAAGfbrxs=")</f>
        <v>#REF!</v>
      </c>
      <c r="AC95" t="str">
        <f>AND(#REF!,"AAAAAGfbrxw=")</f>
        <v>#REF!</v>
      </c>
      <c r="AD95" t="str">
        <f>AND(#REF!,"AAAAAGfbrx0=")</f>
        <v>#REF!</v>
      </c>
      <c r="AE95" t="str">
        <f>AND(#REF!,"AAAAAGfbrx4=")</f>
        <v>#REF!</v>
      </c>
      <c r="AF95" t="str">
        <f>AND(#REF!,"AAAAAGfbrx8=")</f>
        <v>#REF!</v>
      </c>
      <c r="AG95" t="str">
        <f>AND(#REF!,"AAAAAGfbryA=")</f>
        <v>#REF!</v>
      </c>
      <c r="AH95" t="str">
        <f>AND(#REF!,"AAAAAGfbryE=")</f>
        <v>#REF!</v>
      </c>
      <c r="AI95" t="str">
        <f>AND(#REF!,"AAAAAGfbryI=")</f>
        <v>#REF!</v>
      </c>
      <c r="AJ95" t="str">
        <f>AND(#REF!,"AAAAAGfbryM=")</f>
        <v>#REF!</v>
      </c>
      <c r="AK95" t="str">
        <f>AND(#REF!,"AAAAAGfbryQ=")</f>
        <v>#REF!</v>
      </c>
      <c r="AL95" t="str">
        <f>AND(#REF!,"AAAAAGfbryU=")</f>
        <v>#REF!</v>
      </c>
      <c r="AM95" t="str">
        <f>AND(#REF!,"AAAAAGfbryY=")</f>
        <v>#REF!</v>
      </c>
      <c r="AN95" t="str">
        <f>AND(#REF!,"AAAAAGfbryc=")</f>
        <v>#REF!</v>
      </c>
      <c r="AO95" t="str">
        <f>AND(#REF!,"AAAAAGfbryg=")</f>
        <v>#REF!</v>
      </c>
      <c r="AP95" t="str">
        <f>AND(#REF!,"AAAAAGfbryk=")</f>
        <v>#REF!</v>
      </c>
      <c r="AQ95" t="str">
        <f>AND(#REF!,"AAAAAGfbryo=")</f>
        <v>#REF!</v>
      </c>
      <c r="AR95" t="str">
        <f>AND(#REF!,"AAAAAGfbrys=")</f>
        <v>#REF!</v>
      </c>
      <c r="AS95" t="str">
        <f>AND(#REF!,"AAAAAGfbryw=")</f>
        <v>#REF!</v>
      </c>
      <c r="AT95" t="str">
        <f>AND(#REF!,"AAAAAGfbry0=")</f>
        <v>#REF!</v>
      </c>
      <c r="AU95" t="str">
        <f>AND(#REF!,"AAAAAGfbry4=")</f>
        <v>#REF!</v>
      </c>
      <c r="AV95" t="str">
        <f>IF(#REF!,"AAAAAGfbry8=",0)</f>
        <v>#REF!</v>
      </c>
      <c r="AW95" t="str">
        <f>AND(#REF!,"AAAAAGfbrzA=")</f>
        <v>#REF!</v>
      </c>
      <c r="AX95" t="str">
        <f>AND(#REF!,"AAAAAGfbrzE=")</f>
        <v>#REF!</v>
      </c>
      <c r="AY95" t="str">
        <f>AND(#REF!,"AAAAAGfbrzI=")</f>
        <v>#REF!</v>
      </c>
      <c r="AZ95" t="str">
        <f>AND(#REF!,"AAAAAGfbrzM=")</f>
        <v>#REF!</v>
      </c>
      <c r="BA95" t="str">
        <f>AND(#REF!,"AAAAAGfbrzQ=")</f>
        <v>#REF!</v>
      </c>
      <c r="BB95" t="str">
        <f>AND(#REF!,"AAAAAGfbrzU=")</f>
        <v>#REF!</v>
      </c>
      <c r="BC95" t="str">
        <f>AND(#REF!,"AAAAAGfbrzY=")</f>
        <v>#REF!</v>
      </c>
      <c r="BD95" t="str">
        <f>AND(#REF!,"AAAAAGfbrzc=")</f>
        <v>#REF!</v>
      </c>
      <c r="BE95" t="str">
        <f>AND(#REF!,"AAAAAGfbrzg=")</f>
        <v>#REF!</v>
      </c>
      <c r="BF95" t="str">
        <f>AND(#REF!,"AAAAAGfbrzk=")</f>
        <v>#REF!</v>
      </c>
      <c r="BG95" t="str">
        <f>AND(#REF!,"AAAAAGfbrzo=")</f>
        <v>#REF!</v>
      </c>
      <c r="BH95" t="str">
        <f>AND(#REF!,"AAAAAGfbrzs=")</f>
        <v>#REF!</v>
      </c>
      <c r="BI95" t="str">
        <f>AND(#REF!,"AAAAAGfbrzw=")</f>
        <v>#REF!</v>
      </c>
      <c r="BJ95" t="str">
        <f>AND(#REF!,"AAAAAGfbrz0=")</f>
        <v>#REF!</v>
      </c>
      <c r="BK95" t="str">
        <f>AND(#REF!,"AAAAAGfbrz4=")</f>
        <v>#REF!</v>
      </c>
      <c r="BL95" t="str">
        <f>AND(#REF!,"AAAAAGfbrz8=")</f>
        <v>#REF!</v>
      </c>
      <c r="BM95" t="str">
        <f>AND(#REF!,"AAAAAGfbr0A=")</f>
        <v>#REF!</v>
      </c>
      <c r="BN95" t="str">
        <f>AND(#REF!,"AAAAAGfbr0E=")</f>
        <v>#REF!</v>
      </c>
      <c r="BO95" t="str">
        <f>AND(#REF!,"AAAAAGfbr0I=")</f>
        <v>#REF!</v>
      </c>
      <c r="BP95" t="str">
        <f>AND(#REF!,"AAAAAGfbr0M=")</f>
        <v>#REF!</v>
      </c>
      <c r="BQ95" t="str">
        <f>AND(#REF!,"AAAAAGfbr0Q=")</f>
        <v>#REF!</v>
      </c>
      <c r="BR95" t="str">
        <f>AND(#REF!,"AAAAAGfbr0U=")</f>
        <v>#REF!</v>
      </c>
      <c r="BS95" t="str">
        <f>AND(#REF!,"AAAAAGfbr0Y=")</f>
        <v>#REF!</v>
      </c>
      <c r="BT95" t="str">
        <f>AND(#REF!,"AAAAAGfbr0c=")</f>
        <v>#REF!</v>
      </c>
      <c r="BU95" t="str">
        <f>AND(#REF!,"AAAAAGfbr0g=")</f>
        <v>#REF!</v>
      </c>
      <c r="BV95" t="str">
        <f>AND(#REF!,"AAAAAGfbr0k=")</f>
        <v>#REF!</v>
      </c>
      <c r="BW95" t="str">
        <f>AND(#REF!,"AAAAAGfbr0o=")</f>
        <v>#REF!</v>
      </c>
      <c r="BX95" t="str">
        <f>AND(#REF!,"AAAAAGfbr0s=")</f>
        <v>#REF!</v>
      </c>
      <c r="BY95" t="str">
        <f>AND(#REF!,"AAAAAGfbr0w=")</f>
        <v>#REF!</v>
      </c>
      <c r="BZ95" t="str">
        <f>AND(#REF!,"AAAAAGfbr00=")</f>
        <v>#REF!</v>
      </c>
      <c r="CA95" t="str">
        <f>AND(#REF!,"AAAAAGfbr04=")</f>
        <v>#REF!</v>
      </c>
      <c r="CB95" t="str">
        <f>AND(#REF!,"AAAAAGfbr08=")</f>
        <v>#REF!</v>
      </c>
      <c r="CC95" t="str">
        <f>AND(#REF!,"AAAAAGfbr1A=")</f>
        <v>#REF!</v>
      </c>
      <c r="CD95" t="str">
        <f>AND(#REF!,"AAAAAGfbr1E=")</f>
        <v>#REF!</v>
      </c>
      <c r="CE95" t="str">
        <f>AND(#REF!,"AAAAAGfbr1I=")</f>
        <v>#REF!</v>
      </c>
      <c r="CF95" t="str">
        <f>AND(#REF!,"AAAAAGfbr1M=")</f>
        <v>#REF!</v>
      </c>
      <c r="CG95" t="str">
        <f>AND(#REF!,"AAAAAGfbr1Q=")</f>
        <v>#REF!</v>
      </c>
      <c r="CH95" t="str">
        <f>AND(#REF!,"AAAAAGfbr1U=")</f>
        <v>#REF!</v>
      </c>
      <c r="CI95" t="str">
        <f>AND(#REF!,"AAAAAGfbr1Y=")</f>
        <v>#REF!</v>
      </c>
      <c r="CJ95" t="str">
        <f>AND(#REF!,"AAAAAGfbr1c=")</f>
        <v>#REF!</v>
      </c>
      <c r="CK95" t="str">
        <f>AND(#REF!,"AAAAAGfbr1g=")</f>
        <v>#REF!</v>
      </c>
      <c r="CL95" t="str">
        <f>AND(#REF!,"AAAAAGfbr1k=")</f>
        <v>#REF!</v>
      </c>
      <c r="CM95" t="str">
        <f>AND(#REF!,"AAAAAGfbr1o=")</f>
        <v>#REF!</v>
      </c>
      <c r="CN95" t="str">
        <f>AND(#REF!,"AAAAAGfbr1s=")</f>
        <v>#REF!</v>
      </c>
      <c r="CO95" t="str">
        <f>AND(#REF!,"AAAAAGfbr1w=")</f>
        <v>#REF!</v>
      </c>
      <c r="CP95" t="str">
        <f>AND(#REF!,"AAAAAGfbr10=")</f>
        <v>#REF!</v>
      </c>
      <c r="CQ95" t="str">
        <f>AND(#REF!,"AAAAAGfbr14=")</f>
        <v>#REF!</v>
      </c>
      <c r="CR95" t="str">
        <f>AND(#REF!,"AAAAAGfbr18=")</f>
        <v>#REF!</v>
      </c>
      <c r="CS95" t="str">
        <f>AND(#REF!,"AAAAAGfbr2A=")</f>
        <v>#REF!</v>
      </c>
      <c r="CT95" t="str">
        <f>AND(#REF!,"AAAAAGfbr2E=")</f>
        <v>#REF!</v>
      </c>
      <c r="CU95" t="str">
        <f>AND(#REF!,"AAAAAGfbr2I=")</f>
        <v>#REF!</v>
      </c>
      <c r="CV95" t="str">
        <f>AND(#REF!,"AAAAAGfbr2M=")</f>
        <v>#REF!</v>
      </c>
      <c r="CW95" t="str">
        <f>AND(#REF!,"AAAAAGfbr2Q=")</f>
        <v>#REF!</v>
      </c>
      <c r="CX95" t="str">
        <f>AND(#REF!,"AAAAAGfbr2U=")</f>
        <v>#REF!</v>
      </c>
      <c r="CY95" t="str">
        <f>AND(#REF!,"AAAAAGfbr2Y=")</f>
        <v>#REF!</v>
      </c>
      <c r="CZ95" t="str">
        <f>AND(#REF!,"AAAAAGfbr2c=")</f>
        <v>#REF!</v>
      </c>
      <c r="DA95" t="str">
        <f>AND(#REF!,"AAAAAGfbr2g=")</f>
        <v>#REF!</v>
      </c>
      <c r="DB95" t="str">
        <f>AND(#REF!,"AAAAAGfbr2k=")</f>
        <v>#REF!</v>
      </c>
      <c r="DC95" t="str">
        <f>AND(#REF!,"AAAAAGfbr2o=")</f>
        <v>#REF!</v>
      </c>
      <c r="DD95" t="str">
        <f>AND(#REF!,"AAAAAGfbr2s=")</f>
        <v>#REF!</v>
      </c>
      <c r="DE95" t="str">
        <f>AND(#REF!,"AAAAAGfbr2w=")</f>
        <v>#REF!</v>
      </c>
      <c r="DF95" t="str">
        <f>AND(#REF!,"AAAAAGfbr20=")</f>
        <v>#REF!</v>
      </c>
      <c r="DG95" t="str">
        <f>AND(#REF!,"AAAAAGfbr24=")</f>
        <v>#REF!</v>
      </c>
      <c r="DH95" t="str">
        <f>AND(#REF!,"AAAAAGfbr28=")</f>
        <v>#REF!</v>
      </c>
      <c r="DI95" t="str">
        <f>AND(#REF!,"AAAAAGfbr3A=")</f>
        <v>#REF!</v>
      </c>
      <c r="DJ95" t="str">
        <f>AND(#REF!,"AAAAAGfbr3E=")</f>
        <v>#REF!</v>
      </c>
      <c r="DK95" t="str">
        <f>AND(#REF!,"AAAAAGfbr3I=")</f>
        <v>#REF!</v>
      </c>
      <c r="DL95" t="str">
        <f>AND(#REF!,"AAAAAGfbr3M=")</f>
        <v>#REF!</v>
      </c>
      <c r="DM95" t="str">
        <f>AND(#REF!,"AAAAAGfbr3Q=")</f>
        <v>#REF!</v>
      </c>
      <c r="DN95" t="str">
        <f>AND(#REF!,"AAAAAGfbr3U=")</f>
        <v>#REF!</v>
      </c>
      <c r="DO95" t="str">
        <f>AND(#REF!,"AAAAAGfbr3Y=")</f>
        <v>#REF!</v>
      </c>
      <c r="DP95" t="str">
        <f>AND(#REF!,"AAAAAGfbr3c=")</f>
        <v>#REF!</v>
      </c>
      <c r="DQ95" t="str">
        <f>AND(#REF!,"AAAAAGfbr3g=")</f>
        <v>#REF!</v>
      </c>
      <c r="DR95" t="str">
        <f>AND(#REF!,"AAAAAGfbr3k=")</f>
        <v>#REF!</v>
      </c>
      <c r="DS95" t="str">
        <f>AND(#REF!,"AAAAAGfbr3o=")</f>
        <v>#REF!</v>
      </c>
      <c r="DT95" t="str">
        <f>IF(#REF!,"AAAAAGfbr3s=",0)</f>
        <v>#REF!</v>
      </c>
      <c r="DU95" t="str">
        <f>AND(#REF!,"AAAAAGfbr3w=")</f>
        <v>#REF!</v>
      </c>
      <c r="DV95" t="str">
        <f>AND(#REF!,"AAAAAGfbr30=")</f>
        <v>#REF!</v>
      </c>
      <c r="DW95" t="str">
        <f>AND(#REF!,"AAAAAGfbr34=")</f>
        <v>#REF!</v>
      </c>
      <c r="DX95" t="str">
        <f>AND(#REF!,"AAAAAGfbr38=")</f>
        <v>#REF!</v>
      </c>
      <c r="DY95" t="str">
        <f>AND(#REF!,"AAAAAGfbr4A=")</f>
        <v>#REF!</v>
      </c>
      <c r="DZ95" t="str">
        <f>AND(#REF!,"AAAAAGfbr4E=")</f>
        <v>#REF!</v>
      </c>
      <c r="EA95" t="str">
        <f>AND(#REF!,"AAAAAGfbr4I=")</f>
        <v>#REF!</v>
      </c>
      <c r="EB95" t="str">
        <f>AND(#REF!,"AAAAAGfbr4M=")</f>
        <v>#REF!</v>
      </c>
      <c r="EC95" t="str">
        <f>AND(#REF!,"AAAAAGfbr4Q=")</f>
        <v>#REF!</v>
      </c>
      <c r="ED95" t="str">
        <f>AND(#REF!,"AAAAAGfbr4U=")</f>
        <v>#REF!</v>
      </c>
      <c r="EE95" t="str">
        <f>AND(#REF!,"AAAAAGfbr4Y=")</f>
        <v>#REF!</v>
      </c>
      <c r="EF95" t="str">
        <f>AND(#REF!,"AAAAAGfbr4c=")</f>
        <v>#REF!</v>
      </c>
      <c r="EG95" t="str">
        <f>AND(#REF!,"AAAAAGfbr4g=")</f>
        <v>#REF!</v>
      </c>
      <c r="EH95" t="str">
        <f>AND(#REF!,"AAAAAGfbr4k=")</f>
        <v>#REF!</v>
      </c>
      <c r="EI95" t="str">
        <f>AND(#REF!,"AAAAAGfbr4o=")</f>
        <v>#REF!</v>
      </c>
      <c r="EJ95" t="str">
        <f>AND(#REF!,"AAAAAGfbr4s=")</f>
        <v>#REF!</v>
      </c>
      <c r="EK95" t="str">
        <f>AND(#REF!,"AAAAAGfbr4w=")</f>
        <v>#REF!</v>
      </c>
      <c r="EL95" t="str">
        <f>AND(#REF!,"AAAAAGfbr40=")</f>
        <v>#REF!</v>
      </c>
      <c r="EM95" t="str">
        <f>AND(#REF!,"AAAAAGfbr44=")</f>
        <v>#REF!</v>
      </c>
      <c r="EN95" t="str">
        <f>AND(#REF!,"AAAAAGfbr48=")</f>
        <v>#REF!</v>
      </c>
      <c r="EO95" t="str">
        <f>AND(#REF!,"AAAAAGfbr5A=")</f>
        <v>#REF!</v>
      </c>
      <c r="EP95" t="str">
        <f>AND(#REF!,"AAAAAGfbr5E=")</f>
        <v>#REF!</v>
      </c>
      <c r="EQ95" t="str">
        <f>AND(#REF!,"AAAAAGfbr5I=")</f>
        <v>#REF!</v>
      </c>
      <c r="ER95" t="str">
        <f>AND(#REF!,"AAAAAGfbr5M=")</f>
        <v>#REF!</v>
      </c>
      <c r="ES95" t="str">
        <f>AND(#REF!,"AAAAAGfbr5Q=")</f>
        <v>#REF!</v>
      </c>
      <c r="ET95" t="str">
        <f>AND(#REF!,"AAAAAGfbr5U=")</f>
        <v>#REF!</v>
      </c>
      <c r="EU95" t="str">
        <f>AND(#REF!,"AAAAAGfbr5Y=")</f>
        <v>#REF!</v>
      </c>
      <c r="EV95" t="str">
        <f>AND(#REF!,"AAAAAGfbr5c=")</f>
        <v>#REF!</v>
      </c>
      <c r="EW95" t="str">
        <f>AND(#REF!,"AAAAAGfbr5g=")</f>
        <v>#REF!</v>
      </c>
      <c r="EX95" t="str">
        <f>AND(#REF!,"AAAAAGfbr5k=")</f>
        <v>#REF!</v>
      </c>
      <c r="EY95" t="str">
        <f>AND(#REF!,"AAAAAGfbr5o=")</f>
        <v>#REF!</v>
      </c>
      <c r="EZ95" t="str">
        <f>AND(#REF!,"AAAAAGfbr5s=")</f>
        <v>#REF!</v>
      </c>
      <c r="FA95" t="str">
        <f>AND(#REF!,"AAAAAGfbr5w=")</f>
        <v>#REF!</v>
      </c>
      <c r="FB95" t="str">
        <f>AND(#REF!,"AAAAAGfbr50=")</f>
        <v>#REF!</v>
      </c>
      <c r="FC95" t="str">
        <f>AND(#REF!,"AAAAAGfbr54=")</f>
        <v>#REF!</v>
      </c>
      <c r="FD95" t="str">
        <f>AND(#REF!,"AAAAAGfbr58=")</f>
        <v>#REF!</v>
      </c>
      <c r="FE95" t="str">
        <f>AND(#REF!,"AAAAAGfbr6A=")</f>
        <v>#REF!</v>
      </c>
      <c r="FF95" t="str">
        <f>AND(#REF!,"AAAAAGfbr6E=")</f>
        <v>#REF!</v>
      </c>
      <c r="FG95" t="str">
        <f>AND(#REF!,"AAAAAGfbr6I=")</f>
        <v>#REF!</v>
      </c>
      <c r="FH95" t="str">
        <f>AND(#REF!,"AAAAAGfbr6M=")</f>
        <v>#REF!</v>
      </c>
      <c r="FI95" t="str">
        <f>AND(#REF!,"AAAAAGfbr6Q=")</f>
        <v>#REF!</v>
      </c>
      <c r="FJ95" t="str">
        <f>AND(#REF!,"AAAAAGfbr6U=")</f>
        <v>#REF!</v>
      </c>
      <c r="FK95" t="str">
        <f>AND(#REF!,"AAAAAGfbr6Y=")</f>
        <v>#REF!</v>
      </c>
      <c r="FL95" t="str">
        <f>AND(#REF!,"AAAAAGfbr6c=")</f>
        <v>#REF!</v>
      </c>
      <c r="FM95" t="str">
        <f>AND(#REF!,"AAAAAGfbr6g=")</f>
        <v>#REF!</v>
      </c>
      <c r="FN95" t="str">
        <f>AND(#REF!,"AAAAAGfbr6k=")</f>
        <v>#REF!</v>
      </c>
      <c r="FO95" t="str">
        <f>AND(#REF!,"AAAAAGfbr6o=")</f>
        <v>#REF!</v>
      </c>
      <c r="FP95" t="str">
        <f>AND(#REF!,"AAAAAGfbr6s=")</f>
        <v>#REF!</v>
      </c>
      <c r="FQ95" t="str">
        <f>AND(#REF!,"AAAAAGfbr6w=")</f>
        <v>#REF!</v>
      </c>
      <c r="FR95" t="str">
        <f>AND(#REF!,"AAAAAGfbr60=")</f>
        <v>#REF!</v>
      </c>
      <c r="FS95" t="str">
        <f>AND(#REF!,"AAAAAGfbr64=")</f>
        <v>#REF!</v>
      </c>
      <c r="FT95" t="str">
        <f>AND(#REF!,"AAAAAGfbr68=")</f>
        <v>#REF!</v>
      </c>
      <c r="FU95" t="str">
        <f>AND(#REF!,"AAAAAGfbr7A=")</f>
        <v>#REF!</v>
      </c>
      <c r="FV95" t="str">
        <f>AND(#REF!,"AAAAAGfbr7E=")</f>
        <v>#REF!</v>
      </c>
      <c r="FW95" t="str">
        <f>AND(#REF!,"AAAAAGfbr7I=")</f>
        <v>#REF!</v>
      </c>
      <c r="FX95" t="str">
        <f>AND(#REF!,"AAAAAGfbr7M=")</f>
        <v>#REF!</v>
      </c>
      <c r="FY95" t="str">
        <f>AND(#REF!,"AAAAAGfbr7Q=")</f>
        <v>#REF!</v>
      </c>
      <c r="FZ95" t="str">
        <f>AND(#REF!,"AAAAAGfbr7U=")</f>
        <v>#REF!</v>
      </c>
      <c r="GA95" t="str">
        <f>AND(#REF!,"AAAAAGfbr7Y=")</f>
        <v>#REF!</v>
      </c>
      <c r="GB95" t="str">
        <f>AND(#REF!,"AAAAAGfbr7c=")</f>
        <v>#REF!</v>
      </c>
      <c r="GC95" t="str">
        <f>AND(#REF!,"AAAAAGfbr7g=")</f>
        <v>#REF!</v>
      </c>
      <c r="GD95" t="str">
        <f>AND(#REF!,"AAAAAGfbr7k=")</f>
        <v>#REF!</v>
      </c>
      <c r="GE95" t="str">
        <f>AND(#REF!,"AAAAAGfbr7o=")</f>
        <v>#REF!</v>
      </c>
      <c r="GF95" t="str">
        <f>AND(#REF!,"AAAAAGfbr7s=")</f>
        <v>#REF!</v>
      </c>
      <c r="GG95" t="str">
        <f>AND(#REF!,"AAAAAGfbr7w=")</f>
        <v>#REF!</v>
      </c>
      <c r="GH95" t="str">
        <f>AND(#REF!,"AAAAAGfbr70=")</f>
        <v>#REF!</v>
      </c>
      <c r="GI95" t="str">
        <f>AND(#REF!,"AAAAAGfbr74=")</f>
        <v>#REF!</v>
      </c>
      <c r="GJ95" t="str">
        <f>AND(#REF!,"AAAAAGfbr78=")</f>
        <v>#REF!</v>
      </c>
      <c r="GK95" t="str">
        <f>AND(#REF!,"AAAAAGfbr8A=")</f>
        <v>#REF!</v>
      </c>
      <c r="GL95" t="str">
        <f>AND(#REF!,"AAAAAGfbr8E=")</f>
        <v>#REF!</v>
      </c>
      <c r="GM95" t="str">
        <f>AND(#REF!,"AAAAAGfbr8I=")</f>
        <v>#REF!</v>
      </c>
      <c r="GN95" t="str">
        <f>AND(#REF!,"AAAAAGfbr8M=")</f>
        <v>#REF!</v>
      </c>
      <c r="GO95" t="str">
        <f>AND(#REF!,"AAAAAGfbr8Q=")</f>
        <v>#REF!</v>
      </c>
      <c r="GP95" t="str">
        <f>AND(#REF!,"AAAAAGfbr8U=")</f>
        <v>#REF!</v>
      </c>
      <c r="GQ95" t="str">
        <f>AND(#REF!,"AAAAAGfbr8Y=")</f>
        <v>#REF!</v>
      </c>
      <c r="GR95" t="str">
        <f>IF(#REF!,"AAAAAGfbr8c=",0)</f>
        <v>#REF!</v>
      </c>
      <c r="GS95" t="str">
        <f>AND(#REF!,"AAAAAGfbr8g=")</f>
        <v>#REF!</v>
      </c>
      <c r="GT95" t="str">
        <f>AND(#REF!,"AAAAAGfbr8k=")</f>
        <v>#REF!</v>
      </c>
      <c r="GU95" t="str">
        <f>AND(#REF!,"AAAAAGfbr8o=")</f>
        <v>#REF!</v>
      </c>
      <c r="GV95" t="str">
        <f>AND(#REF!,"AAAAAGfbr8s=")</f>
        <v>#REF!</v>
      </c>
      <c r="GW95" t="str">
        <f>AND(#REF!,"AAAAAGfbr8w=")</f>
        <v>#REF!</v>
      </c>
      <c r="GX95" t="str">
        <f>AND(#REF!,"AAAAAGfbr80=")</f>
        <v>#REF!</v>
      </c>
      <c r="GY95" t="str">
        <f>AND(#REF!,"AAAAAGfbr84=")</f>
        <v>#REF!</v>
      </c>
      <c r="GZ95" t="str">
        <f>AND(#REF!,"AAAAAGfbr88=")</f>
        <v>#REF!</v>
      </c>
      <c r="HA95" t="str">
        <f>AND(#REF!,"AAAAAGfbr9A=")</f>
        <v>#REF!</v>
      </c>
      <c r="HB95" t="str">
        <f>AND(#REF!,"AAAAAGfbr9E=")</f>
        <v>#REF!</v>
      </c>
      <c r="HC95" t="str">
        <f>AND(#REF!,"AAAAAGfbr9I=")</f>
        <v>#REF!</v>
      </c>
      <c r="HD95" t="str">
        <f>AND(#REF!,"AAAAAGfbr9M=")</f>
        <v>#REF!</v>
      </c>
      <c r="HE95" t="str">
        <f>AND(#REF!,"AAAAAGfbr9Q=")</f>
        <v>#REF!</v>
      </c>
      <c r="HF95" t="str">
        <f>AND(#REF!,"AAAAAGfbr9U=")</f>
        <v>#REF!</v>
      </c>
      <c r="HG95" t="str">
        <f>AND(#REF!,"AAAAAGfbr9Y=")</f>
        <v>#REF!</v>
      </c>
      <c r="HH95" t="str">
        <f>AND(#REF!,"AAAAAGfbr9c=")</f>
        <v>#REF!</v>
      </c>
      <c r="HI95" t="str">
        <f>AND(#REF!,"AAAAAGfbr9g=")</f>
        <v>#REF!</v>
      </c>
      <c r="HJ95" t="str">
        <f>AND(#REF!,"AAAAAGfbr9k=")</f>
        <v>#REF!</v>
      </c>
      <c r="HK95" t="str">
        <f>AND(#REF!,"AAAAAGfbr9o=")</f>
        <v>#REF!</v>
      </c>
      <c r="HL95" t="str">
        <f>AND(#REF!,"AAAAAGfbr9s=")</f>
        <v>#REF!</v>
      </c>
      <c r="HM95" t="str">
        <f>AND(#REF!,"AAAAAGfbr9w=")</f>
        <v>#REF!</v>
      </c>
      <c r="HN95" t="str">
        <f>AND(#REF!,"AAAAAGfbr90=")</f>
        <v>#REF!</v>
      </c>
      <c r="HO95" t="str">
        <f>AND(#REF!,"AAAAAGfbr94=")</f>
        <v>#REF!</v>
      </c>
      <c r="HP95" t="str">
        <f>AND(#REF!,"AAAAAGfbr98=")</f>
        <v>#REF!</v>
      </c>
      <c r="HQ95" t="str">
        <f>AND(#REF!,"AAAAAGfbr+A=")</f>
        <v>#REF!</v>
      </c>
      <c r="HR95" t="str">
        <f>AND(#REF!,"AAAAAGfbr+E=")</f>
        <v>#REF!</v>
      </c>
      <c r="HS95" t="str">
        <f>AND(#REF!,"AAAAAGfbr+I=")</f>
        <v>#REF!</v>
      </c>
      <c r="HT95" t="str">
        <f>AND(#REF!,"AAAAAGfbr+M=")</f>
        <v>#REF!</v>
      </c>
      <c r="HU95" t="str">
        <f>AND(#REF!,"AAAAAGfbr+Q=")</f>
        <v>#REF!</v>
      </c>
      <c r="HV95" t="str">
        <f>AND(#REF!,"AAAAAGfbr+U=")</f>
        <v>#REF!</v>
      </c>
      <c r="HW95" t="str">
        <f>AND(#REF!,"AAAAAGfbr+Y=")</f>
        <v>#REF!</v>
      </c>
      <c r="HX95" t="str">
        <f>AND(#REF!,"AAAAAGfbr+c=")</f>
        <v>#REF!</v>
      </c>
      <c r="HY95" t="str">
        <f>AND(#REF!,"AAAAAGfbr+g=")</f>
        <v>#REF!</v>
      </c>
      <c r="HZ95" t="str">
        <f>AND(#REF!,"AAAAAGfbr+k=")</f>
        <v>#REF!</v>
      </c>
      <c r="IA95" t="str">
        <f>AND(#REF!,"AAAAAGfbr+o=")</f>
        <v>#REF!</v>
      </c>
      <c r="IB95" t="str">
        <f>AND(#REF!,"AAAAAGfbr+s=")</f>
        <v>#REF!</v>
      </c>
      <c r="IC95" t="str">
        <f>AND(#REF!,"AAAAAGfbr+w=")</f>
        <v>#REF!</v>
      </c>
      <c r="ID95" t="str">
        <f>AND(#REF!,"AAAAAGfbr+0=")</f>
        <v>#REF!</v>
      </c>
      <c r="IE95" t="str">
        <f>AND(#REF!,"AAAAAGfbr+4=")</f>
        <v>#REF!</v>
      </c>
      <c r="IF95" t="str">
        <f>AND(#REF!,"AAAAAGfbr+8=")</f>
        <v>#REF!</v>
      </c>
      <c r="IG95" t="str">
        <f>AND(#REF!,"AAAAAGfbr/A=")</f>
        <v>#REF!</v>
      </c>
      <c r="IH95" t="str">
        <f>AND(#REF!,"AAAAAGfbr/E=")</f>
        <v>#REF!</v>
      </c>
      <c r="II95" t="str">
        <f>AND(#REF!,"AAAAAGfbr/I=")</f>
        <v>#REF!</v>
      </c>
      <c r="IJ95" t="str">
        <f>AND(#REF!,"AAAAAGfbr/M=")</f>
        <v>#REF!</v>
      </c>
      <c r="IK95" t="str">
        <f>AND(#REF!,"AAAAAGfbr/Q=")</f>
        <v>#REF!</v>
      </c>
      <c r="IL95" t="str">
        <f>AND(#REF!,"AAAAAGfbr/U=")</f>
        <v>#REF!</v>
      </c>
      <c r="IM95" t="str">
        <f>AND(#REF!,"AAAAAGfbr/Y=")</f>
        <v>#REF!</v>
      </c>
      <c r="IN95" t="str">
        <f>AND(#REF!,"AAAAAGfbr/c=")</f>
        <v>#REF!</v>
      </c>
      <c r="IO95" t="str">
        <f>AND(#REF!,"AAAAAGfbr/g=")</f>
        <v>#REF!</v>
      </c>
      <c r="IP95" t="str">
        <f>AND(#REF!,"AAAAAGfbr/k=")</f>
        <v>#REF!</v>
      </c>
      <c r="IQ95" t="str">
        <f>AND(#REF!,"AAAAAGfbr/o=")</f>
        <v>#REF!</v>
      </c>
      <c r="IR95" t="str">
        <f>AND(#REF!,"AAAAAGfbr/s=")</f>
        <v>#REF!</v>
      </c>
      <c r="IS95" t="str">
        <f>AND(#REF!,"AAAAAGfbr/w=")</f>
        <v>#REF!</v>
      </c>
      <c r="IT95" t="str">
        <f>AND(#REF!,"AAAAAGfbr/0=")</f>
        <v>#REF!</v>
      </c>
      <c r="IU95" t="str">
        <f>AND(#REF!,"AAAAAGfbr/4=")</f>
        <v>#REF!</v>
      </c>
      <c r="IV95" t="str">
        <f>AND(#REF!,"AAAAAGfbr/8=")</f>
        <v>#REF!</v>
      </c>
    </row>
    <row r="96" ht="15.75" customHeight="1">
      <c r="A96" t="str">
        <f>AND(#REF!,"AAAAAGv9/QA=")</f>
        <v>#REF!</v>
      </c>
      <c r="B96" t="str">
        <f>AND(#REF!,"AAAAAGv9/QE=")</f>
        <v>#REF!</v>
      </c>
      <c r="C96" t="str">
        <f>AND(#REF!,"AAAAAGv9/QI=")</f>
        <v>#REF!</v>
      </c>
      <c r="D96" t="str">
        <f>AND(#REF!,"AAAAAGv9/QM=")</f>
        <v>#REF!</v>
      </c>
      <c r="E96" t="str">
        <f>AND(#REF!,"AAAAAGv9/QQ=")</f>
        <v>#REF!</v>
      </c>
      <c r="F96" t="str">
        <f>AND(#REF!,"AAAAAGv9/QU=")</f>
        <v>#REF!</v>
      </c>
      <c r="G96" t="str">
        <f>AND(#REF!,"AAAAAGv9/QY=")</f>
        <v>#REF!</v>
      </c>
      <c r="H96" t="str">
        <f>AND(#REF!,"AAAAAGv9/Qc=")</f>
        <v>#REF!</v>
      </c>
      <c r="I96" t="str">
        <f>AND(#REF!,"AAAAAGv9/Qg=")</f>
        <v>#REF!</v>
      </c>
      <c r="J96" t="str">
        <f>AND(#REF!,"AAAAAGv9/Qk=")</f>
        <v>#REF!</v>
      </c>
      <c r="K96" t="str">
        <f>AND(#REF!,"AAAAAGv9/Qo=")</f>
        <v>#REF!</v>
      </c>
      <c r="L96" t="str">
        <f>AND(#REF!,"AAAAAGv9/Qs=")</f>
        <v>#REF!</v>
      </c>
      <c r="M96" t="str">
        <f>AND(#REF!,"AAAAAGv9/Qw=")</f>
        <v>#REF!</v>
      </c>
      <c r="N96" t="str">
        <f>AND(#REF!,"AAAAAGv9/Q0=")</f>
        <v>#REF!</v>
      </c>
      <c r="O96" t="str">
        <f>AND(#REF!,"AAAAAGv9/Q4=")</f>
        <v>#REF!</v>
      </c>
      <c r="P96" t="str">
        <f>AND(#REF!,"AAAAAGv9/Q8=")</f>
        <v>#REF!</v>
      </c>
      <c r="Q96" t="str">
        <f>AND(#REF!,"AAAAAGv9/RA=")</f>
        <v>#REF!</v>
      </c>
      <c r="R96" t="str">
        <f>AND(#REF!,"AAAAAGv9/RE=")</f>
        <v>#REF!</v>
      </c>
      <c r="S96" t="str">
        <f>AND(#REF!,"AAAAAGv9/RI=")</f>
        <v>#REF!</v>
      </c>
      <c r="T96" t="str">
        <f>IF(#REF!,"AAAAAGv9/RM=",0)</f>
        <v>#REF!</v>
      </c>
      <c r="U96" t="str">
        <f>AND(#REF!,"AAAAAGv9/RQ=")</f>
        <v>#REF!</v>
      </c>
      <c r="V96" t="str">
        <f>AND(#REF!,"AAAAAGv9/RU=")</f>
        <v>#REF!</v>
      </c>
      <c r="W96" t="str">
        <f>AND(#REF!,"AAAAAGv9/RY=")</f>
        <v>#REF!</v>
      </c>
      <c r="X96" t="str">
        <f>AND(#REF!,"AAAAAGv9/Rc=")</f>
        <v>#REF!</v>
      </c>
      <c r="Y96" t="str">
        <f>AND(#REF!,"AAAAAGv9/Rg=")</f>
        <v>#REF!</v>
      </c>
      <c r="Z96" t="str">
        <f>AND(#REF!,"AAAAAGv9/Rk=")</f>
        <v>#REF!</v>
      </c>
      <c r="AA96" t="str">
        <f>AND(#REF!,"AAAAAGv9/Ro=")</f>
        <v>#REF!</v>
      </c>
      <c r="AB96" t="str">
        <f>AND(#REF!,"AAAAAGv9/Rs=")</f>
        <v>#REF!</v>
      </c>
      <c r="AC96" t="str">
        <f>AND(#REF!,"AAAAAGv9/Rw=")</f>
        <v>#REF!</v>
      </c>
      <c r="AD96" t="str">
        <f>AND(#REF!,"AAAAAGv9/R0=")</f>
        <v>#REF!</v>
      </c>
      <c r="AE96" t="str">
        <f>AND(#REF!,"AAAAAGv9/R4=")</f>
        <v>#REF!</v>
      </c>
      <c r="AF96" t="str">
        <f>AND(#REF!,"AAAAAGv9/R8=")</f>
        <v>#REF!</v>
      </c>
      <c r="AG96" t="str">
        <f>AND(#REF!,"AAAAAGv9/SA=")</f>
        <v>#REF!</v>
      </c>
      <c r="AH96" t="str">
        <f>AND(#REF!,"AAAAAGv9/SE=")</f>
        <v>#REF!</v>
      </c>
      <c r="AI96" t="str">
        <f>AND(#REF!,"AAAAAGv9/SI=")</f>
        <v>#REF!</v>
      </c>
      <c r="AJ96" t="str">
        <f>AND(#REF!,"AAAAAGv9/SM=")</f>
        <v>#REF!</v>
      </c>
      <c r="AK96" t="str">
        <f>AND(#REF!,"AAAAAGv9/SQ=")</f>
        <v>#REF!</v>
      </c>
      <c r="AL96" t="str">
        <f>AND(#REF!,"AAAAAGv9/SU=")</f>
        <v>#REF!</v>
      </c>
      <c r="AM96" t="str">
        <f>AND(#REF!,"AAAAAGv9/SY=")</f>
        <v>#REF!</v>
      </c>
      <c r="AN96" t="str">
        <f>AND(#REF!,"AAAAAGv9/Sc=")</f>
        <v>#REF!</v>
      </c>
      <c r="AO96" t="str">
        <f>AND(#REF!,"AAAAAGv9/Sg=")</f>
        <v>#REF!</v>
      </c>
      <c r="AP96" t="str">
        <f>AND(#REF!,"AAAAAGv9/Sk=")</f>
        <v>#REF!</v>
      </c>
      <c r="AQ96" t="str">
        <f>AND(#REF!,"AAAAAGv9/So=")</f>
        <v>#REF!</v>
      </c>
      <c r="AR96" t="str">
        <f>AND(#REF!,"AAAAAGv9/Ss=")</f>
        <v>#REF!</v>
      </c>
      <c r="AS96" t="str">
        <f>AND(#REF!,"AAAAAGv9/Sw=")</f>
        <v>#REF!</v>
      </c>
      <c r="AT96" t="str">
        <f>AND(#REF!,"AAAAAGv9/S0=")</f>
        <v>#REF!</v>
      </c>
      <c r="AU96" t="str">
        <f>AND(#REF!,"AAAAAGv9/S4=")</f>
        <v>#REF!</v>
      </c>
      <c r="AV96" t="str">
        <f>AND(#REF!,"AAAAAGv9/S8=")</f>
        <v>#REF!</v>
      </c>
      <c r="AW96" t="str">
        <f>AND(#REF!,"AAAAAGv9/TA=")</f>
        <v>#REF!</v>
      </c>
      <c r="AX96" t="str">
        <f>AND(#REF!,"AAAAAGv9/TE=")</f>
        <v>#REF!</v>
      </c>
      <c r="AY96" t="str">
        <f>AND(#REF!,"AAAAAGv9/TI=")</f>
        <v>#REF!</v>
      </c>
      <c r="AZ96" t="str">
        <f>AND(#REF!,"AAAAAGv9/TM=")</f>
        <v>#REF!</v>
      </c>
      <c r="BA96" t="str">
        <f>AND(#REF!,"AAAAAGv9/TQ=")</f>
        <v>#REF!</v>
      </c>
      <c r="BB96" t="str">
        <f>AND(#REF!,"AAAAAGv9/TU=")</f>
        <v>#REF!</v>
      </c>
      <c r="BC96" t="str">
        <f>AND(#REF!,"AAAAAGv9/TY=")</f>
        <v>#REF!</v>
      </c>
      <c r="BD96" t="str">
        <f>AND(#REF!,"AAAAAGv9/Tc=")</f>
        <v>#REF!</v>
      </c>
      <c r="BE96" t="str">
        <f>AND(#REF!,"AAAAAGv9/Tg=")</f>
        <v>#REF!</v>
      </c>
      <c r="BF96" t="str">
        <f>AND(#REF!,"AAAAAGv9/Tk=")</f>
        <v>#REF!</v>
      </c>
      <c r="BG96" t="str">
        <f>AND(#REF!,"AAAAAGv9/To=")</f>
        <v>#REF!</v>
      </c>
      <c r="BH96" t="str">
        <f>AND(#REF!,"AAAAAGv9/Ts=")</f>
        <v>#REF!</v>
      </c>
      <c r="BI96" t="str">
        <f>AND(#REF!,"AAAAAGv9/Tw=")</f>
        <v>#REF!</v>
      </c>
      <c r="BJ96" t="str">
        <f>AND(#REF!,"AAAAAGv9/T0=")</f>
        <v>#REF!</v>
      </c>
      <c r="BK96" t="str">
        <f>AND(#REF!,"AAAAAGv9/T4=")</f>
        <v>#REF!</v>
      </c>
      <c r="BL96" t="str">
        <f>AND(#REF!,"AAAAAGv9/T8=")</f>
        <v>#REF!</v>
      </c>
      <c r="BM96" t="str">
        <f>AND(#REF!,"AAAAAGv9/UA=")</f>
        <v>#REF!</v>
      </c>
      <c r="BN96" t="str">
        <f>AND(#REF!,"AAAAAGv9/UE=")</f>
        <v>#REF!</v>
      </c>
      <c r="BO96" t="str">
        <f>AND(#REF!,"AAAAAGv9/UI=")</f>
        <v>#REF!</v>
      </c>
      <c r="BP96" t="str">
        <f>AND(#REF!,"AAAAAGv9/UM=")</f>
        <v>#REF!</v>
      </c>
      <c r="BQ96" t="str">
        <f>AND(#REF!,"AAAAAGv9/UQ=")</f>
        <v>#REF!</v>
      </c>
      <c r="BR96" t="str">
        <f>AND(#REF!,"AAAAAGv9/UU=")</f>
        <v>#REF!</v>
      </c>
      <c r="BS96" t="str">
        <f>AND(#REF!,"AAAAAGv9/UY=")</f>
        <v>#REF!</v>
      </c>
      <c r="BT96" t="str">
        <f>AND(#REF!,"AAAAAGv9/Uc=")</f>
        <v>#REF!</v>
      </c>
      <c r="BU96" t="str">
        <f>AND(#REF!,"AAAAAGv9/Ug=")</f>
        <v>#REF!</v>
      </c>
      <c r="BV96" t="str">
        <f>AND(#REF!,"AAAAAGv9/Uk=")</f>
        <v>#REF!</v>
      </c>
      <c r="BW96" t="str">
        <f>AND(#REF!,"AAAAAGv9/Uo=")</f>
        <v>#REF!</v>
      </c>
      <c r="BX96" t="str">
        <f>AND(#REF!,"AAAAAGv9/Us=")</f>
        <v>#REF!</v>
      </c>
      <c r="BY96" t="str">
        <f>AND(#REF!,"AAAAAGv9/Uw=")</f>
        <v>#REF!</v>
      </c>
      <c r="BZ96" t="str">
        <f>AND(#REF!,"AAAAAGv9/U0=")</f>
        <v>#REF!</v>
      </c>
      <c r="CA96" t="str">
        <f>AND(#REF!,"AAAAAGv9/U4=")</f>
        <v>#REF!</v>
      </c>
      <c r="CB96" t="str">
        <f>AND(#REF!,"AAAAAGv9/U8=")</f>
        <v>#REF!</v>
      </c>
      <c r="CC96" t="str">
        <f>AND(#REF!,"AAAAAGv9/VA=")</f>
        <v>#REF!</v>
      </c>
      <c r="CD96" t="str">
        <f>AND(#REF!,"AAAAAGv9/VE=")</f>
        <v>#REF!</v>
      </c>
      <c r="CE96" t="str">
        <f>AND(#REF!,"AAAAAGv9/VI=")</f>
        <v>#REF!</v>
      </c>
      <c r="CF96" t="str">
        <f>AND(#REF!,"AAAAAGv9/VM=")</f>
        <v>#REF!</v>
      </c>
      <c r="CG96" t="str">
        <f>AND(#REF!,"AAAAAGv9/VQ=")</f>
        <v>#REF!</v>
      </c>
      <c r="CH96" t="str">
        <f>AND(#REF!,"AAAAAGv9/VU=")</f>
        <v>#REF!</v>
      </c>
      <c r="CI96" t="str">
        <f>AND(#REF!,"AAAAAGv9/VY=")</f>
        <v>#REF!</v>
      </c>
      <c r="CJ96" t="str">
        <f>AND(#REF!,"AAAAAGv9/Vc=")</f>
        <v>#REF!</v>
      </c>
      <c r="CK96" t="str">
        <f>AND(#REF!,"AAAAAGv9/Vg=")</f>
        <v>#REF!</v>
      </c>
      <c r="CL96" t="str">
        <f>AND(#REF!,"AAAAAGv9/Vk=")</f>
        <v>#REF!</v>
      </c>
      <c r="CM96" t="str">
        <f>AND(#REF!,"AAAAAGv9/Vo=")</f>
        <v>#REF!</v>
      </c>
      <c r="CN96" t="str">
        <f>AND(#REF!,"AAAAAGv9/Vs=")</f>
        <v>#REF!</v>
      </c>
      <c r="CO96" t="str">
        <f>AND(#REF!,"AAAAAGv9/Vw=")</f>
        <v>#REF!</v>
      </c>
      <c r="CP96" t="str">
        <f>AND(#REF!,"AAAAAGv9/V0=")</f>
        <v>#REF!</v>
      </c>
      <c r="CQ96" t="str">
        <f>AND(#REF!,"AAAAAGv9/V4=")</f>
        <v>#REF!</v>
      </c>
      <c r="CR96" t="str">
        <f>IF(#REF!,"AAAAAGv9/V8=",0)</f>
        <v>#REF!</v>
      </c>
      <c r="CS96" t="str">
        <f>AND(#REF!,"AAAAAGv9/WA=")</f>
        <v>#REF!</v>
      </c>
      <c r="CT96" t="str">
        <f>AND(#REF!,"AAAAAGv9/WE=")</f>
        <v>#REF!</v>
      </c>
      <c r="CU96" t="str">
        <f>AND(#REF!,"AAAAAGv9/WI=")</f>
        <v>#REF!</v>
      </c>
      <c r="CV96" t="str">
        <f>AND(#REF!,"AAAAAGv9/WM=")</f>
        <v>#REF!</v>
      </c>
      <c r="CW96" t="str">
        <f>AND(#REF!,"AAAAAGv9/WQ=")</f>
        <v>#REF!</v>
      </c>
      <c r="CX96" t="str">
        <f>AND(#REF!,"AAAAAGv9/WU=")</f>
        <v>#REF!</v>
      </c>
      <c r="CY96" t="str">
        <f>AND(#REF!,"AAAAAGv9/WY=")</f>
        <v>#REF!</v>
      </c>
      <c r="CZ96" t="str">
        <f>AND(#REF!,"AAAAAGv9/Wc=")</f>
        <v>#REF!</v>
      </c>
      <c r="DA96" t="str">
        <f>AND(#REF!,"AAAAAGv9/Wg=")</f>
        <v>#REF!</v>
      </c>
      <c r="DB96" t="str">
        <f>AND(#REF!,"AAAAAGv9/Wk=")</f>
        <v>#REF!</v>
      </c>
      <c r="DC96" t="str">
        <f>AND(#REF!,"AAAAAGv9/Wo=")</f>
        <v>#REF!</v>
      </c>
      <c r="DD96" t="str">
        <f>AND(#REF!,"AAAAAGv9/Ws=")</f>
        <v>#REF!</v>
      </c>
      <c r="DE96" t="str">
        <f>AND(#REF!,"AAAAAGv9/Ww=")</f>
        <v>#REF!</v>
      </c>
      <c r="DF96" t="str">
        <f>AND(#REF!,"AAAAAGv9/W0=")</f>
        <v>#REF!</v>
      </c>
      <c r="DG96" t="str">
        <f>AND(#REF!,"AAAAAGv9/W4=")</f>
        <v>#REF!</v>
      </c>
      <c r="DH96" t="str">
        <f>AND(#REF!,"AAAAAGv9/W8=")</f>
        <v>#REF!</v>
      </c>
      <c r="DI96" t="str">
        <f>AND(#REF!,"AAAAAGv9/XA=")</f>
        <v>#REF!</v>
      </c>
      <c r="DJ96" t="str">
        <f>AND(#REF!,"AAAAAGv9/XE=")</f>
        <v>#REF!</v>
      </c>
      <c r="DK96" t="str">
        <f>AND(#REF!,"AAAAAGv9/XI=")</f>
        <v>#REF!</v>
      </c>
      <c r="DL96" t="str">
        <f>AND(#REF!,"AAAAAGv9/XM=")</f>
        <v>#REF!</v>
      </c>
      <c r="DM96" t="str">
        <f>AND(#REF!,"AAAAAGv9/XQ=")</f>
        <v>#REF!</v>
      </c>
      <c r="DN96" t="str">
        <f>AND(#REF!,"AAAAAGv9/XU=")</f>
        <v>#REF!</v>
      </c>
      <c r="DO96" t="str">
        <f>AND(#REF!,"AAAAAGv9/XY=")</f>
        <v>#REF!</v>
      </c>
      <c r="DP96" t="str">
        <f>AND(#REF!,"AAAAAGv9/Xc=")</f>
        <v>#REF!</v>
      </c>
      <c r="DQ96" t="str">
        <f>AND(#REF!,"AAAAAGv9/Xg=")</f>
        <v>#REF!</v>
      </c>
      <c r="DR96" t="str">
        <f>AND(#REF!,"AAAAAGv9/Xk=")</f>
        <v>#REF!</v>
      </c>
      <c r="DS96" t="str">
        <f>AND(#REF!,"AAAAAGv9/Xo=")</f>
        <v>#REF!</v>
      </c>
      <c r="DT96" t="str">
        <f>AND(#REF!,"AAAAAGv9/Xs=")</f>
        <v>#REF!</v>
      </c>
      <c r="DU96" t="str">
        <f>AND(#REF!,"AAAAAGv9/Xw=")</f>
        <v>#REF!</v>
      </c>
      <c r="DV96" t="str">
        <f>AND(#REF!,"AAAAAGv9/X0=")</f>
        <v>#REF!</v>
      </c>
      <c r="DW96" t="str">
        <f>AND(#REF!,"AAAAAGv9/X4=")</f>
        <v>#REF!</v>
      </c>
      <c r="DX96" t="str">
        <f>AND(#REF!,"AAAAAGv9/X8=")</f>
        <v>#REF!</v>
      </c>
      <c r="DY96" t="str">
        <f>AND(#REF!,"AAAAAGv9/YA=")</f>
        <v>#REF!</v>
      </c>
      <c r="DZ96" t="str">
        <f>AND(#REF!,"AAAAAGv9/YE=")</f>
        <v>#REF!</v>
      </c>
      <c r="EA96" t="str">
        <f>AND(#REF!,"AAAAAGv9/YI=")</f>
        <v>#REF!</v>
      </c>
      <c r="EB96" t="str">
        <f>AND(#REF!,"AAAAAGv9/YM=")</f>
        <v>#REF!</v>
      </c>
      <c r="EC96" t="str">
        <f>AND(#REF!,"AAAAAGv9/YQ=")</f>
        <v>#REF!</v>
      </c>
      <c r="ED96" t="str">
        <f>AND(#REF!,"AAAAAGv9/YU=")</f>
        <v>#REF!</v>
      </c>
      <c r="EE96" t="str">
        <f>AND(#REF!,"AAAAAGv9/YY=")</f>
        <v>#REF!</v>
      </c>
      <c r="EF96" t="str">
        <f>AND(#REF!,"AAAAAGv9/Yc=")</f>
        <v>#REF!</v>
      </c>
      <c r="EG96" t="str">
        <f>AND(#REF!,"AAAAAGv9/Yg=")</f>
        <v>#REF!</v>
      </c>
      <c r="EH96" t="str">
        <f>AND(#REF!,"AAAAAGv9/Yk=")</f>
        <v>#REF!</v>
      </c>
      <c r="EI96" t="str">
        <f>AND(#REF!,"AAAAAGv9/Yo=")</f>
        <v>#REF!</v>
      </c>
      <c r="EJ96" t="str">
        <f>AND(#REF!,"AAAAAGv9/Ys=")</f>
        <v>#REF!</v>
      </c>
      <c r="EK96" t="str">
        <f>AND(#REF!,"AAAAAGv9/Yw=")</f>
        <v>#REF!</v>
      </c>
      <c r="EL96" t="str">
        <f>AND(#REF!,"AAAAAGv9/Y0=")</f>
        <v>#REF!</v>
      </c>
      <c r="EM96" t="str">
        <f>AND(#REF!,"AAAAAGv9/Y4=")</f>
        <v>#REF!</v>
      </c>
      <c r="EN96" t="str">
        <f>AND(#REF!,"AAAAAGv9/Y8=")</f>
        <v>#REF!</v>
      </c>
      <c r="EO96" t="str">
        <f>AND(#REF!,"AAAAAGv9/ZA=")</f>
        <v>#REF!</v>
      </c>
      <c r="EP96" t="str">
        <f>AND(#REF!,"AAAAAGv9/ZE=")</f>
        <v>#REF!</v>
      </c>
      <c r="EQ96" t="str">
        <f>AND(#REF!,"AAAAAGv9/ZI=")</f>
        <v>#REF!</v>
      </c>
      <c r="ER96" t="str">
        <f>AND(#REF!,"AAAAAGv9/ZM=")</f>
        <v>#REF!</v>
      </c>
      <c r="ES96" t="str">
        <f>AND(#REF!,"AAAAAGv9/ZQ=")</f>
        <v>#REF!</v>
      </c>
      <c r="ET96" t="str">
        <f>AND(#REF!,"AAAAAGv9/ZU=")</f>
        <v>#REF!</v>
      </c>
      <c r="EU96" t="str">
        <f>AND(#REF!,"AAAAAGv9/ZY=")</f>
        <v>#REF!</v>
      </c>
      <c r="EV96" t="str">
        <f>AND(#REF!,"AAAAAGv9/Zc=")</f>
        <v>#REF!</v>
      </c>
      <c r="EW96" t="str">
        <f>AND(#REF!,"AAAAAGv9/Zg=")</f>
        <v>#REF!</v>
      </c>
      <c r="EX96" t="str">
        <f>AND(#REF!,"AAAAAGv9/Zk=")</f>
        <v>#REF!</v>
      </c>
      <c r="EY96" t="str">
        <f>AND(#REF!,"AAAAAGv9/Zo=")</f>
        <v>#REF!</v>
      </c>
      <c r="EZ96" t="str">
        <f>AND(#REF!,"AAAAAGv9/Zs=")</f>
        <v>#REF!</v>
      </c>
      <c r="FA96" t="str">
        <f>AND(#REF!,"AAAAAGv9/Zw=")</f>
        <v>#REF!</v>
      </c>
      <c r="FB96" t="str">
        <f>AND(#REF!,"AAAAAGv9/Z0=")</f>
        <v>#REF!</v>
      </c>
      <c r="FC96" t="str">
        <f>AND(#REF!,"AAAAAGv9/Z4=")</f>
        <v>#REF!</v>
      </c>
      <c r="FD96" t="str">
        <f>AND(#REF!,"AAAAAGv9/Z8=")</f>
        <v>#REF!</v>
      </c>
      <c r="FE96" t="str">
        <f>AND(#REF!,"AAAAAGv9/aA=")</f>
        <v>#REF!</v>
      </c>
      <c r="FF96" t="str">
        <f>AND(#REF!,"AAAAAGv9/aE=")</f>
        <v>#REF!</v>
      </c>
      <c r="FG96" t="str">
        <f>AND(#REF!,"AAAAAGv9/aI=")</f>
        <v>#REF!</v>
      </c>
      <c r="FH96" t="str">
        <f>AND(#REF!,"AAAAAGv9/aM=")</f>
        <v>#REF!</v>
      </c>
      <c r="FI96" t="str">
        <f>AND(#REF!,"AAAAAGv9/aQ=")</f>
        <v>#REF!</v>
      </c>
      <c r="FJ96" t="str">
        <f>AND(#REF!,"AAAAAGv9/aU=")</f>
        <v>#REF!</v>
      </c>
      <c r="FK96" t="str">
        <f>AND(#REF!,"AAAAAGv9/aY=")</f>
        <v>#REF!</v>
      </c>
      <c r="FL96" t="str">
        <f>AND(#REF!,"AAAAAGv9/ac=")</f>
        <v>#REF!</v>
      </c>
      <c r="FM96" t="str">
        <f>AND(#REF!,"AAAAAGv9/ag=")</f>
        <v>#REF!</v>
      </c>
      <c r="FN96" t="str">
        <f>AND(#REF!,"AAAAAGv9/ak=")</f>
        <v>#REF!</v>
      </c>
      <c r="FO96" t="str">
        <f>AND(#REF!,"AAAAAGv9/ao=")</f>
        <v>#REF!</v>
      </c>
      <c r="FP96" t="str">
        <f>IF(#REF!,"AAAAAGv9/as=",0)</f>
        <v>#REF!</v>
      </c>
      <c r="FQ96" t="str">
        <f>AND(#REF!,"AAAAAGv9/aw=")</f>
        <v>#REF!</v>
      </c>
      <c r="FR96" t="str">
        <f>AND(#REF!,"AAAAAGv9/a0=")</f>
        <v>#REF!</v>
      </c>
      <c r="FS96" t="str">
        <f>AND(#REF!,"AAAAAGv9/a4=")</f>
        <v>#REF!</v>
      </c>
      <c r="FT96" t="str">
        <f>AND(#REF!,"AAAAAGv9/a8=")</f>
        <v>#REF!</v>
      </c>
      <c r="FU96" t="str">
        <f>AND(#REF!,"AAAAAGv9/bA=")</f>
        <v>#REF!</v>
      </c>
      <c r="FV96" t="str">
        <f>AND(#REF!,"AAAAAGv9/bE=")</f>
        <v>#REF!</v>
      </c>
      <c r="FW96" t="str">
        <f>AND(#REF!,"AAAAAGv9/bI=")</f>
        <v>#REF!</v>
      </c>
      <c r="FX96" t="str">
        <f>AND(#REF!,"AAAAAGv9/bM=")</f>
        <v>#REF!</v>
      </c>
      <c r="FY96" t="str">
        <f>AND(#REF!,"AAAAAGv9/bQ=")</f>
        <v>#REF!</v>
      </c>
      <c r="FZ96" t="str">
        <f>AND(#REF!,"AAAAAGv9/bU=")</f>
        <v>#REF!</v>
      </c>
      <c r="GA96" t="str">
        <f>AND(#REF!,"AAAAAGv9/bY=")</f>
        <v>#REF!</v>
      </c>
      <c r="GB96" t="str">
        <f>AND(#REF!,"AAAAAGv9/bc=")</f>
        <v>#REF!</v>
      </c>
      <c r="GC96" t="str">
        <f>AND(#REF!,"AAAAAGv9/bg=")</f>
        <v>#REF!</v>
      </c>
      <c r="GD96" t="str">
        <f>AND(#REF!,"AAAAAGv9/bk=")</f>
        <v>#REF!</v>
      </c>
      <c r="GE96" t="str">
        <f>AND(#REF!,"AAAAAGv9/bo=")</f>
        <v>#REF!</v>
      </c>
      <c r="GF96" t="str">
        <f>AND(#REF!,"AAAAAGv9/bs=")</f>
        <v>#REF!</v>
      </c>
      <c r="GG96" t="str">
        <f>AND(#REF!,"AAAAAGv9/bw=")</f>
        <v>#REF!</v>
      </c>
      <c r="GH96" t="str">
        <f>AND(#REF!,"AAAAAGv9/b0=")</f>
        <v>#REF!</v>
      </c>
      <c r="GI96" t="str">
        <f>AND(#REF!,"AAAAAGv9/b4=")</f>
        <v>#REF!</v>
      </c>
      <c r="GJ96" t="str">
        <f>AND(#REF!,"AAAAAGv9/b8=")</f>
        <v>#REF!</v>
      </c>
      <c r="GK96" t="str">
        <f>AND(#REF!,"AAAAAGv9/cA=")</f>
        <v>#REF!</v>
      </c>
      <c r="GL96" t="str">
        <f>AND(#REF!,"AAAAAGv9/cE=")</f>
        <v>#REF!</v>
      </c>
      <c r="GM96" t="str">
        <f>AND(#REF!,"AAAAAGv9/cI=")</f>
        <v>#REF!</v>
      </c>
      <c r="GN96" t="str">
        <f>AND(#REF!,"AAAAAGv9/cM=")</f>
        <v>#REF!</v>
      </c>
      <c r="GO96" t="str">
        <f>AND(#REF!,"AAAAAGv9/cQ=")</f>
        <v>#REF!</v>
      </c>
      <c r="GP96" t="str">
        <f>AND(#REF!,"AAAAAGv9/cU=")</f>
        <v>#REF!</v>
      </c>
      <c r="GQ96" t="str">
        <f>AND(#REF!,"AAAAAGv9/cY=")</f>
        <v>#REF!</v>
      </c>
      <c r="GR96" t="str">
        <f>AND(#REF!,"AAAAAGv9/cc=")</f>
        <v>#REF!</v>
      </c>
      <c r="GS96" t="str">
        <f>AND(#REF!,"AAAAAGv9/cg=")</f>
        <v>#REF!</v>
      </c>
      <c r="GT96" t="str">
        <f>AND(#REF!,"AAAAAGv9/ck=")</f>
        <v>#REF!</v>
      </c>
      <c r="GU96" t="str">
        <f>AND(#REF!,"AAAAAGv9/co=")</f>
        <v>#REF!</v>
      </c>
      <c r="GV96" t="str">
        <f>AND(#REF!,"AAAAAGv9/cs=")</f>
        <v>#REF!</v>
      </c>
      <c r="GW96" t="str">
        <f>AND(#REF!,"AAAAAGv9/cw=")</f>
        <v>#REF!</v>
      </c>
      <c r="GX96" t="str">
        <f>AND(#REF!,"AAAAAGv9/c0=")</f>
        <v>#REF!</v>
      </c>
      <c r="GY96" t="str">
        <f>AND(#REF!,"AAAAAGv9/c4=")</f>
        <v>#REF!</v>
      </c>
      <c r="GZ96" t="str">
        <f>AND(#REF!,"AAAAAGv9/c8=")</f>
        <v>#REF!</v>
      </c>
      <c r="HA96" t="str">
        <f>AND(#REF!,"AAAAAGv9/dA=")</f>
        <v>#REF!</v>
      </c>
      <c r="HB96" t="str">
        <f>AND(#REF!,"AAAAAGv9/dE=")</f>
        <v>#REF!</v>
      </c>
      <c r="HC96" t="str">
        <f>AND(#REF!,"AAAAAGv9/dI=")</f>
        <v>#REF!</v>
      </c>
      <c r="HD96" t="str">
        <f>AND(#REF!,"AAAAAGv9/dM=")</f>
        <v>#REF!</v>
      </c>
      <c r="HE96" t="str">
        <f>AND(#REF!,"AAAAAGv9/dQ=")</f>
        <v>#REF!</v>
      </c>
      <c r="HF96" t="str">
        <f>AND(#REF!,"AAAAAGv9/dU=")</f>
        <v>#REF!</v>
      </c>
      <c r="HG96" t="str">
        <f>AND(#REF!,"AAAAAGv9/dY=")</f>
        <v>#REF!</v>
      </c>
      <c r="HH96" t="str">
        <f>AND(#REF!,"AAAAAGv9/dc=")</f>
        <v>#REF!</v>
      </c>
      <c r="HI96" t="str">
        <f>AND(#REF!,"AAAAAGv9/dg=")</f>
        <v>#REF!</v>
      </c>
      <c r="HJ96" t="str">
        <f>AND(#REF!,"AAAAAGv9/dk=")</f>
        <v>#REF!</v>
      </c>
      <c r="HK96" t="str">
        <f>AND(#REF!,"AAAAAGv9/do=")</f>
        <v>#REF!</v>
      </c>
      <c r="HL96" t="str">
        <f>AND(#REF!,"AAAAAGv9/ds=")</f>
        <v>#REF!</v>
      </c>
      <c r="HM96" t="str">
        <f>AND(#REF!,"AAAAAGv9/dw=")</f>
        <v>#REF!</v>
      </c>
      <c r="HN96" t="str">
        <f>AND(#REF!,"AAAAAGv9/d0=")</f>
        <v>#REF!</v>
      </c>
      <c r="HO96" t="str">
        <f>AND(#REF!,"AAAAAGv9/d4=")</f>
        <v>#REF!</v>
      </c>
      <c r="HP96" t="str">
        <f>AND(#REF!,"AAAAAGv9/d8=")</f>
        <v>#REF!</v>
      </c>
      <c r="HQ96" t="str">
        <f>AND(#REF!,"AAAAAGv9/eA=")</f>
        <v>#REF!</v>
      </c>
      <c r="HR96" t="str">
        <f>AND(#REF!,"AAAAAGv9/eE=")</f>
        <v>#REF!</v>
      </c>
      <c r="HS96" t="str">
        <f>AND(#REF!,"AAAAAGv9/eI=")</f>
        <v>#REF!</v>
      </c>
      <c r="HT96" t="str">
        <f>AND(#REF!,"AAAAAGv9/eM=")</f>
        <v>#REF!</v>
      </c>
      <c r="HU96" t="str">
        <f>AND(#REF!,"AAAAAGv9/eQ=")</f>
        <v>#REF!</v>
      </c>
      <c r="HV96" t="str">
        <f>AND(#REF!,"AAAAAGv9/eU=")</f>
        <v>#REF!</v>
      </c>
      <c r="HW96" t="str">
        <f>AND(#REF!,"AAAAAGv9/eY=")</f>
        <v>#REF!</v>
      </c>
      <c r="HX96" t="str">
        <f>AND(#REF!,"AAAAAGv9/ec=")</f>
        <v>#REF!</v>
      </c>
      <c r="HY96" t="str">
        <f>AND(#REF!,"AAAAAGv9/eg=")</f>
        <v>#REF!</v>
      </c>
      <c r="HZ96" t="str">
        <f>AND(#REF!,"AAAAAGv9/ek=")</f>
        <v>#REF!</v>
      </c>
      <c r="IA96" t="str">
        <f>AND(#REF!,"AAAAAGv9/eo=")</f>
        <v>#REF!</v>
      </c>
      <c r="IB96" t="str">
        <f>AND(#REF!,"AAAAAGv9/es=")</f>
        <v>#REF!</v>
      </c>
      <c r="IC96" t="str">
        <f>AND(#REF!,"AAAAAGv9/ew=")</f>
        <v>#REF!</v>
      </c>
      <c r="ID96" t="str">
        <f>AND(#REF!,"AAAAAGv9/e0=")</f>
        <v>#REF!</v>
      </c>
      <c r="IE96" t="str">
        <f>AND(#REF!,"AAAAAGv9/e4=")</f>
        <v>#REF!</v>
      </c>
      <c r="IF96" t="str">
        <f>AND(#REF!,"AAAAAGv9/e8=")</f>
        <v>#REF!</v>
      </c>
      <c r="IG96" t="str">
        <f>AND(#REF!,"AAAAAGv9/fA=")</f>
        <v>#REF!</v>
      </c>
      <c r="IH96" t="str">
        <f>AND(#REF!,"AAAAAGv9/fE=")</f>
        <v>#REF!</v>
      </c>
      <c r="II96" t="str">
        <f>AND(#REF!,"AAAAAGv9/fI=")</f>
        <v>#REF!</v>
      </c>
      <c r="IJ96" t="str">
        <f>AND(#REF!,"AAAAAGv9/fM=")</f>
        <v>#REF!</v>
      </c>
      <c r="IK96" t="str">
        <f>AND(#REF!,"AAAAAGv9/fQ=")</f>
        <v>#REF!</v>
      </c>
      <c r="IL96" t="str">
        <f>AND(#REF!,"AAAAAGv9/fU=")</f>
        <v>#REF!</v>
      </c>
      <c r="IM96" t="str">
        <f>AND(#REF!,"AAAAAGv9/fY=")</f>
        <v>#REF!</v>
      </c>
      <c r="IN96" t="str">
        <f>IF(#REF!,"AAAAAGv9/fc=",0)</f>
        <v>#REF!</v>
      </c>
      <c r="IO96" t="str">
        <f>AND(#REF!,"AAAAAGv9/fg=")</f>
        <v>#REF!</v>
      </c>
      <c r="IP96" t="str">
        <f>AND(#REF!,"AAAAAGv9/fk=")</f>
        <v>#REF!</v>
      </c>
      <c r="IQ96" t="str">
        <f>AND(#REF!,"AAAAAGv9/fo=")</f>
        <v>#REF!</v>
      </c>
      <c r="IR96" t="str">
        <f>AND(#REF!,"AAAAAGv9/fs=")</f>
        <v>#REF!</v>
      </c>
      <c r="IS96" t="str">
        <f>AND(#REF!,"AAAAAGv9/fw=")</f>
        <v>#REF!</v>
      </c>
      <c r="IT96" t="str">
        <f>AND(#REF!,"AAAAAGv9/f0=")</f>
        <v>#REF!</v>
      </c>
      <c r="IU96" t="str">
        <f>AND(#REF!,"AAAAAGv9/f4=")</f>
        <v>#REF!</v>
      </c>
      <c r="IV96" t="str">
        <f>AND(#REF!,"AAAAAGv9/f8=")</f>
        <v>#REF!</v>
      </c>
    </row>
    <row r="97" ht="15.75" customHeight="1">
      <c r="A97" t="str">
        <f>AND(#REF!,"AAAAAHdfvQA=")</f>
        <v>#REF!</v>
      </c>
      <c r="B97" t="str">
        <f>AND(#REF!,"AAAAAHdfvQE=")</f>
        <v>#REF!</v>
      </c>
      <c r="C97" t="str">
        <f>AND(#REF!,"AAAAAHdfvQI=")</f>
        <v>#REF!</v>
      </c>
      <c r="D97" t="str">
        <f>AND(#REF!,"AAAAAHdfvQM=")</f>
        <v>#REF!</v>
      </c>
      <c r="E97" t="str">
        <f>AND(#REF!,"AAAAAHdfvQQ=")</f>
        <v>#REF!</v>
      </c>
      <c r="F97" t="str">
        <f>AND(#REF!,"AAAAAHdfvQU=")</f>
        <v>#REF!</v>
      </c>
      <c r="G97" t="str">
        <f>AND(#REF!,"AAAAAHdfvQY=")</f>
        <v>#REF!</v>
      </c>
      <c r="H97" t="str">
        <f>AND(#REF!,"AAAAAHdfvQc=")</f>
        <v>#REF!</v>
      </c>
      <c r="I97" t="str">
        <f>AND(#REF!,"AAAAAHdfvQg=")</f>
        <v>#REF!</v>
      </c>
      <c r="J97" t="str">
        <f>AND(#REF!,"AAAAAHdfvQk=")</f>
        <v>#REF!</v>
      </c>
      <c r="K97" t="str">
        <f>AND(#REF!,"AAAAAHdfvQo=")</f>
        <v>#REF!</v>
      </c>
      <c r="L97" t="str">
        <f>AND(#REF!,"AAAAAHdfvQs=")</f>
        <v>#REF!</v>
      </c>
      <c r="M97" t="str">
        <f>AND(#REF!,"AAAAAHdfvQw=")</f>
        <v>#REF!</v>
      </c>
      <c r="N97" t="str">
        <f>AND(#REF!,"AAAAAHdfvQ0=")</f>
        <v>#REF!</v>
      </c>
      <c r="O97" t="str">
        <f>AND(#REF!,"AAAAAHdfvQ4=")</f>
        <v>#REF!</v>
      </c>
      <c r="P97" t="str">
        <f>AND(#REF!,"AAAAAHdfvQ8=")</f>
        <v>#REF!</v>
      </c>
      <c r="Q97" t="str">
        <f>AND(#REF!,"AAAAAHdfvRA=")</f>
        <v>#REF!</v>
      </c>
      <c r="R97" t="str">
        <f>AND(#REF!,"AAAAAHdfvRE=")</f>
        <v>#REF!</v>
      </c>
      <c r="S97" t="str">
        <f>AND(#REF!,"AAAAAHdfvRI=")</f>
        <v>#REF!</v>
      </c>
      <c r="T97" t="str">
        <f>AND(#REF!,"AAAAAHdfvRM=")</f>
        <v>#REF!</v>
      </c>
      <c r="U97" t="str">
        <f>AND(#REF!,"AAAAAHdfvRQ=")</f>
        <v>#REF!</v>
      </c>
      <c r="V97" t="str">
        <f>AND(#REF!,"AAAAAHdfvRU=")</f>
        <v>#REF!</v>
      </c>
      <c r="W97" t="str">
        <f>AND(#REF!,"AAAAAHdfvRY=")</f>
        <v>#REF!</v>
      </c>
      <c r="X97" t="str">
        <f>AND(#REF!,"AAAAAHdfvRc=")</f>
        <v>#REF!</v>
      </c>
      <c r="Y97" t="str">
        <f>AND(#REF!,"AAAAAHdfvRg=")</f>
        <v>#REF!</v>
      </c>
      <c r="Z97" t="str">
        <f>AND(#REF!,"AAAAAHdfvRk=")</f>
        <v>#REF!</v>
      </c>
      <c r="AA97" t="str">
        <f>AND(#REF!,"AAAAAHdfvRo=")</f>
        <v>#REF!</v>
      </c>
      <c r="AB97" t="str">
        <f>AND(#REF!,"AAAAAHdfvRs=")</f>
        <v>#REF!</v>
      </c>
      <c r="AC97" t="str">
        <f>AND(#REF!,"AAAAAHdfvRw=")</f>
        <v>#REF!</v>
      </c>
      <c r="AD97" t="str">
        <f>AND(#REF!,"AAAAAHdfvR0=")</f>
        <v>#REF!</v>
      </c>
      <c r="AE97" t="str">
        <f>AND(#REF!,"AAAAAHdfvR4=")</f>
        <v>#REF!</v>
      </c>
      <c r="AF97" t="str">
        <f>AND(#REF!,"AAAAAHdfvR8=")</f>
        <v>#REF!</v>
      </c>
      <c r="AG97" t="str">
        <f>AND(#REF!,"AAAAAHdfvSA=")</f>
        <v>#REF!</v>
      </c>
      <c r="AH97" t="str">
        <f>AND(#REF!,"AAAAAHdfvSE=")</f>
        <v>#REF!</v>
      </c>
      <c r="AI97" t="str">
        <f>AND(#REF!,"AAAAAHdfvSI=")</f>
        <v>#REF!</v>
      </c>
      <c r="AJ97" t="str">
        <f>AND(#REF!,"AAAAAHdfvSM=")</f>
        <v>#REF!</v>
      </c>
      <c r="AK97" t="str">
        <f>AND(#REF!,"AAAAAHdfvSQ=")</f>
        <v>#REF!</v>
      </c>
      <c r="AL97" t="str">
        <f>AND(#REF!,"AAAAAHdfvSU=")</f>
        <v>#REF!</v>
      </c>
      <c r="AM97" t="str">
        <f>AND(#REF!,"AAAAAHdfvSY=")</f>
        <v>#REF!</v>
      </c>
      <c r="AN97" t="str">
        <f>AND(#REF!,"AAAAAHdfvSc=")</f>
        <v>#REF!</v>
      </c>
      <c r="AO97" t="str">
        <f>AND(#REF!,"AAAAAHdfvSg=")</f>
        <v>#REF!</v>
      </c>
      <c r="AP97" t="str">
        <f>AND(#REF!,"AAAAAHdfvSk=")</f>
        <v>#REF!</v>
      </c>
      <c r="AQ97" t="str">
        <f>AND(#REF!,"AAAAAHdfvSo=")</f>
        <v>#REF!</v>
      </c>
      <c r="AR97" t="str">
        <f>AND(#REF!,"AAAAAHdfvSs=")</f>
        <v>#REF!</v>
      </c>
      <c r="AS97" t="str">
        <f>AND(#REF!,"AAAAAHdfvSw=")</f>
        <v>#REF!</v>
      </c>
      <c r="AT97" t="str">
        <f>AND(#REF!,"AAAAAHdfvS0=")</f>
        <v>#REF!</v>
      </c>
      <c r="AU97" t="str">
        <f>AND(#REF!,"AAAAAHdfvS4=")</f>
        <v>#REF!</v>
      </c>
      <c r="AV97" t="str">
        <f>AND(#REF!,"AAAAAHdfvS8=")</f>
        <v>#REF!</v>
      </c>
      <c r="AW97" t="str">
        <f>AND(#REF!,"AAAAAHdfvTA=")</f>
        <v>#REF!</v>
      </c>
      <c r="AX97" t="str">
        <f>AND(#REF!,"AAAAAHdfvTE=")</f>
        <v>#REF!</v>
      </c>
      <c r="AY97" t="str">
        <f>AND(#REF!,"AAAAAHdfvTI=")</f>
        <v>#REF!</v>
      </c>
      <c r="AZ97" t="str">
        <f>AND(#REF!,"AAAAAHdfvTM=")</f>
        <v>#REF!</v>
      </c>
      <c r="BA97" t="str">
        <f>AND(#REF!,"AAAAAHdfvTQ=")</f>
        <v>#REF!</v>
      </c>
      <c r="BB97" t="str">
        <f>AND(#REF!,"AAAAAHdfvTU=")</f>
        <v>#REF!</v>
      </c>
      <c r="BC97" t="str">
        <f>AND(#REF!,"AAAAAHdfvTY=")</f>
        <v>#REF!</v>
      </c>
      <c r="BD97" t="str">
        <f>AND(#REF!,"AAAAAHdfvTc=")</f>
        <v>#REF!</v>
      </c>
      <c r="BE97" t="str">
        <f>AND(#REF!,"AAAAAHdfvTg=")</f>
        <v>#REF!</v>
      </c>
      <c r="BF97" t="str">
        <f>AND(#REF!,"AAAAAHdfvTk=")</f>
        <v>#REF!</v>
      </c>
      <c r="BG97" t="str">
        <f>AND(#REF!,"AAAAAHdfvTo=")</f>
        <v>#REF!</v>
      </c>
      <c r="BH97" t="str">
        <f>AND(#REF!,"AAAAAHdfvTs=")</f>
        <v>#REF!</v>
      </c>
      <c r="BI97" t="str">
        <f>AND(#REF!,"AAAAAHdfvTw=")</f>
        <v>#REF!</v>
      </c>
      <c r="BJ97" t="str">
        <f>AND(#REF!,"AAAAAHdfvT0=")</f>
        <v>#REF!</v>
      </c>
      <c r="BK97" t="str">
        <f>AND(#REF!,"AAAAAHdfvT4=")</f>
        <v>#REF!</v>
      </c>
      <c r="BL97" t="str">
        <f>AND(#REF!,"AAAAAHdfvT8=")</f>
        <v>#REF!</v>
      </c>
      <c r="BM97" t="str">
        <f>AND(#REF!,"AAAAAHdfvUA=")</f>
        <v>#REF!</v>
      </c>
      <c r="BN97" t="str">
        <f>AND(#REF!,"AAAAAHdfvUE=")</f>
        <v>#REF!</v>
      </c>
      <c r="BO97" t="str">
        <f>AND(#REF!,"AAAAAHdfvUI=")</f>
        <v>#REF!</v>
      </c>
      <c r="BP97" t="str">
        <f>IF(#REF!,"AAAAAHdfvUM=",0)</f>
        <v>#REF!</v>
      </c>
      <c r="BQ97" t="str">
        <f>AND(#REF!,"AAAAAHdfvUQ=")</f>
        <v>#REF!</v>
      </c>
      <c r="BR97" t="str">
        <f>AND(#REF!,"AAAAAHdfvUU=")</f>
        <v>#REF!</v>
      </c>
      <c r="BS97" t="str">
        <f>AND(#REF!,"AAAAAHdfvUY=")</f>
        <v>#REF!</v>
      </c>
      <c r="BT97" t="str">
        <f>AND(#REF!,"AAAAAHdfvUc=")</f>
        <v>#REF!</v>
      </c>
      <c r="BU97" t="str">
        <f>AND(#REF!,"AAAAAHdfvUg=")</f>
        <v>#REF!</v>
      </c>
      <c r="BV97" t="str">
        <f>AND(#REF!,"AAAAAHdfvUk=")</f>
        <v>#REF!</v>
      </c>
      <c r="BW97" t="str">
        <f>AND(#REF!,"AAAAAHdfvUo=")</f>
        <v>#REF!</v>
      </c>
      <c r="BX97" t="str">
        <f>AND(#REF!,"AAAAAHdfvUs=")</f>
        <v>#REF!</v>
      </c>
      <c r="BY97" t="str">
        <f>AND(#REF!,"AAAAAHdfvUw=")</f>
        <v>#REF!</v>
      </c>
      <c r="BZ97" t="str">
        <f>AND(#REF!,"AAAAAHdfvU0=")</f>
        <v>#REF!</v>
      </c>
      <c r="CA97" t="str">
        <f>AND(#REF!,"AAAAAHdfvU4=")</f>
        <v>#REF!</v>
      </c>
      <c r="CB97" t="str">
        <f>AND(#REF!,"AAAAAHdfvU8=")</f>
        <v>#REF!</v>
      </c>
      <c r="CC97" t="str">
        <f>AND(#REF!,"AAAAAHdfvVA=")</f>
        <v>#REF!</v>
      </c>
      <c r="CD97" t="str">
        <f>AND(#REF!,"AAAAAHdfvVE=")</f>
        <v>#REF!</v>
      </c>
      <c r="CE97" t="str">
        <f>AND(#REF!,"AAAAAHdfvVI=")</f>
        <v>#REF!</v>
      </c>
      <c r="CF97" t="str">
        <f>AND(#REF!,"AAAAAHdfvVM=")</f>
        <v>#REF!</v>
      </c>
      <c r="CG97" t="str">
        <f>AND(#REF!,"AAAAAHdfvVQ=")</f>
        <v>#REF!</v>
      </c>
      <c r="CH97" t="str">
        <f>AND(#REF!,"AAAAAHdfvVU=")</f>
        <v>#REF!</v>
      </c>
      <c r="CI97" t="str">
        <f>AND(#REF!,"AAAAAHdfvVY=")</f>
        <v>#REF!</v>
      </c>
      <c r="CJ97" t="str">
        <f>AND(#REF!,"AAAAAHdfvVc=")</f>
        <v>#REF!</v>
      </c>
      <c r="CK97" t="str">
        <f>AND(#REF!,"AAAAAHdfvVg=")</f>
        <v>#REF!</v>
      </c>
      <c r="CL97" t="str">
        <f>AND(#REF!,"AAAAAHdfvVk=")</f>
        <v>#REF!</v>
      </c>
      <c r="CM97" t="str">
        <f>AND(#REF!,"AAAAAHdfvVo=")</f>
        <v>#REF!</v>
      </c>
      <c r="CN97" t="str">
        <f>AND(#REF!,"AAAAAHdfvVs=")</f>
        <v>#REF!</v>
      </c>
      <c r="CO97" t="str">
        <f>AND(#REF!,"AAAAAHdfvVw=")</f>
        <v>#REF!</v>
      </c>
      <c r="CP97" t="str">
        <f>AND(#REF!,"AAAAAHdfvV0=")</f>
        <v>#REF!</v>
      </c>
      <c r="CQ97" t="str">
        <f>AND(#REF!,"AAAAAHdfvV4=")</f>
        <v>#REF!</v>
      </c>
      <c r="CR97" t="str">
        <f>AND(#REF!,"AAAAAHdfvV8=")</f>
        <v>#REF!</v>
      </c>
      <c r="CS97" t="str">
        <f>AND(#REF!,"AAAAAHdfvWA=")</f>
        <v>#REF!</v>
      </c>
      <c r="CT97" t="str">
        <f>AND(#REF!,"AAAAAHdfvWE=")</f>
        <v>#REF!</v>
      </c>
      <c r="CU97" t="str">
        <f>AND(#REF!,"AAAAAHdfvWI=")</f>
        <v>#REF!</v>
      </c>
      <c r="CV97" t="str">
        <f>AND(#REF!,"AAAAAHdfvWM=")</f>
        <v>#REF!</v>
      </c>
      <c r="CW97" t="str">
        <f>AND(#REF!,"AAAAAHdfvWQ=")</f>
        <v>#REF!</v>
      </c>
      <c r="CX97" t="str">
        <f>AND(#REF!,"AAAAAHdfvWU=")</f>
        <v>#REF!</v>
      </c>
      <c r="CY97" t="str">
        <f>AND(#REF!,"AAAAAHdfvWY=")</f>
        <v>#REF!</v>
      </c>
      <c r="CZ97" t="str">
        <f>AND(#REF!,"AAAAAHdfvWc=")</f>
        <v>#REF!</v>
      </c>
      <c r="DA97" t="str">
        <f>AND(#REF!,"AAAAAHdfvWg=")</f>
        <v>#REF!</v>
      </c>
      <c r="DB97" t="str">
        <f>AND(#REF!,"AAAAAHdfvWk=")</f>
        <v>#REF!</v>
      </c>
      <c r="DC97" t="str">
        <f>AND(#REF!,"AAAAAHdfvWo=")</f>
        <v>#REF!</v>
      </c>
      <c r="DD97" t="str">
        <f>AND(#REF!,"AAAAAHdfvWs=")</f>
        <v>#REF!</v>
      </c>
      <c r="DE97" t="str">
        <f>AND(#REF!,"AAAAAHdfvWw=")</f>
        <v>#REF!</v>
      </c>
      <c r="DF97" t="str">
        <f>AND(#REF!,"AAAAAHdfvW0=")</f>
        <v>#REF!</v>
      </c>
      <c r="DG97" t="str">
        <f>AND(#REF!,"AAAAAHdfvW4=")</f>
        <v>#REF!</v>
      </c>
      <c r="DH97" t="str">
        <f>AND(#REF!,"AAAAAHdfvW8=")</f>
        <v>#REF!</v>
      </c>
      <c r="DI97" t="str">
        <f>AND(#REF!,"AAAAAHdfvXA=")</f>
        <v>#REF!</v>
      </c>
      <c r="DJ97" t="str">
        <f>AND(#REF!,"AAAAAHdfvXE=")</f>
        <v>#REF!</v>
      </c>
      <c r="DK97" t="str">
        <f>AND(#REF!,"AAAAAHdfvXI=")</f>
        <v>#REF!</v>
      </c>
      <c r="DL97" t="str">
        <f>AND(#REF!,"AAAAAHdfvXM=")</f>
        <v>#REF!</v>
      </c>
      <c r="DM97" t="str">
        <f>AND(#REF!,"AAAAAHdfvXQ=")</f>
        <v>#REF!</v>
      </c>
      <c r="DN97" t="str">
        <f>AND(#REF!,"AAAAAHdfvXU=")</f>
        <v>#REF!</v>
      </c>
      <c r="DO97" t="str">
        <f>AND(#REF!,"AAAAAHdfvXY=")</f>
        <v>#REF!</v>
      </c>
      <c r="DP97" t="str">
        <f>AND(#REF!,"AAAAAHdfvXc=")</f>
        <v>#REF!</v>
      </c>
      <c r="DQ97" t="str">
        <f>AND(#REF!,"AAAAAHdfvXg=")</f>
        <v>#REF!</v>
      </c>
      <c r="DR97" t="str">
        <f>AND(#REF!,"AAAAAHdfvXk=")</f>
        <v>#REF!</v>
      </c>
      <c r="DS97" t="str">
        <f>AND(#REF!,"AAAAAHdfvXo=")</f>
        <v>#REF!</v>
      </c>
      <c r="DT97" t="str">
        <f>AND(#REF!,"AAAAAHdfvXs=")</f>
        <v>#REF!</v>
      </c>
      <c r="DU97" t="str">
        <f>AND(#REF!,"AAAAAHdfvXw=")</f>
        <v>#REF!</v>
      </c>
      <c r="DV97" t="str">
        <f>AND(#REF!,"AAAAAHdfvX0=")</f>
        <v>#REF!</v>
      </c>
      <c r="DW97" t="str">
        <f>AND(#REF!,"AAAAAHdfvX4=")</f>
        <v>#REF!</v>
      </c>
      <c r="DX97" t="str">
        <f>AND(#REF!,"AAAAAHdfvX8=")</f>
        <v>#REF!</v>
      </c>
      <c r="DY97" t="str">
        <f>AND(#REF!,"AAAAAHdfvYA=")</f>
        <v>#REF!</v>
      </c>
      <c r="DZ97" t="str">
        <f>AND(#REF!,"AAAAAHdfvYE=")</f>
        <v>#REF!</v>
      </c>
      <c r="EA97" t="str">
        <f>AND(#REF!,"AAAAAHdfvYI=")</f>
        <v>#REF!</v>
      </c>
      <c r="EB97" t="str">
        <f>AND(#REF!,"AAAAAHdfvYM=")</f>
        <v>#REF!</v>
      </c>
      <c r="EC97" t="str">
        <f>AND(#REF!,"AAAAAHdfvYQ=")</f>
        <v>#REF!</v>
      </c>
      <c r="ED97" t="str">
        <f>AND(#REF!,"AAAAAHdfvYU=")</f>
        <v>#REF!</v>
      </c>
      <c r="EE97" t="str">
        <f>AND(#REF!,"AAAAAHdfvYY=")</f>
        <v>#REF!</v>
      </c>
      <c r="EF97" t="str">
        <f>AND(#REF!,"AAAAAHdfvYc=")</f>
        <v>#REF!</v>
      </c>
      <c r="EG97" t="str">
        <f>AND(#REF!,"AAAAAHdfvYg=")</f>
        <v>#REF!</v>
      </c>
      <c r="EH97" t="str">
        <f>AND(#REF!,"AAAAAHdfvYk=")</f>
        <v>#REF!</v>
      </c>
      <c r="EI97" t="str">
        <f>AND(#REF!,"AAAAAHdfvYo=")</f>
        <v>#REF!</v>
      </c>
      <c r="EJ97" t="str">
        <f>AND(#REF!,"AAAAAHdfvYs=")</f>
        <v>#REF!</v>
      </c>
      <c r="EK97" t="str">
        <f>AND(#REF!,"AAAAAHdfvYw=")</f>
        <v>#REF!</v>
      </c>
      <c r="EL97" t="str">
        <f>AND(#REF!,"AAAAAHdfvY0=")</f>
        <v>#REF!</v>
      </c>
      <c r="EM97" t="str">
        <f>AND(#REF!,"AAAAAHdfvY4=")</f>
        <v>#REF!</v>
      </c>
      <c r="EN97" t="str">
        <f>IF(#REF!,"AAAAAHdfvY8=",0)</f>
        <v>#REF!</v>
      </c>
      <c r="EO97" t="str">
        <f>AND(#REF!,"AAAAAHdfvZA=")</f>
        <v>#REF!</v>
      </c>
      <c r="EP97" t="str">
        <f>AND(#REF!,"AAAAAHdfvZE=")</f>
        <v>#REF!</v>
      </c>
      <c r="EQ97" t="str">
        <f>AND(#REF!,"AAAAAHdfvZI=")</f>
        <v>#REF!</v>
      </c>
      <c r="ER97" t="str">
        <f>AND(#REF!,"AAAAAHdfvZM=")</f>
        <v>#REF!</v>
      </c>
      <c r="ES97" t="str">
        <f>AND(#REF!,"AAAAAHdfvZQ=")</f>
        <v>#REF!</v>
      </c>
      <c r="ET97" t="str">
        <f>AND(#REF!,"AAAAAHdfvZU=")</f>
        <v>#REF!</v>
      </c>
      <c r="EU97" t="str">
        <f>AND(#REF!,"AAAAAHdfvZY=")</f>
        <v>#REF!</v>
      </c>
      <c r="EV97" t="str">
        <f>AND(#REF!,"AAAAAHdfvZc=")</f>
        <v>#REF!</v>
      </c>
      <c r="EW97" t="str">
        <f>AND(#REF!,"AAAAAHdfvZg=")</f>
        <v>#REF!</v>
      </c>
      <c r="EX97" t="str">
        <f>AND(#REF!,"AAAAAHdfvZk=")</f>
        <v>#REF!</v>
      </c>
      <c r="EY97" t="str">
        <f>AND(#REF!,"AAAAAHdfvZo=")</f>
        <v>#REF!</v>
      </c>
      <c r="EZ97" t="str">
        <f>AND(#REF!,"AAAAAHdfvZs=")</f>
        <v>#REF!</v>
      </c>
      <c r="FA97" t="str">
        <f>AND(#REF!,"AAAAAHdfvZw=")</f>
        <v>#REF!</v>
      </c>
      <c r="FB97" t="str">
        <f>AND(#REF!,"AAAAAHdfvZ0=")</f>
        <v>#REF!</v>
      </c>
      <c r="FC97" t="str">
        <f>AND(#REF!,"AAAAAHdfvZ4=")</f>
        <v>#REF!</v>
      </c>
      <c r="FD97" t="str">
        <f>AND(#REF!,"AAAAAHdfvZ8=")</f>
        <v>#REF!</v>
      </c>
      <c r="FE97" t="str">
        <f>AND(#REF!,"AAAAAHdfvaA=")</f>
        <v>#REF!</v>
      </c>
      <c r="FF97" t="str">
        <f>AND(#REF!,"AAAAAHdfvaE=")</f>
        <v>#REF!</v>
      </c>
      <c r="FG97" t="str">
        <f>AND(#REF!,"AAAAAHdfvaI=")</f>
        <v>#REF!</v>
      </c>
      <c r="FH97" t="str">
        <f>AND(#REF!,"AAAAAHdfvaM=")</f>
        <v>#REF!</v>
      </c>
      <c r="FI97" t="str">
        <f>AND(#REF!,"AAAAAHdfvaQ=")</f>
        <v>#REF!</v>
      </c>
      <c r="FJ97" t="str">
        <f>AND(#REF!,"AAAAAHdfvaU=")</f>
        <v>#REF!</v>
      </c>
      <c r="FK97" t="str">
        <f>AND(#REF!,"AAAAAHdfvaY=")</f>
        <v>#REF!</v>
      </c>
      <c r="FL97" t="str">
        <f>AND(#REF!,"AAAAAHdfvac=")</f>
        <v>#REF!</v>
      </c>
      <c r="FM97" t="str">
        <f>AND(#REF!,"AAAAAHdfvag=")</f>
        <v>#REF!</v>
      </c>
      <c r="FN97" t="str">
        <f>AND(#REF!,"AAAAAHdfvak=")</f>
        <v>#REF!</v>
      </c>
      <c r="FO97" t="str">
        <f>AND(#REF!,"AAAAAHdfvao=")</f>
        <v>#REF!</v>
      </c>
      <c r="FP97" t="str">
        <f>AND(#REF!,"AAAAAHdfvas=")</f>
        <v>#REF!</v>
      </c>
      <c r="FQ97" t="str">
        <f>AND(#REF!,"AAAAAHdfvaw=")</f>
        <v>#REF!</v>
      </c>
      <c r="FR97" t="str">
        <f>AND(#REF!,"AAAAAHdfva0=")</f>
        <v>#REF!</v>
      </c>
      <c r="FS97" t="str">
        <f>AND(#REF!,"AAAAAHdfva4=")</f>
        <v>#REF!</v>
      </c>
      <c r="FT97" t="str">
        <f>AND(#REF!,"AAAAAHdfva8=")</f>
        <v>#REF!</v>
      </c>
      <c r="FU97" t="str">
        <f>AND(#REF!,"AAAAAHdfvbA=")</f>
        <v>#REF!</v>
      </c>
      <c r="FV97" t="str">
        <f>AND(#REF!,"AAAAAHdfvbE=")</f>
        <v>#REF!</v>
      </c>
      <c r="FW97" t="str">
        <f>AND(#REF!,"AAAAAHdfvbI=")</f>
        <v>#REF!</v>
      </c>
      <c r="FX97" t="str">
        <f>AND(#REF!,"AAAAAHdfvbM=")</f>
        <v>#REF!</v>
      </c>
      <c r="FY97" t="str">
        <f>AND(#REF!,"AAAAAHdfvbQ=")</f>
        <v>#REF!</v>
      </c>
      <c r="FZ97" t="str">
        <f>AND(#REF!,"AAAAAHdfvbU=")</f>
        <v>#REF!</v>
      </c>
      <c r="GA97" t="str">
        <f>AND(#REF!,"AAAAAHdfvbY=")</f>
        <v>#REF!</v>
      </c>
      <c r="GB97" t="str">
        <f>AND(#REF!,"AAAAAHdfvbc=")</f>
        <v>#REF!</v>
      </c>
      <c r="GC97" t="str">
        <f>AND(#REF!,"AAAAAHdfvbg=")</f>
        <v>#REF!</v>
      </c>
      <c r="GD97" t="str">
        <f>AND(#REF!,"AAAAAHdfvbk=")</f>
        <v>#REF!</v>
      </c>
      <c r="GE97" t="str">
        <f>AND(#REF!,"AAAAAHdfvbo=")</f>
        <v>#REF!</v>
      </c>
      <c r="GF97" t="str">
        <f>AND(#REF!,"AAAAAHdfvbs=")</f>
        <v>#REF!</v>
      </c>
      <c r="GG97" t="str">
        <f>AND(#REF!,"AAAAAHdfvbw=")</f>
        <v>#REF!</v>
      </c>
      <c r="GH97" t="str">
        <f>AND(#REF!,"AAAAAHdfvb0=")</f>
        <v>#REF!</v>
      </c>
      <c r="GI97" t="str">
        <f>AND(#REF!,"AAAAAHdfvb4=")</f>
        <v>#REF!</v>
      </c>
      <c r="GJ97" t="str">
        <f>AND(#REF!,"AAAAAHdfvb8=")</f>
        <v>#REF!</v>
      </c>
      <c r="GK97" t="str">
        <f>AND(#REF!,"AAAAAHdfvcA=")</f>
        <v>#REF!</v>
      </c>
      <c r="GL97" t="str">
        <f>AND(#REF!,"AAAAAHdfvcE=")</f>
        <v>#REF!</v>
      </c>
      <c r="GM97" t="str">
        <f>AND(#REF!,"AAAAAHdfvcI=")</f>
        <v>#REF!</v>
      </c>
      <c r="GN97" t="str">
        <f>AND(#REF!,"AAAAAHdfvcM=")</f>
        <v>#REF!</v>
      </c>
      <c r="GO97" t="str">
        <f>AND(#REF!,"AAAAAHdfvcQ=")</f>
        <v>#REF!</v>
      </c>
      <c r="GP97" t="str">
        <f>AND(#REF!,"AAAAAHdfvcU=")</f>
        <v>#REF!</v>
      </c>
      <c r="GQ97" t="str">
        <f>AND(#REF!,"AAAAAHdfvcY=")</f>
        <v>#REF!</v>
      </c>
      <c r="GR97" t="str">
        <f>AND(#REF!,"AAAAAHdfvcc=")</f>
        <v>#REF!</v>
      </c>
      <c r="GS97" t="str">
        <f>AND(#REF!,"AAAAAHdfvcg=")</f>
        <v>#REF!</v>
      </c>
      <c r="GT97" t="str">
        <f>AND(#REF!,"AAAAAHdfvck=")</f>
        <v>#REF!</v>
      </c>
      <c r="GU97" t="str">
        <f>AND(#REF!,"AAAAAHdfvco=")</f>
        <v>#REF!</v>
      </c>
      <c r="GV97" t="str">
        <f>AND(#REF!,"AAAAAHdfvcs=")</f>
        <v>#REF!</v>
      </c>
      <c r="GW97" t="str">
        <f>AND(#REF!,"AAAAAHdfvcw=")</f>
        <v>#REF!</v>
      </c>
      <c r="GX97" t="str">
        <f>AND(#REF!,"AAAAAHdfvc0=")</f>
        <v>#REF!</v>
      </c>
      <c r="GY97" t="str">
        <f>AND(#REF!,"AAAAAHdfvc4=")</f>
        <v>#REF!</v>
      </c>
      <c r="GZ97" t="str">
        <f>AND(#REF!,"AAAAAHdfvc8=")</f>
        <v>#REF!</v>
      </c>
      <c r="HA97" t="str">
        <f>AND(#REF!,"AAAAAHdfvdA=")</f>
        <v>#REF!</v>
      </c>
      <c r="HB97" t="str">
        <f>AND(#REF!,"AAAAAHdfvdE=")</f>
        <v>#REF!</v>
      </c>
      <c r="HC97" t="str">
        <f>AND(#REF!,"AAAAAHdfvdI=")</f>
        <v>#REF!</v>
      </c>
      <c r="HD97" t="str">
        <f>AND(#REF!,"AAAAAHdfvdM=")</f>
        <v>#REF!</v>
      </c>
      <c r="HE97" t="str">
        <f>AND(#REF!,"AAAAAHdfvdQ=")</f>
        <v>#REF!</v>
      </c>
      <c r="HF97" t="str">
        <f>AND(#REF!,"AAAAAHdfvdU=")</f>
        <v>#REF!</v>
      </c>
      <c r="HG97" t="str">
        <f>AND(#REF!,"AAAAAHdfvdY=")</f>
        <v>#REF!</v>
      </c>
      <c r="HH97" t="str">
        <f>AND(#REF!,"AAAAAHdfvdc=")</f>
        <v>#REF!</v>
      </c>
      <c r="HI97" t="str">
        <f>AND(#REF!,"AAAAAHdfvdg=")</f>
        <v>#REF!</v>
      </c>
      <c r="HJ97" t="str">
        <f>AND(#REF!,"AAAAAHdfvdk=")</f>
        <v>#REF!</v>
      </c>
      <c r="HK97" t="str">
        <f>AND(#REF!,"AAAAAHdfvdo=")</f>
        <v>#REF!</v>
      </c>
      <c r="HL97" t="str">
        <f>IF(#REF!,"AAAAAHdfvds=",0)</f>
        <v>#REF!</v>
      </c>
      <c r="HM97" t="str">
        <f>AND(#REF!,"AAAAAHdfvdw=")</f>
        <v>#REF!</v>
      </c>
      <c r="HN97" t="str">
        <f>AND(#REF!,"AAAAAHdfvd0=")</f>
        <v>#REF!</v>
      </c>
      <c r="HO97" t="str">
        <f>AND(#REF!,"AAAAAHdfvd4=")</f>
        <v>#REF!</v>
      </c>
      <c r="HP97" t="str">
        <f>AND(#REF!,"AAAAAHdfvd8=")</f>
        <v>#REF!</v>
      </c>
      <c r="HQ97" t="str">
        <f>AND(#REF!,"AAAAAHdfveA=")</f>
        <v>#REF!</v>
      </c>
      <c r="HR97" t="str">
        <f>AND(#REF!,"AAAAAHdfveE=")</f>
        <v>#REF!</v>
      </c>
      <c r="HS97" t="str">
        <f>AND(#REF!,"AAAAAHdfveI=")</f>
        <v>#REF!</v>
      </c>
      <c r="HT97" t="str">
        <f>AND(#REF!,"AAAAAHdfveM=")</f>
        <v>#REF!</v>
      </c>
      <c r="HU97" t="str">
        <f>AND(#REF!,"AAAAAHdfveQ=")</f>
        <v>#REF!</v>
      </c>
      <c r="HV97" t="str">
        <f>AND(#REF!,"AAAAAHdfveU=")</f>
        <v>#REF!</v>
      </c>
      <c r="HW97" t="str">
        <f>AND(#REF!,"AAAAAHdfveY=")</f>
        <v>#REF!</v>
      </c>
      <c r="HX97" t="str">
        <f>AND(#REF!,"AAAAAHdfvec=")</f>
        <v>#REF!</v>
      </c>
      <c r="HY97" t="str">
        <f>AND(#REF!,"AAAAAHdfveg=")</f>
        <v>#REF!</v>
      </c>
      <c r="HZ97" t="str">
        <f>AND(#REF!,"AAAAAHdfvek=")</f>
        <v>#REF!</v>
      </c>
      <c r="IA97" t="str">
        <f>AND(#REF!,"AAAAAHdfveo=")</f>
        <v>#REF!</v>
      </c>
      <c r="IB97" t="str">
        <f>AND(#REF!,"AAAAAHdfves=")</f>
        <v>#REF!</v>
      </c>
      <c r="IC97" t="str">
        <f>AND(#REF!,"AAAAAHdfvew=")</f>
        <v>#REF!</v>
      </c>
      <c r="ID97" t="str">
        <f>AND(#REF!,"AAAAAHdfve0=")</f>
        <v>#REF!</v>
      </c>
      <c r="IE97" t="str">
        <f>AND(#REF!,"AAAAAHdfve4=")</f>
        <v>#REF!</v>
      </c>
      <c r="IF97" t="str">
        <f>AND(#REF!,"AAAAAHdfve8=")</f>
        <v>#REF!</v>
      </c>
      <c r="IG97" t="str">
        <f>AND(#REF!,"AAAAAHdfvfA=")</f>
        <v>#REF!</v>
      </c>
      <c r="IH97" t="str">
        <f>AND(#REF!,"AAAAAHdfvfE=")</f>
        <v>#REF!</v>
      </c>
      <c r="II97" t="str">
        <f>AND(#REF!,"AAAAAHdfvfI=")</f>
        <v>#REF!</v>
      </c>
      <c r="IJ97" t="str">
        <f>AND(#REF!,"AAAAAHdfvfM=")</f>
        <v>#REF!</v>
      </c>
      <c r="IK97" t="str">
        <f>AND(#REF!,"AAAAAHdfvfQ=")</f>
        <v>#REF!</v>
      </c>
      <c r="IL97" t="str">
        <f>AND(#REF!,"AAAAAHdfvfU=")</f>
        <v>#REF!</v>
      </c>
      <c r="IM97" t="str">
        <f>AND(#REF!,"AAAAAHdfvfY=")</f>
        <v>#REF!</v>
      </c>
      <c r="IN97" t="str">
        <f>AND(#REF!,"AAAAAHdfvfc=")</f>
        <v>#REF!</v>
      </c>
      <c r="IO97" t="str">
        <f>AND(#REF!,"AAAAAHdfvfg=")</f>
        <v>#REF!</v>
      </c>
      <c r="IP97" t="str">
        <f>AND(#REF!,"AAAAAHdfvfk=")</f>
        <v>#REF!</v>
      </c>
      <c r="IQ97" t="str">
        <f>AND(#REF!,"AAAAAHdfvfo=")</f>
        <v>#REF!</v>
      </c>
      <c r="IR97" t="str">
        <f>AND(#REF!,"AAAAAHdfvfs=")</f>
        <v>#REF!</v>
      </c>
      <c r="IS97" t="str">
        <f>AND(#REF!,"AAAAAHdfvfw=")</f>
        <v>#REF!</v>
      </c>
      <c r="IT97" t="str">
        <f>AND(#REF!,"AAAAAHdfvf0=")</f>
        <v>#REF!</v>
      </c>
      <c r="IU97" t="str">
        <f>AND(#REF!,"AAAAAHdfvf4=")</f>
        <v>#REF!</v>
      </c>
      <c r="IV97" t="str">
        <f>AND(#REF!,"AAAAAHdfvf8=")</f>
        <v>#REF!</v>
      </c>
    </row>
    <row r="98" ht="15.75" customHeight="1">
      <c r="A98" t="str">
        <f>AND(#REF!,"AAAAAF/H9wA=")</f>
        <v>#REF!</v>
      </c>
      <c r="B98" t="str">
        <f>AND(#REF!,"AAAAAF/H9wE=")</f>
        <v>#REF!</v>
      </c>
      <c r="C98" t="str">
        <f>AND(#REF!,"AAAAAF/H9wI=")</f>
        <v>#REF!</v>
      </c>
      <c r="D98" t="str">
        <f>AND(#REF!,"AAAAAF/H9wM=")</f>
        <v>#REF!</v>
      </c>
      <c r="E98" t="str">
        <f>AND(#REF!,"AAAAAF/H9wQ=")</f>
        <v>#REF!</v>
      </c>
      <c r="F98" t="str">
        <f>AND(#REF!,"AAAAAF/H9wU=")</f>
        <v>#REF!</v>
      </c>
      <c r="G98" t="str">
        <f>AND(#REF!,"AAAAAF/H9wY=")</f>
        <v>#REF!</v>
      </c>
      <c r="H98" t="str">
        <f>AND(#REF!,"AAAAAF/H9wc=")</f>
        <v>#REF!</v>
      </c>
      <c r="I98" t="str">
        <f>AND(#REF!,"AAAAAF/H9wg=")</f>
        <v>#REF!</v>
      </c>
      <c r="J98" t="str">
        <f>AND(#REF!,"AAAAAF/H9wk=")</f>
        <v>#REF!</v>
      </c>
      <c r="K98" t="str">
        <f>AND(#REF!,"AAAAAF/H9wo=")</f>
        <v>#REF!</v>
      </c>
      <c r="L98" t="str">
        <f>AND(#REF!,"AAAAAF/H9ws=")</f>
        <v>#REF!</v>
      </c>
      <c r="M98" t="str">
        <f>AND(#REF!,"AAAAAF/H9ww=")</f>
        <v>#REF!</v>
      </c>
      <c r="N98" t="str">
        <f>AND(#REF!,"AAAAAF/H9w0=")</f>
        <v>#REF!</v>
      </c>
      <c r="O98" t="str">
        <f>AND(#REF!,"AAAAAF/H9w4=")</f>
        <v>#REF!</v>
      </c>
      <c r="P98" t="str">
        <f>AND(#REF!,"AAAAAF/H9w8=")</f>
        <v>#REF!</v>
      </c>
      <c r="Q98" t="str">
        <f>AND(#REF!,"AAAAAF/H9xA=")</f>
        <v>#REF!</v>
      </c>
      <c r="R98" t="str">
        <f>AND(#REF!,"AAAAAF/H9xE=")</f>
        <v>#REF!</v>
      </c>
      <c r="S98" t="str">
        <f>AND(#REF!,"AAAAAF/H9xI=")</f>
        <v>#REF!</v>
      </c>
      <c r="T98" t="str">
        <f>AND(#REF!,"AAAAAF/H9xM=")</f>
        <v>#REF!</v>
      </c>
      <c r="U98" t="str">
        <f>AND(#REF!,"AAAAAF/H9xQ=")</f>
        <v>#REF!</v>
      </c>
      <c r="V98" t="str">
        <f>AND(#REF!,"AAAAAF/H9xU=")</f>
        <v>#REF!</v>
      </c>
      <c r="W98" t="str">
        <f>AND(#REF!,"AAAAAF/H9xY=")</f>
        <v>#REF!</v>
      </c>
      <c r="X98" t="str">
        <f>AND(#REF!,"AAAAAF/H9xc=")</f>
        <v>#REF!</v>
      </c>
      <c r="Y98" t="str">
        <f>AND(#REF!,"AAAAAF/H9xg=")</f>
        <v>#REF!</v>
      </c>
      <c r="Z98" t="str">
        <f>AND(#REF!,"AAAAAF/H9xk=")</f>
        <v>#REF!</v>
      </c>
      <c r="AA98" t="str">
        <f>AND(#REF!,"AAAAAF/H9xo=")</f>
        <v>#REF!</v>
      </c>
      <c r="AB98" t="str">
        <f>AND(#REF!,"AAAAAF/H9xs=")</f>
        <v>#REF!</v>
      </c>
      <c r="AC98" t="str">
        <f>AND(#REF!,"AAAAAF/H9xw=")</f>
        <v>#REF!</v>
      </c>
      <c r="AD98" t="str">
        <f>AND(#REF!,"AAAAAF/H9x0=")</f>
        <v>#REF!</v>
      </c>
      <c r="AE98" t="str">
        <f>AND(#REF!,"AAAAAF/H9x4=")</f>
        <v>#REF!</v>
      </c>
      <c r="AF98" t="str">
        <f>AND(#REF!,"AAAAAF/H9x8=")</f>
        <v>#REF!</v>
      </c>
      <c r="AG98" t="str">
        <f>AND(#REF!,"AAAAAF/H9yA=")</f>
        <v>#REF!</v>
      </c>
      <c r="AH98" t="str">
        <f>AND(#REF!,"AAAAAF/H9yE=")</f>
        <v>#REF!</v>
      </c>
      <c r="AI98" t="str">
        <f>AND(#REF!,"AAAAAF/H9yI=")</f>
        <v>#REF!</v>
      </c>
      <c r="AJ98" t="str">
        <f>AND(#REF!,"AAAAAF/H9yM=")</f>
        <v>#REF!</v>
      </c>
      <c r="AK98" t="str">
        <f>AND(#REF!,"AAAAAF/H9yQ=")</f>
        <v>#REF!</v>
      </c>
      <c r="AL98" t="str">
        <f>AND(#REF!,"AAAAAF/H9yU=")</f>
        <v>#REF!</v>
      </c>
      <c r="AM98" t="str">
        <f>AND(#REF!,"AAAAAF/H9yY=")</f>
        <v>#REF!</v>
      </c>
      <c r="AN98" t="str">
        <f>IF(#REF!,"AAAAAF/H9yc=",0)</f>
        <v>#REF!</v>
      </c>
      <c r="AO98" t="str">
        <f>AND(#REF!,"AAAAAF/H9yg=")</f>
        <v>#REF!</v>
      </c>
      <c r="AP98" t="str">
        <f>AND(#REF!,"AAAAAF/H9yk=")</f>
        <v>#REF!</v>
      </c>
      <c r="AQ98" t="str">
        <f>AND(#REF!,"AAAAAF/H9yo=")</f>
        <v>#REF!</v>
      </c>
      <c r="AR98" t="str">
        <f>AND(#REF!,"AAAAAF/H9ys=")</f>
        <v>#REF!</v>
      </c>
      <c r="AS98" t="str">
        <f>AND(#REF!,"AAAAAF/H9yw=")</f>
        <v>#REF!</v>
      </c>
      <c r="AT98" t="str">
        <f>AND(#REF!,"AAAAAF/H9y0=")</f>
        <v>#REF!</v>
      </c>
      <c r="AU98" t="str">
        <f>AND(#REF!,"AAAAAF/H9y4=")</f>
        <v>#REF!</v>
      </c>
      <c r="AV98" t="str">
        <f>AND(#REF!,"AAAAAF/H9y8=")</f>
        <v>#REF!</v>
      </c>
      <c r="AW98" t="str">
        <f>AND(#REF!,"AAAAAF/H9zA=")</f>
        <v>#REF!</v>
      </c>
      <c r="AX98" t="str">
        <f>AND(#REF!,"AAAAAF/H9zE=")</f>
        <v>#REF!</v>
      </c>
      <c r="AY98" t="str">
        <f>AND(#REF!,"AAAAAF/H9zI=")</f>
        <v>#REF!</v>
      </c>
      <c r="AZ98" t="str">
        <f>AND(#REF!,"AAAAAF/H9zM=")</f>
        <v>#REF!</v>
      </c>
      <c r="BA98" t="str">
        <f>AND(#REF!,"AAAAAF/H9zQ=")</f>
        <v>#REF!</v>
      </c>
      <c r="BB98" t="str">
        <f>AND(#REF!,"AAAAAF/H9zU=")</f>
        <v>#REF!</v>
      </c>
      <c r="BC98" t="str">
        <f>AND(#REF!,"AAAAAF/H9zY=")</f>
        <v>#REF!</v>
      </c>
      <c r="BD98" t="str">
        <f>AND(#REF!,"AAAAAF/H9zc=")</f>
        <v>#REF!</v>
      </c>
      <c r="BE98" t="str">
        <f>AND(#REF!,"AAAAAF/H9zg=")</f>
        <v>#REF!</v>
      </c>
      <c r="BF98" t="str">
        <f>AND(#REF!,"AAAAAF/H9zk=")</f>
        <v>#REF!</v>
      </c>
      <c r="BG98" t="str">
        <f>AND(#REF!,"AAAAAF/H9zo=")</f>
        <v>#REF!</v>
      </c>
      <c r="BH98" t="str">
        <f>AND(#REF!,"AAAAAF/H9zs=")</f>
        <v>#REF!</v>
      </c>
      <c r="BI98" t="str">
        <f>AND(#REF!,"AAAAAF/H9zw=")</f>
        <v>#REF!</v>
      </c>
      <c r="BJ98" t="str">
        <f>AND(#REF!,"AAAAAF/H9z0=")</f>
        <v>#REF!</v>
      </c>
      <c r="BK98" t="str">
        <f>AND(#REF!,"AAAAAF/H9z4=")</f>
        <v>#REF!</v>
      </c>
      <c r="BL98" t="str">
        <f>AND(#REF!,"AAAAAF/H9z8=")</f>
        <v>#REF!</v>
      </c>
      <c r="BM98" t="str">
        <f>AND(#REF!,"AAAAAF/H90A=")</f>
        <v>#REF!</v>
      </c>
      <c r="BN98" t="str">
        <f>AND(#REF!,"AAAAAF/H90E=")</f>
        <v>#REF!</v>
      </c>
      <c r="BO98" t="str">
        <f>AND(#REF!,"AAAAAF/H90I=")</f>
        <v>#REF!</v>
      </c>
      <c r="BP98" t="str">
        <f>AND(#REF!,"AAAAAF/H90M=")</f>
        <v>#REF!</v>
      </c>
      <c r="BQ98" t="str">
        <f>AND(#REF!,"AAAAAF/H90Q=")</f>
        <v>#REF!</v>
      </c>
      <c r="BR98" t="str">
        <f>AND(#REF!,"AAAAAF/H90U=")</f>
        <v>#REF!</v>
      </c>
      <c r="BS98" t="str">
        <f>AND(#REF!,"AAAAAF/H90Y=")</f>
        <v>#REF!</v>
      </c>
      <c r="BT98" t="str">
        <f>AND(#REF!,"AAAAAF/H90c=")</f>
        <v>#REF!</v>
      </c>
      <c r="BU98" t="str">
        <f>AND(#REF!,"AAAAAF/H90g=")</f>
        <v>#REF!</v>
      </c>
      <c r="BV98" t="str">
        <f>AND(#REF!,"AAAAAF/H90k=")</f>
        <v>#REF!</v>
      </c>
      <c r="BW98" t="str">
        <f>AND(#REF!,"AAAAAF/H90o=")</f>
        <v>#REF!</v>
      </c>
      <c r="BX98" t="str">
        <f>AND(#REF!,"AAAAAF/H90s=")</f>
        <v>#REF!</v>
      </c>
      <c r="BY98" t="str">
        <f>AND(#REF!,"AAAAAF/H90w=")</f>
        <v>#REF!</v>
      </c>
      <c r="BZ98" t="str">
        <f>AND(#REF!,"AAAAAF/H900=")</f>
        <v>#REF!</v>
      </c>
      <c r="CA98" t="str">
        <f>AND(#REF!,"AAAAAF/H904=")</f>
        <v>#REF!</v>
      </c>
      <c r="CB98" t="str">
        <f>AND(#REF!,"AAAAAF/H908=")</f>
        <v>#REF!</v>
      </c>
      <c r="CC98" t="str">
        <f>AND(#REF!,"AAAAAF/H91A=")</f>
        <v>#REF!</v>
      </c>
      <c r="CD98" t="str">
        <f>AND(#REF!,"AAAAAF/H91E=")</f>
        <v>#REF!</v>
      </c>
      <c r="CE98" t="str">
        <f>AND(#REF!,"AAAAAF/H91I=")</f>
        <v>#REF!</v>
      </c>
      <c r="CF98" t="str">
        <f>AND(#REF!,"AAAAAF/H91M=")</f>
        <v>#REF!</v>
      </c>
      <c r="CG98" t="str">
        <f>AND(#REF!,"AAAAAF/H91Q=")</f>
        <v>#REF!</v>
      </c>
      <c r="CH98" t="str">
        <f>AND(#REF!,"AAAAAF/H91U=")</f>
        <v>#REF!</v>
      </c>
      <c r="CI98" t="str">
        <f>AND(#REF!,"AAAAAF/H91Y=")</f>
        <v>#REF!</v>
      </c>
      <c r="CJ98" t="str">
        <f>AND(#REF!,"AAAAAF/H91c=")</f>
        <v>#REF!</v>
      </c>
      <c r="CK98" t="str">
        <f>AND(#REF!,"AAAAAF/H91g=")</f>
        <v>#REF!</v>
      </c>
      <c r="CL98" t="str">
        <f>AND(#REF!,"AAAAAF/H91k=")</f>
        <v>#REF!</v>
      </c>
      <c r="CM98" t="str">
        <f>AND(#REF!,"AAAAAF/H91o=")</f>
        <v>#REF!</v>
      </c>
      <c r="CN98" t="str">
        <f>AND(#REF!,"AAAAAF/H91s=")</f>
        <v>#REF!</v>
      </c>
      <c r="CO98" t="str">
        <f>AND(#REF!,"AAAAAF/H91w=")</f>
        <v>#REF!</v>
      </c>
      <c r="CP98" t="str">
        <f>AND(#REF!,"AAAAAF/H910=")</f>
        <v>#REF!</v>
      </c>
      <c r="CQ98" t="str">
        <f>AND(#REF!,"AAAAAF/H914=")</f>
        <v>#REF!</v>
      </c>
      <c r="CR98" t="str">
        <f>AND(#REF!,"AAAAAF/H918=")</f>
        <v>#REF!</v>
      </c>
      <c r="CS98" t="str">
        <f>AND(#REF!,"AAAAAF/H92A=")</f>
        <v>#REF!</v>
      </c>
      <c r="CT98" t="str">
        <f>AND(#REF!,"AAAAAF/H92E=")</f>
        <v>#REF!</v>
      </c>
      <c r="CU98" t="str">
        <f>AND(#REF!,"AAAAAF/H92I=")</f>
        <v>#REF!</v>
      </c>
      <c r="CV98" t="str">
        <f>AND(#REF!,"AAAAAF/H92M=")</f>
        <v>#REF!</v>
      </c>
      <c r="CW98" t="str">
        <f>AND(#REF!,"AAAAAF/H92Q=")</f>
        <v>#REF!</v>
      </c>
      <c r="CX98" t="str">
        <f>AND(#REF!,"AAAAAF/H92U=")</f>
        <v>#REF!</v>
      </c>
      <c r="CY98" t="str">
        <f>AND(#REF!,"AAAAAF/H92Y=")</f>
        <v>#REF!</v>
      </c>
      <c r="CZ98" t="str">
        <f>AND(#REF!,"AAAAAF/H92c=")</f>
        <v>#REF!</v>
      </c>
      <c r="DA98" t="str">
        <f>AND(#REF!,"AAAAAF/H92g=")</f>
        <v>#REF!</v>
      </c>
      <c r="DB98" t="str">
        <f>AND(#REF!,"AAAAAF/H92k=")</f>
        <v>#REF!</v>
      </c>
      <c r="DC98" t="str">
        <f>AND(#REF!,"AAAAAF/H92o=")</f>
        <v>#REF!</v>
      </c>
      <c r="DD98" t="str">
        <f>AND(#REF!,"AAAAAF/H92s=")</f>
        <v>#REF!</v>
      </c>
      <c r="DE98" t="str">
        <f>AND(#REF!,"AAAAAF/H92w=")</f>
        <v>#REF!</v>
      </c>
      <c r="DF98" t="str">
        <f>AND(#REF!,"AAAAAF/H920=")</f>
        <v>#REF!</v>
      </c>
      <c r="DG98" t="str">
        <f>AND(#REF!,"AAAAAF/H924=")</f>
        <v>#REF!</v>
      </c>
      <c r="DH98" t="str">
        <f>AND(#REF!,"AAAAAF/H928=")</f>
        <v>#REF!</v>
      </c>
      <c r="DI98" t="str">
        <f>AND(#REF!,"AAAAAF/H93A=")</f>
        <v>#REF!</v>
      </c>
      <c r="DJ98" t="str">
        <f>AND(#REF!,"AAAAAF/H93E=")</f>
        <v>#REF!</v>
      </c>
      <c r="DK98" t="str">
        <f>AND(#REF!,"AAAAAF/H93I=")</f>
        <v>#REF!</v>
      </c>
      <c r="DL98" t="str">
        <f>IF(#REF!,"AAAAAF/H93M=",0)</f>
        <v>#REF!</v>
      </c>
      <c r="DM98" t="str">
        <f>AND(#REF!,"AAAAAF/H93Q=")</f>
        <v>#REF!</v>
      </c>
      <c r="DN98" t="str">
        <f>AND(#REF!,"AAAAAF/H93U=")</f>
        <v>#REF!</v>
      </c>
      <c r="DO98" t="str">
        <f>AND(#REF!,"AAAAAF/H93Y=")</f>
        <v>#REF!</v>
      </c>
      <c r="DP98" t="str">
        <f>AND(#REF!,"AAAAAF/H93c=")</f>
        <v>#REF!</v>
      </c>
      <c r="DQ98" t="str">
        <f>AND(#REF!,"AAAAAF/H93g=")</f>
        <v>#REF!</v>
      </c>
      <c r="DR98" t="str">
        <f>AND(#REF!,"AAAAAF/H93k=")</f>
        <v>#REF!</v>
      </c>
      <c r="DS98" t="str">
        <f>AND(#REF!,"AAAAAF/H93o=")</f>
        <v>#REF!</v>
      </c>
      <c r="DT98" t="str">
        <f>AND(#REF!,"AAAAAF/H93s=")</f>
        <v>#REF!</v>
      </c>
      <c r="DU98" t="str">
        <f>AND(#REF!,"AAAAAF/H93w=")</f>
        <v>#REF!</v>
      </c>
      <c r="DV98" t="str">
        <f>AND(#REF!,"AAAAAF/H930=")</f>
        <v>#REF!</v>
      </c>
      <c r="DW98" t="str">
        <f>AND(#REF!,"AAAAAF/H934=")</f>
        <v>#REF!</v>
      </c>
      <c r="DX98" t="str">
        <f>AND(#REF!,"AAAAAF/H938=")</f>
        <v>#REF!</v>
      </c>
      <c r="DY98" t="str">
        <f>AND(#REF!,"AAAAAF/H94A=")</f>
        <v>#REF!</v>
      </c>
      <c r="DZ98" t="str">
        <f>AND(#REF!,"AAAAAF/H94E=")</f>
        <v>#REF!</v>
      </c>
      <c r="EA98" t="str">
        <f>AND(#REF!,"AAAAAF/H94I=")</f>
        <v>#REF!</v>
      </c>
      <c r="EB98" t="str">
        <f>AND(#REF!,"AAAAAF/H94M=")</f>
        <v>#REF!</v>
      </c>
      <c r="EC98" t="str">
        <f>AND(#REF!,"AAAAAF/H94Q=")</f>
        <v>#REF!</v>
      </c>
      <c r="ED98" t="str">
        <f>AND(#REF!,"AAAAAF/H94U=")</f>
        <v>#REF!</v>
      </c>
      <c r="EE98" t="str">
        <f>AND(#REF!,"AAAAAF/H94Y=")</f>
        <v>#REF!</v>
      </c>
      <c r="EF98" t="str">
        <f>AND(#REF!,"AAAAAF/H94c=")</f>
        <v>#REF!</v>
      </c>
      <c r="EG98" t="str">
        <f>AND(#REF!,"AAAAAF/H94g=")</f>
        <v>#REF!</v>
      </c>
      <c r="EH98" t="str">
        <f>AND(#REF!,"AAAAAF/H94k=")</f>
        <v>#REF!</v>
      </c>
      <c r="EI98" t="str">
        <f>AND(#REF!,"AAAAAF/H94o=")</f>
        <v>#REF!</v>
      </c>
      <c r="EJ98" t="str">
        <f>AND(#REF!,"AAAAAF/H94s=")</f>
        <v>#REF!</v>
      </c>
      <c r="EK98" t="str">
        <f>AND(#REF!,"AAAAAF/H94w=")</f>
        <v>#REF!</v>
      </c>
      <c r="EL98" t="str">
        <f>AND(#REF!,"AAAAAF/H940=")</f>
        <v>#REF!</v>
      </c>
      <c r="EM98" t="str">
        <f>AND(#REF!,"AAAAAF/H944=")</f>
        <v>#REF!</v>
      </c>
      <c r="EN98" t="str">
        <f>AND(#REF!,"AAAAAF/H948=")</f>
        <v>#REF!</v>
      </c>
      <c r="EO98" t="str">
        <f>AND(#REF!,"AAAAAF/H95A=")</f>
        <v>#REF!</v>
      </c>
      <c r="EP98" t="str">
        <f>AND(#REF!,"AAAAAF/H95E=")</f>
        <v>#REF!</v>
      </c>
      <c r="EQ98" t="str">
        <f>AND(#REF!,"AAAAAF/H95I=")</f>
        <v>#REF!</v>
      </c>
      <c r="ER98" t="str">
        <f>AND(#REF!,"AAAAAF/H95M=")</f>
        <v>#REF!</v>
      </c>
      <c r="ES98" t="str">
        <f>AND(#REF!,"AAAAAF/H95Q=")</f>
        <v>#REF!</v>
      </c>
      <c r="ET98" t="str">
        <f>AND(#REF!,"AAAAAF/H95U=")</f>
        <v>#REF!</v>
      </c>
      <c r="EU98" t="str">
        <f>AND(#REF!,"AAAAAF/H95Y=")</f>
        <v>#REF!</v>
      </c>
      <c r="EV98" t="str">
        <f>AND(#REF!,"AAAAAF/H95c=")</f>
        <v>#REF!</v>
      </c>
      <c r="EW98" t="str">
        <f>AND(#REF!,"AAAAAF/H95g=")</f>
        <v>#REF!</v>
      </c>
      <c r="EX98" t="str">
        <f>AND(#REF!,"AAAAAF/H95k=")</f>
        <v>#REF!</v>
      </c>
      <c r="EY98" t="str">
        <f>AND(#REF!,"AAAAAF/H95o=")</f>
        <v>#REF!</v>
      </c>
      <c r="EZ98" t="str">
        <f>AND(#REF!,"AAAAAF/H95s=")</f>
        <v>#REF!</v>
      </c>
      <c r="FA98" t="str">
        <f>AND(#REF!,"AAAAAF/H95w=")</f>
        <v>#REF!</v>
      </c>
      <c r="FB98" t="str">
        <f>AND(#REF!,"AAAAAF/H950=")</f>
        <v>#REF!</v>
      </c>
      <c r="FC98" t="str">
        <f>AND(#REF!,"AAAAAF/H954=")</f>
        <v>#REF!</v>
      </c>
      <c r="FD98" t="str">
        <f>AND(#REF!,"AAAAAF/H958=")</f>
        <v>#REF!</v>
      </c>
      <c r="FE98" t="str">
        <f>AND(#REF!,"AAAAAF/H96A=")</f>
        <v>#REF!</v>
      </c>
      <c r="FF98" t="str">
        <f>AND(#REF!,"AAAAAF/H96E=")</f>
        <v>#REF!</v>
      </c>
      <c r="FG98" t="str">
        <f>AND(#REF!,"AAAAAF/H96I=")</f>
        <v>#REF!</v>
      </c>
      <c r="FH98" t="str">
        <f>AND(#REF!,"AAAAAF/H96M=")</f>
        <v>#REF!</v>
      </c>
      <c r="FI98" t="str">
        <f>AND(#REF!,"AAAAAF/H96Q=")</f>
        <v>#REF!</v>
      </c>
      <c r="FJ98" t="str">
        <f>AND(#REF!,"AAAAAF/H96U=")</f>
        <v>#REF!</v>
      </c>
      <c r="FK98" t="str">
        <f>AND(#REF!,"AAAAAF/H96Y=")</f>
        <v>#REF!</v>
      </c>
      <c r="FL98" t="str">
        <f>AND(#REF!,"AAAAAF/H96c=")</f>
        <v>#REF!</v>
      </c>
      <c r="FM98" t="str">
        <f>AND(#REF!,"AAAAAF/H96g=")</f>
        <v>#REF!</v>
      </c>
      <c r="FN98" t="str">
        <f>AND(#REF!,"AAAAAF/H96k=")</f>
        <v>#REF!</v>
      </c>
      <c r="FO98" t="str">
        <f>AND(#REF!,"AAAAAF/H96o=")</f>
        <v>#REF!</v>
      </c>
      <c r="FP98" t="str">
        <f>AND(#REF!,"AAAAAF/H96s=")</f>
        <v>#REF!</v>
      </c>
      <c r="FQ98" t="str">
        <f>AND(#REF!,"AAAAAF/H96w=")</f>
        <v>#REF!</v>
      </c>
      <c r="FR98" t="str">
        <f>AND(#REF!,"AAAAAF/H960=")</f>
        <v>#REF!</v>
      </c>
      <c r="FS98" t="str">
        <f>AND(#REF!,"AAAAAF/H964=")</f>
        <v>#REF!</v>
      </c>
      <c r="FT98" t="str">
        <f>AND(#REF!,"AAAAAF/H968=")</f>
        <v>#REF!</v>
      </c>
      <c r="FU98" t="str">
        <f>AND(#REF!,"AAAAAF/H97A=")</f>
        <v>#REF!</v>
      </c>
      <c r="FV98" t="str">
        <f>AND(#REF!,"AAAAAF/H97E=")</f>
        <v>#REF!</v>
      </c>
      <c r="FW98" t="str">
        <f>AND(#REF!,"AAAAAF/H97I=")</f>
        <v>#REF!</v>
      </c>
      <c r="FX98" t="str">
        <f>AND(#REF!,"AAAAAF/H97M=")</f>
        <v>#REF!</v>
      </c>
      <c r="FY98" t="str">
        <f>AND(#REF!,"AAAAAF/H97Q=")</f>
        <v>#REF!</v>
      </c>
      <c r="FZ98" t="str">
        <f>AND(#REF!,"AAAAAF/H97U=")</f>
        <v>#REF!</v>
      </c>
      <c r="GA98" t="str">
        <f>AND(#REF!,"AAAAAF/H97Y=")</f>
        <v>#REF!</v>
      </c>
      <c r="GB98" t="str">
        <f>AND(#REF!,"AAAAAF/H97c=")</f>
        <v>#REF!</v>
      </c>
      <c r="GC98" t="str">
        <f>AND(#REF!,"AAAAAF/H97g=")</f>
        <v>#REF!</v>
      </c>
      <c r="GD98" t="str">
        <f>AND(#REF!,"AAAAAF/H97k=")</f>
        <v>#REF!</v>
      </c>
      <c r="GE98" t="str">
        <f>AND(#REF!,"AAAAAF/H97o=")</f>
        <v>#REF!</v>
      </c>
      <c r="GF98" t="str">
        <f>AND(#REF!,"AAAAAF/H97s=")</f>
        <v>#REF!</v>
      </c>
      <c r="GG98" t="str">
        <f>AND(#REF!,"AAAAAF/H97w=")</f>
        <v>#REF!</v>
      </c>
      <c r="GH98" t="str">
        <f>AND(#REF!,"AAAAAF/H970=")</f>
        <v>#REF!</v>
      </c>
      <c r="GI98" t="str">
        <f>AND(#REF!,"AAAAAF/H974=")</f>
        <v>#REF!</v>
      </c>
      <c r="GJ98" t="str">
        <f>IF(#REF!,"AAAAAF/H978=",0)</f>
        <v>#REF!</v>
      </c>
      <c r="GK98" t="str">
        <f>AND(#REF!,"AAAAAF/H98A=")</f>
        <v>#REF!</v>
      </c>
      <c r="GL98" t="str">
        <f>AND(#REF!,"AAAAAF/H98E=")</f>
        <v>#REF!</v>
      </c>
      <c r="GM98" t="str">
        <f>AND(#REF!,"AAAAAF/H98I=")</f>
        <v>#REF!</v>
      </c>
      <c r="GN98" t="str">
        <f>AND(#REF!,"AAAAAF/H98M=")</f>
        <v>#REF!</v>
      </c>
      <c r="GO98" t="str">
        <f>AND(#REF!,"AAAAAF/H98Q=")</f>
        <v>#REF!</v>
      </c>
      <c r="GP98" t="str">
        <f>AND(#REF!,"AAAAAF/H98U=")</f>
        <v>#REF!</v>
      </c>
      <c r="GQ98" t="str">
        <f>AND(#REF!,"AAAAAF/H98Y=")</f>
        <v>#REF!</v>
      </c>
      <c r="GR98" t="str">
        <f>AND(#REF!,"AAAAAF/H98c=")</f>
        <v>#REF!</v>
      </c>
      <c r="GS98" t="str">
        <f>AND(#REF!,"AAAAAF/H98g=")</f>
        <v>#REF!</v>
      </c>
      <c r="GT98" t="str">
        <f>AND(#REF!,"AAAAAF/H98k=")</f>
        <v>#REF!</v>
      </c>
      <c r="GU98" t="str">
        <f>AND(#REF!,"AAAAAF/H98o=")</f>
        <v>#REF!</v>
      </c>
      <c r="GV98" t="str">
        <f>AND(#REF!,"AAAAAF/H98s=")</f>
        <v>#REF!</v>
      </c>
      <c r="GW98" t="str">
        <f>AND(#REF!,"AAAAAF/H98w=")</f>
        <v>#REF!</v>
      </c>
      <c r="GX98" t="str">
        <f>AND(#REF!,"AAAAAF/H980=")</f>
        <v>#REF!</v>
      </c>
      <c r="GY98" t="str">
        <f>AND(#REF!,"AAAAAF/H984=")</f>
        <v>#REF!</v>
      </c>
      <c r="GZ98" t="str">
        <f>AND(#REF!,"AAAAAF/H988=")</f>
        <v>#REF!</v>
      </c>
      <c r="HA98" t="str">
        <f>AND(#REF!,"AAAAAF/H99A=")</f>
        <v>#REF!</v>
      </c>
      <c r="HB98" t="str">
        <f>AND(#REF!,"AAAAAF/H99E=")</f>
        <v>#REF!</v>
      </c>
      <c r="HC98" t="str">
        <f>AND(#REF!,"AAAAAF/H99I=")</f>
        <v>#REF!</v>
      </c>
      <c r="HD98" t="str">
        <f>AND(#REF!,"AAAAAF/H99M=")</f>
        <v>#REF!</v>
      </c>
      <c r="HE98" t="str">
        <f>AND(#REF!,"AAAAAF/H99Q=")</f>
        <v>#REF!</v>
      </c>
      <c r="HF98" t="str">
        <f>AND(#REF!,"AAAAAF/H99U=")</f>
        <v>#REF!</v>
      </c>
      <c r="HG98" t="str">
        <f>AND(#REF!,"AAAAAF/H99Y=")</f>
        <v>#REF!</v>
      </c>
      <c r="HH98" t="str">
        <f>AND(#REF!,"AAAAAF/H99c=")</f>
        <v>#REF!</v>
      </c>
      <c r="HI98" t="str">
        <f>AND(#REF!,"AAAAAF/H99g=")</f>
        <v>#REF!</v>
      </c>
      <c r="HJ98" t="str">
        <f>AND(#REF!,"AAAAAF/H99k=")</f>
        <v>#REF!</v>
      </c>
      <c r="HK98" t="str">
        <f>AND(#REF!,"AAAAAF/H99o=")</f>
        <v>#REF!</v>
      </c>
      <c r="HL98" t="str">
        <f>AND(#REF!,"AAAAAF/H99s=")</f>
        <v>#REF!</v>
      </c>
      <c r="HM98" t="str">
        <f>AND(#REF!,"AAAAAF/H99w=")</f>
        <v>#REF!</v>
      </c>
      <c r="HN98" t="str">
        <f>AND(#REF!,"AAAAAF/H990=")</f>
        <v>#REF!</v>
      </c>
      <c r="HO98" t="str">
        <f>AND(#REF!,"AAAAAF/H994=")</f>
        <v>#REF!</v>
      </c>
      <c r="HP98" t="str">
        <f>AND(#REF!,"AAAAAF/H998=")</f>
        <v>#REF!</v>
      </c>
      <c r="HQ98" t="str">
        <f>AND(#REF!,"AAAAAF/H9+A=")</f>
        <v>#REF!</v>
      </c>
      <c r="HR98" t="str">
        <f>AND(#REF!,"AAAAAF/H9+E=")</f>
        <v>#REF!</v>
      </c>
      <c r="HS98" t="str">
        <f>AND(#REF!,"AAAAAF/H9+I=")</f>
        <v>#REF!</v>
      </c>
      <c r="HT98" t="str">
        <f>AND(#REF!,"AAAAAF/H9+M=")</f>
        <v>#REF!</v>
      </c>
      <c r="HU98" t="str">
        <f>AND(#REF!,"AAAAAF/H9+Q=")</f>
        <v>#REF!</v>
      </c>
      <c r="HV98" t="str">
        <f>AND(#REF!,"AAAAAF/H9+U=")</f>
        <v>#REF!</v>
      </c>
      <c r="HW98" t="str">
        <f>AND(#REF!,"AAAAAF/H9+Y=")</f>
        <v>#REF!</v>
      </c>
      <c r="HX98" t="str">
        <f>AND(#REF!,"AAAAAF/H9+c=")</f>
        <v>#REF!</v>
      </c>
      <c r="HY98" t="str">
        <f>AND(#REF!,"AAAAAF/H9+g=")</f>
        <v>#REF!</v>
      </c>
      <c r="HZ98" t="str">
        <f>AND(#REF!,"AAAAAF/H9+k=")</f>
        <v>#REF!</v>
      </c>
      <c r="IA98" t="str">
        <f>AND(#REF!,"AAAAAF/H9+o=")</f>
        <v>#REF!</v>
      </c>
      <c r="IB98" t="str">
        <f>AND(#REF!,"AAAAAF/H9+s=")</f>
        <v>#REF!</v>
      </c>
      <c r="IC98" t="str">
        <f>AND(#REF!,"AAAAAF/H9+w=")</f>
        <v>#REF!</v>
      </c>
      <c r="ID98" t="str">
        <f>AND(#REF!,"AAAAAF/H9+0=")</f>
        <v>#REF!</v>
      </c>
      <c r="IE98" t="str">
        <f>AND(#REF!,"AAAAAF/H9+4=")</f>
        <v>#REF!</v>
      </c>
      <c r="IF98" t="str">
        <f>AND(#REF!,"AAAAAF/H9+8=")</f>
        <v>#REF!</v>
      </c>
      <c r="IG98" t="str">
        <f>AND(#REF!,"AAAAAF/H9/A=")</f>
        <v>#REF!</v>
      </c>
      <c r="IH98" t="str">
        <f>AND(#REF!,"AAAAAF/H9/E=")</f>
        <v>#REF!</v>
      </c>
      <c r="II98" t="str">
        <f>AND(#REF!,"AAAAAF/H9/I=")</f>
        <v>#REF!</v>
      </c>
      <c r="IJ98" t="str">
        <f>AND(#REF!,"AAAAAF/H9/M=")</f>
        <v>#REF!</v>
      </c>
      <c r="IK98" t="str">
        <f>AND(#REF!,"AAAAAF/H9/Q=")</f>
        <v>#REF!</v>
      </c>
      <c r="IL98" t="str">
        <f>AND(#REF!,"AAAAAF/H9/U=")</f>
        <v>#REF!</v>
      </c>
      <c r="IM98" t="str">
        <f>AND(#REF!,"AAAAAF/H9/Y=")</f>
        <v>#REF!</v>
      </c>
      <c r="IN98" t="str">
        <f>AND(#REF!,"AAAAAF/H9/c=")</f>
        <v>#REF!</v>
      </c>
      <c r="IO98" t="str">
        <f>AND(#REF!,"AAAAAF/H9/g=")</f>
        <v>#REF!</v>
      </c>
      <c r="IP98" t="str">
        <f>AND(#REF!,"AAAAAF/H9/k=")</f>
        <v>#REF!</v>
      </c>
      <c r="IQ98" t="str">
        <f>AND(#REF!,"AAAAAF/H9/o=")</f>
        <v>#REF!</v>
      </c>
      <c r="IR98" t="str">
        <f>AND(#REF!,"AAAAAF/H9/s=")</f>
        <v>#REF!</v>
      </c>
      <c r="IS98" t="str">
        <f>AND(#REF!,"AAAAAF/H9/w=")</f>
        <v>#REF!</v>
      </c>
      <c r="IT98" t="str">
        <f>AND(#REF!,"AAAAAF/H9/0=")</f>
        <v>#REF!</v>
      </c>
      <c r="IU98" t="str">
        <f>AND(#REF!,"AAAAAF/H9/4=")</f>
        <v>#REF!</v>
      </c>
      <c r="IV98" t="str">
        <f>AND(#REF!,"AAAAAF/H9/8=")</f>
        <v>#REF!</v>
      </c>
    </row>
    <row r="99" ht="15.75" customHeight="1">
      <c r="A99" t="str">
        <f>AND(#REF!,"AAAAAH7/twA=")</f>
        <v>#REF!</v>
      </c>
      <c r="B99" t="str">
        <f>AND(#REF!,"AAAAAH7/twE=")</f>
        <v>#REF!</v>
      </c>
      <c r="C99" t="str">
        <f>AND(#REF!,"AAAAAH7/twI=")</f>
        <v>#REF!</v>
      </c>
      <c r="D99" t="str">
        <f>AND(#REF!,"AAAAAH7/twM=")</f>
        <v>#REF!</v>
      </c>
      <c r="E99" t="str">
        <f>AND(#REF!,"AAAAAH7/twQ=")</f>
        <v>#REF!</v>
      </c>
      <c r="F99" t="str">
        <f>AND(#REF!,"AAAAAH7/twU=")</f>
        <v>#REF!</v>
      </c>
      <c r="G99" t="str">
        <f>AND(#REF!,"AAAAAH7/twY=")</f>
        <v>#REF!</v>
      </c>
      <c r="H99" t="str">
        <f>AND(#REF!,"AAAAAH7/twc=")</f>
        <v>#REF!</v>
      </c>
      <c r="I99" t="str">
        <f>AND(#REF!,"AAAAAH7/twg=")</f>
        <v>#REF!</v>
      </c>
      <c r="J99" t="str">
        <f>AND(#REF!,"AAAAAH7/twk=")</f>
        <v>#REF!</v>
      </c>
      <c r="K99" t="str">
        <f>AND(#REF!,"AAAAAH7/two=")</f>
        <v>#REF!</v>
      </c>
      <c r="L99" t="str">
        <f>IF(#REF!,"AAAAAH7/tws=",0)</f>
        <v>#REF!</v>
      </c>
      <c r="M99" t="str">
        <f>AND(#REF!,"AAAAAH7/tww=")</f>
        <v>#REF!</v>
      </c>
      <c r="N99" t="str">
        <f>AND(#REF!,"AAAAAH7/tw0=")</f>
        <v>#REF!</v>
      </c>
      <c r="O99" t="str">
        <f>AND(#REF!,"AAAAAH7/tw4=")</f>
        <v>#REF!</v>
      </c>
      <c r="P99" t="str">
        <f>AND(#REF!,"AAAAAH7/tw8=")</f>
        <v>#REF!</v>
      </c>
      <c r="Q99" t="str">
        <f>AND(#REF!,"AAAAAH7/txA=")</f>
        <v>#REF!</v>
      </c>
      <c r="R99" t="str">
        <f>AND(#REF!,"AAAAAH7/txE=")</f>
        <v>#REF!</v>
      </c>
      <c r="S99" t="str">
        <f>AND(#REF!,"AAAAAH7/txI=")</f>
        <v>#REF!</v>
      </c>
      <c r="T99" t="str">
        <f>AND(#REF!,"AAAAAH7/txM=")</f>
        <v>#REF!</v>
      </c>
      <c r="U99" t="str">
        <f>AND(#REF!,"AAAAAH7/txQ=")</f>
        <v>#REF!</v>
      </c>
      <c r="V99" t="str">
        <f>AND(#REF!,"AAAAAH7/txU=")</f>
        <v>#REF!</v>
      </c>
      <c r="W99" t="str">
        <f>AND(#REF!,"AAAAAH7/txY=")</f>
        <v>#REF!</v>
      </c>
      <c r="X99" t="str">
        <f>AND(#REF!,"AAAAAH7/txc=")</f>
        <v>#REF!</v>
      </c>
      <c r="Y99" t="str">
        <f>AND(#REF!,"AAAAAH7/txg=")</f>
        <v>#REF!</v>
      </c>
      <c r="Z99" t="str">
        <f>AND(#REF!,"AAAAAH7/txk=")</f>
        <v>#REF!</v>
      </c>
      <c r="AA99" t="str">
        <f>AND(#REF!,"AAAAAH7/txo=")</f>
        <v>#REF!</v>
      </c>
      <c r="AB99" t="str">
        <f>AND(#REF!,"AAAAAH7/txs=")</f>
        <v>#REF!</v>
      </c>
      <c r="AC99" t="str">
        <f>AND(#REF!,"AAAAAH7/txw=")</f>
        <v>#REF!</v>
      </c>
      <c r="AD99" t="str">
        <f>AND(#REF!,"AAAAAH7/tx0=")</f>
        <v>#REF!</v>
      </c>
      <c r="AE99" t="str">
        <f>AND(#REF!,"AAAAAH7/tx4=")</f>
        <v>#REF!</v>
      </c>
      <c r="AF99" t="str">
        <f>AND(#REF!,"AAAAAH7/tx8=")</f>
        <v>#REF!</v>
      </c>
      <c r="AG99" t="str">
        <f>AND(#REF!,"AAAAAH7/tyA=")</f>
        <v>#REF!</v>
      </c>
      <c r="AH99" t="str">
        <f>AND(#REF!,"AAAAAH7/tyE=")</f>
        <v>#REF!</v>
      </c>
      <c r="AI99" t="str">
        <f>AND(#REF!,"AAAAAH7/tyI=")</f>
        <v>#REF!</v>
      </c>
      <c r="AJ99" t="str">
        <f>AND(#REF!,"AAAAAH7/tyM=")</f>
        <v>#REF!</v>
      </c>
      <c r="AK99" t="str">
        <f>AND(#REF!,"AAAAAH7/tyQ=")</f>
        <v>#REF!</v>
      </c>
      <c r="AL99" t="str">
        <f>AND(#REF!,"AAAAAH7/tyU=")</f>
        <v>#REF!</v>
      </c>
      <c r="AM99" t="str">
        <f>AND(#REF!,"AAAAAH7/tyY=")</f>
        <v>#REF!</v>
      </c>
      <c r="AN99" t="str">
        <f>AND(#REF!,"AAAAAH7/tyc=")</f>
        <v>#REF!</v>
      </c>
      <c r="AO99" t="str">
        <f>AND(#REF!,"AAAAAH7/tyg=")</f>
        <v>#REF!</v>
      </c>
      <c r="AP99" t="str">
        <f>AND(#REF!,"AAAAAH7/tyk=")</f>
        <v>#REF!</v>
      </c>
      <c r="AQ99" t="str">
        <f>AND(#REF!,"AAAAAH7/tyo=")</f>
        <v>#REF!</v>
      </c>
      <c r="AR99" t="str">
        <f>AND(#REF!,"AAAAAH7/tys=")</f>
        <v>#REF!</v>
      </c>
      <c r="AS99" t="str">
        <f>AND(#REF!,"AAAAAH7/tyw=")</f>
        <v>#REF!</v>
      </c>
      <c r="AT99" t="str">
        <f>AND(#REF!,"AAAAAH7/ty0=")</f>
        <v>#REF!</v>
      </c>
      <c r="AU99" t="str">
        <f>AND(#REF!,"AAAAAH7/ty4=")</f>
        <v>#REF!</v>
      </c>
      <c r="AV99" t="str">
        <f>AND(#REF!,"AAAAAH7/ty8=")</f>
        <v>#REF!</v>
      </c>
      <c r="AW99" t="str">
        <f>AND(#REF!,"AAAAAH7/tzA=")</f>
        <v>#REF!</v>
      </c>
      <c r="AX99" t="str">
        <f>AND(#REF!,"AAAAAH7/tzE=")</f>
        <v>#REF!</v>
      </c>
      <c r="AY99" t="str">
        <f>AND(#REF!,"AAAAAH7/tzI=")</f>
        <v>#REF!</v>
      </c>
      <c r="AZ99" t="str">
        <f>AND(#REF!,"AAAAAH7/tzM=")</f>
        <v>#REF!</v>
      </c>
      <c r="BA99" t="str">
        <f>AND(#REF!,"AAAAAH7/tzQ=")</f>
        <v>#REF!</v>
      </c>
      <c r="BB99" t="str">
        <f>AND(#REF!,"AAAAAH7/tzU=")</f>
        <v>#REF!</v>
      </c>
      <c r="BC99" t="str">
        <f>AND(#REF!,"AAAAAH7/tzY=")</f>
        <v>#REF!</v>
      </c>
      <c r="BD99" t="str">
        <f>AND(#REF!,"AAAAAH7/tzc=")</f>
        <v>#REF!</v>
      </c>
      <c r="BE99" t="str">
        <f>AND(#REF!,"AAAAAH7/tzg=")</f>
        <v>#REF!</v>
      </c>
      <c r="BF99" t="str">
        <f>AND(#REF!,"AAAAAH7/tzk=")</f>
        <v>#REF!</v>
      </c>
      <c r="BG99" t="str">
        <f>AND(#REF!,"AAAAAH7/tzo=")</f>
        <v>#REF!</v>
      </c>
      <c r="BH99" t="str">
        <f>AND(#REF!,"AAAAAH7/tzs=")</f>
        <v>#REF!</v>
      </c>
      <c r="BI99" t="str">
        <f>AND(#REF!,"AAAAAH7/tzw=")</f>
        <v>#REF!</v>
      </c>
      <c r="BJ99" t="str">
        <f>AND(#REF!,"AAAAAH7/tz0=")</f>
        <v>#REF!</v>
      </c>
      <c r="BK99" t="str">
        <f>AND(#REF!,"AAAAAH7/tz4=")</f>
        <v>#REF!</v>
      </c>
      <c r="BL99" t="str">
        <f>AND(#REF!,"AAAAAH7/tz8=")</f>
        <v>#REF!</v>
      </c>
      <c r="BM99" t="str">
        <f>AND(#REF!,"AAAAAH7/t0A=")</f>
        <v>#REF!</v>
      </c>
      <c r="BN99" t="str">
        <f>AND(#REF!,"AAAAAH7/t0E=")</f>
        <v>#REF!</v>
      </c>
      <c r="BO99" t="str">
        <f>AND(#REF!,"AAAAAH7/t0I=")</f>
        <v>#REF!</v>
      </c>
      <c r="BP99" t="str">
        <f>AND(#REF!,"AAAAAH7/t0M=")</f>
        <v>#REF!</v>
      </c>
      <c r="BQ99" t="str">
        <f>AND(#REF!,"AAAAAH7/t0Q=")</f>
        <v>#REF!</v>
      </c>
      <c r="BR99" t="str">
        <f>AND(#REF!,"AAAAAH7/t0U=")</f>
        <v>#REF!</v>
      </c>
      <c r="BS99" t="str">
        <f>AND(#REF!,"AAAAAH7/t0Y=")</f>
        <v>#REF!</v>
      </c>
      <c r="BT99" t="str">
        <f>AND(#REF!,"AAAAAH7/t0c=")</f>
        <v>#REF!</v>
      </c>
      <c r="BU99" t="str">
        <f>AND(#REF!,"AAAAAH7/t0g=")</f>
        <v>#REF!</v>
      </c>
      <c r="BV99" t="str">
        <f>AND(#REF!,"AAAAAH7/t0k=")</f>
        <v>#REF!</v>
      </c>
      <c r="BW99" t="str">
        <f>AND(#REF!,"AAAAAH7/t0o=")</f>
        <v>#REF!</v>
      </c>
      <c r="BX99" t="str">
        <f>AND(#REF!,"AAAAAH7/t0s=")</f>
        <v>#REF!</v>
      </c>
      <c r="BY99" t="str">
        <f>AND(#REF!,"AAAAAH7/t0w=")</f>
        <v>#REF!</v>
      </c>
      <c r="BZ99" t="str">
        <f>AND(#REF!,"AAAAAH7/t00=")</f>
        <v>#REF!</v>
      </c>
      <c r="CA99" t="str">
        <f>AND(#REF!,"AAAAAH7/t04=")</f>
        <v>#REF!</v>
      </c>
      <c r="CB99" t="str">
        <f>AND(#REF!,"AAAAAH7/t08=")</f>
        <v>#REF!</v>
      </c>
      <c r="CC99" t="str">
        <f>AND(#REF!,"AAAAAH7/t1A=")</f>
        <v>#REF!</v>
      </c>
      <c r="CD99" t="str">
        <f>AND(#REF!,"AAAAAH7/t1E=")</f>
        <v>#REF!</v>
      </c>
      <c r="CE99" t="str">
        <f>AND(#REF!,"AAAAAH7/t1I=")</f>
        <v>#REF!</v>
      </c>
      <c r="CF99" t="str">
        <f>AND(#REF!,"AAAAAH7/t1M=")</f>
        <v>#REF!</v>
      </c>
      <c r="CG99" t="str">
        <f>AND(#REF!,"AAAAAH7/t1Q=")</f>
        <v>#REF!</v>
      </c>
      <c r="CH99" t="str">
        <f>AND(#REF!,"AAAAAH7/t1U=")</f>
        <v>#REF!</v>
      </c>
      <c r="CI99" t="str">
        <f>AND(#REF!,"AAAAAH7/t1Y=")</f>
        <v>#REF!</v>
      </c>
      <c r="CJ99" t="str">
        <f>IF(#REF!,"AAAAAH7/t1c=",0)</f>
        <v>#REF!</v>
      </c>
      <c r="CK99" t="str">
        <f>AND(#REF!,"AAAAAH7/t1g=")</f>
        <v>#REF!</v>
      </c>
      <c r="CL99" t="str">
        <f>AND(#REF!,"AAAAAH7/t1k=")</f>
        <v>#REF!</v>
      </c>
      <c r="CM99" t="str">
        <f>AND(#REF!,"AAAAAH7/t1o=")</f>
        <v>#REF!</v>
      </c>
      <c r="CN99" t="str">
        <f>AND(#REF!,"AAAAAH7/t1s=")</f>
        <v>#REF!</v>
      </c>
      <c r="CO99" t="str">
        <f>AND(#REF!,"AAAAAH7/t1w=")</f>
        <v>#REF!</v>
      </c>
      <c r="CP99" t="str">
        <f>AND(#REF!,"AAAAAH7/t10=")</f>
        <v>#REF!</v>
      </c>
      <c r="CQ99" t="str">
        <f>AND(#REF!,"AAAAAH7/t14=")</f>
        <v>#REF!</v>
      </c>
      <c r="CR99" t="str">
        <f>AND(#REF!,"AAAAAH7/t18=")</f>
        <v>#REF!</v>
      </c>
      <c r="CS99" t="str">
        <f>AND(#REF!,"AAAAAH7/t2A=")</f>
        <v>#REF!</v>
      </c>
      <c r="CT99" t="str">
        <f>AND(#REF!,"AAAAAH7/t2E=")</f>
        <v>#REF!</v>
      </c>
      <c r="CU99" t="str">
        <f>AND(#REF!,"AAAAAH7/t2I=")</f>
        <v>#REF!</v>
      </c>
      <c r="CV99" t="str">
        <f>AND(#REF!,"AAAAAH7/t2M=")</f>
        <v>#REF!</v>
      </c>
      <c r="CW99" t="str">
        <f>AND(#REF!,"AAAAAH7/t2Q=")</f>
        <v>#REF!</v>
      </c>
      <c r="CX99" t="str">
        <f>AND(#REF!,"AAAAAH7/t2U=")</f>
        <v>#REF!</v>
      </c>
      <c r="CY99" t="str">
        <f>AND(#REF!,"AAAAAH7/t2Y=")</f>
        <v>#REF!</v>
      </c>
      <c r="CZ99" t="str">
        <f>AND(#REF!,"AAAAAH7/t2c=")</f>
        <v>#REF!</v>
      </c>
      <c r="DA99" t="str">
        <f>AND(#REF!,"AAAAAH7/t2g=")</f>
        <v>#REF!</v>
      </c>
      <c r="DB99" t="str">
        <f>AND(#REF!,"AAAAAH7/t2k=")</f>
        <v>#REF!</v>
      </c>
      <c r="DC99" t="str">
        <f>AND(#REF!,"AAAAAH7/t2o=")</f>
        <v>#REF!</v>
      </c>
      <c r="DD99" t="str">
        <f>AND(#REF!,"AAAAAH7/t2s=")</f>
        <v>#REF!</v>
      </c>
      <c r="DE99" t="str">
        <f>AND(#REF!,"AAAAAH7/t2w=")</f>
        <v>#REF!</v>
      </c>
      <c r="DF99" t="str">
        <f>AND(#REF!,"AAAAAH7/t20=")</f>
        <v>#REF!</v>
      </c>
      <c r="DG99" t="str">
        <f>AND(#REF!,"AAAAAH7/t24=")</f>
        <v>#REF!</v>
      </c>
      <c r="DH99" t="str">
        <f>AND(#REF!,"AAAAAH7/t28=")</f>
        <v>#REF!</v>
      </c>
      <c r="DI99" t="str">
        <f>AND(#REF!,"AAAAAH7/t3A=")</f>
        <v>#REF!</v>
      </c>
      <c r="DJ99" t="str">
        <f>AND(#REF!,"AAAAAH7/t3E=")</f>
        <v>#REF!</v>
      </c>
      <c r="DK99" t="str">
        <f>AND(#REF!,"AAAAAH7/t3I=")</f>
        <v>#REF!</v>
      </c>
      <c r="DL99" t="str">
        <f>AND(#REF!,"AAAAAH7/t3M=")</f>
        <v>#REF!</v>
      </c>
      <c r="DM99" t="str">
        <f>AND(#REF!,"AAAAAH7/t3Q=")</f>
        <v>#REF!</v>
      </c>
      <c r="DN99" t="str">
        <f>AND(#REF!,"AAAAAH7/t3U=")</f>
        <v>#REF!</v>
      </c>
      <c r="DO99" t="str">
        <f>AND(#REF!,"AAAAAH7/t3Y=")</f>
        <v>#REF!</v>
      </c>
      <c r="DP99" t="str">
        <f>AND(#REF!,"AAAAAH7/t3c=")</f>
        <v>#REF!</v>
      </c>
      <c r="DQ99" t="str">
        <f>AND(#REF!,"AAAAAH7/t3g=")</f>
        <v>#REF!</v>
      </c>
      <c r="DR99" t="str">
        <f>AND(#REF!,"AAAAAH7/t3k=")</f>
        <v>#REF!</v>
      </c>
      <c r="DS99" t="str">
        <f>AND(#REF!,"AAAAAH7/t3o=")</f>
        <v>#REF!</v>
      </c>
      <c r="DT99" t="str">
        <f>AND(#REF!,"AAAAAH7/t3s=")</f>
        <v>#REF!</v>
      </c>
      <c r="DU99" t="str">
        <f>AND(#REF!,"AAAAAH7/t3w=")</f>
        <v>#REF!</v>
      </c>
      <c r="DV99" t="str">
        <f>AND(#REF!,"AAAAAH7/t30=")</f>
        <v>#REF!</v>
      </c>
      <c r="DW99" t="str">
        <f>AND(#REF!,"AAAAAH7/t34=")</f>
        <v>#REF!</v>
      </c>
      <c r="DX99" t="str">
        <f>AND(#REF!,"AAAAAH7/t38=")</f>
        <v>#REF!</v>
      </c>
      <c r="DY99" t="str">
        <f>AND(#REF!,"AAAAAH7/t4A=")</f>
        <v>#REF!</v>
      </c>
      <c r="DZ99" t="str">
        <f>AND(#REF!,"AAAAAH7/t4E=")</f>
        <v>#REF!</v>
      </c>
      <c r="EA99" t="str">
        <f>AND(#REF!,"AAAAAH7/t4I=")</f>
        <v>#REF!</v>
      </c>
      <c r="EB99" t="str">
        <f>AND(#REF!,"AAAAAH7/t4M=")</f>
        <v>#REF!</v>
      </c>
      <c r="EC99" t="str">
        <f>AND(#REF!,"AAAAAH7/t4Q=")</f>
        <v>#REF!</v>
      </c>
      <c r="ED99" t="str">
        <f>AND(#REF!,"AAAAAH7/t4U=")</f>
        <v>#REF!</v>
      </c>
      <c r="EE99" t="str">
        <f>AND(#REF!,"AAAAAH7/t4Y=")</f>
        <v>#REF!</v>
      </c>
      <c r="EF99" t="str">
        <f>AND(#REF!,"AAAAAH7/t4c=")</f>
        <v>#REF!</v>
      </c>
      <c r="EG99" t="str">
        <f>AND(#REF!,"AAAAAH7/t4g=")</f>
        <v>#REF!</v>
      </c>
      <c r="EH99" t="str">
        <f>AND(#REF!,"AAAAAH7/t4k=")</f>
        <v>#REF!</v>
      </c>
      <c r="EI99" t="str">
        <f>AND(#REF!,"AAAAAH7/t4o=")</f>
        <v>#REF!</v>
      </c>
      <c r="EJ99" t="str">
        <f>AND(#REF!,"AAAAAH7/t4s=")</f>
        <v>#REF!</v>
      </c>
      <c r="EK99" t="str">
        <f>AND(#REF!,"AAAAAH7/t4w=")</f>
        <v>#REF!</v>
      </c>
      <c r="EL99" t="str">
        <f>AND(#REF!,"AAAAAH7/t40=")</f>
        <v>#REF!</v>
      </c>
      <c r="EM99" t="str">
        <f>AND(#REF!,"AAAAAH7/t44=")</f>
        <v>#REF!</v>
      </c>
      <c r="EN99" t="str">
        <f>AND(#REF!,"AAAAAH7/t48=")</f>
        <v>#REF!</v>
      </c>
      <c r="EO99" t="str">
        <f>AND(#REF!,"AAAAAH7/t5A=")</f>
        <v>#REF!</v>
      </c>
      <c r="EP99" t="str">
        <f>AND(#REF!,"AAAAAH7/t5E=")</f>
        <v>#REF!</v>
      </c>
      <c r="EQ99" t="str">
        <f>AND(#REF!,"AAAAAH7/t5I=")</f>
        <v>#REF!</v>
      </c>
      <c r="ER99" t="str">
        <f>AND(#REF!,"AAAAAH7/t5M=")</f>
        <v>#REF!</v>
      </c>
      <c r="ES99" t="str">
        <f>AND(#REF!,"AAAAAH7/t5Q=")</f>
        <v>#REF!</v>
      </c>
      <c r="ET99" t="str">
        <f>AND(#REF!,"AAAAAH7/t5U=")</f>
        <v>#REF!</v>
      </c>
      <c r="EU99" t="str">
        <f>AND(#REF!,"AAAAAH7/t5Y=")</f>
        <v>#REF!</v>
      </c>
      <c r="EV99" t="str">
        <f>AND(#REF!,"AAAAAH7/t5c=")</f>
        <v>#REF!</v>
      </c>
      <c r="EW99" t="str">
        <f>AND(#REF!,"AAAAAH7/t5g=")</f>
        <v>#REF!</v>
      </c>
      <c r="EX99" t="str">
        <f>AND(#REF!,"AAAAAH7/t5k=")</f>
        <v>#REF!</v>
      </c>
      <c r="EY99" t="str">
        <f>AND(#REF!,"AAAAAH7/t5o=")</f>
        <v>#REF!</v>
      </c>
      <c r="EZ99" t="str">
        <f>AND(#REF!,"AAAAAH7/t5s=")</f>
        <v>#REF!</v>
      </c>
      <c r="FA99" t="str">
        <f>AND(#REF!,"AAAAAH7/t5w=")</f>
        <v>#REF!</v>
      </c>
      <c r="FB99" t="str">
        <f>AND(#REF!,"AAAAAH7/t50=")</f>
        <v>#REF!</v>
      </c>
      <c r="FC99" t="str">
        <f>AND(#REF!,"AAAAAH7/t54=")</f>
        <v>#REF!</v>
      </c>
      <c r="FD99" t="str">
        <f>AND(#REF!,"AAAAAH7/t58=")</f>
        <v>#REF!</v>
      </c>
      <c r="FE99" t="str">
        <f>AND(#REF!,"AAAAAH7/t6A=")</f>
        <v>#REF!</v>
      </c>
      <c r="FF99" t="str">
        <f>AND(#REF!,"AAAAAH7/t6E=")</f>
        <v>#REF!</v>
      </c>
      <c r="FG99" t="str">
        <f>AND(#REF!,"AAAAAH7/t6I=")</f>
        <v>#REF!</v>
      </c>
      <c r="FH99" t="str">
        <f>IF(#REF!,"AAAAAH7/t6M=",0)</f>
        <v>#REF!</v>
      </c>
      <c r="FI99" t="str">
        <f>AND(#REF!,"AAAAAH7/t6Q=")</f>
        <v>#REF!</v>
      </c>
      <c r="FJ99" t="str">
        <f>AND(#REF!,"AAAAAH7/t6U=")</f>
        <v>#REF!</v>
      </c>
      <c r="FK99" t="str">
        <f>AND(#REF!,"AAAAAH7/t6Y=")</f>
        <v>#REF!</v>
      </c>
      <c r="FL99" t="str">
        <f>AND(#REF!,"AAAAAH7/t6c=")</f>
        <v>#REF!</v>
      </c>
      <c r="FM99" t="str">
        <f>AND(#REF!,"AAAAAH7/t6g=")</f>
        <v>#REF!</v>
      </c>
      <c r="FN99" t="str">
        <f>AND(#REF!,"AAAAAH7/t6k=")</f>
        <v>#REF!</v>
      </c>
      <c r="FO99" t="str">
        <f>AND(#REF!,"AAAAAH7/t6o=")</f>
        <v>#REF!</v>
      </c>
      <c r="FP99" t="str">
        <f>AND(#REF!,"AAAAAH7/t6s=")</f>
        <v>#REF!</v>
      </c>
      <c r="FQ99" t="str">
        <f>AND(#REF!,"AAAAAH7/t6w=")</f>
        <v>#REF!</v>
      </c>
      <c r="FR99" t="str">
        <f>AND(#REF!,"AAAAAH7/t60=")</f>
        <v>#REF!</v>
      </c>
      <c r="FS99" t="str">
        <f>AND(#REF!,"AAAAAH7/t64=")</f>
        <v>#REF!</v>
      </c>
      <c r="FT99" t="str">
        <f>AND(#REF!,"AAAAAH7/t68=")</f>
        <v>#REF!</v>
      </c>
      <c r="FU99" t="str">
        <f>AND(#REF!,"AAAAAH7/t7A=")</f>
        <v>#REF!</v>
      </c>
      <c r="FV99" t="str">
        <f>AND(#REF!,"AAAAAH7/t7E=")</f>
        <v>#REF!</v>
      </c>
      <c r="FW99" t="str">
        <f>AND(#REF!,"AAAAAH7/t7I=")</f>
        <v>#REF!</v>
      </c>
      <c r="FX99" t="str">
        <f>AND(#REF!,"AAAAAH7/t7M=")</f>
        <v>#REF!</v>
      </c>
      <c r="FY99" t="str">
        <f>AND(#REF!,"AAAAAH7/t7Q=")</f>
        <v>#REF!</v>
      </c>
      <c r="FZ99" t="str">
        <f>AND(#REF!,"AAAAAH7/t7U=")</f>
        <v>#REF!</v>
      </c>
      <c r="GA99" t="str">
        <f>AND(#REF!,"AAAAAH7/t7Y=")</f>
        <v>#REF!</v>
      </c>
      <c r="GB99" t="str">
        <f>AND(#REF!,"AAAAAH7/t7c=")</f>
        <v>#REF!</v>
      </c>
      <c r="GC99" t="str">
        <f>AND(#REF!,"AAAAAH7/t7g=")</f>
        <v>#REF!</v>
      </c>
      <c r="GD99" t="str">
        <f>AND(#REF!,"AAAAAH7/t7k=")</f>
        <v>#REF!</v>
      </c>
      <c r="GE99" t="str">
        <f>AND(#REF!,"AAAAAH7/t7o=")</f>
        <v>#REF!</v>
      </c>
      <c r="GF99" t="str">
        <f>AND(#REF!,"AAAAAH7/t7s=")</f>
        <v>#REF!</v>
      </c>
      <c r="GG99" t="str">
        <f>AND(#REF!,"AAAAAH7/t7w=")</f>
        <v>#REF!</v>
      </c>
      <c r="GH99" t="str">
        <f>AND(#REF!,"AAAAAH7/t70=")</f>
        <v>#REF!</v>
      </c>
      <c r="GI99" t="str">
        <f>AND(#REF!,"AAAAAH7/t74=")</f>
        <v>#REF!</v>
      </c>
      <c r="GJ99" t="str">
        <f>AND(#REF!,"AAAAAH7/t78=")</f>
        <v>#REF!</v>
      </c>
      <c r="GK99" t="str">
        <f>AND(#REF!,"AAAAAH7/t8A=")</f>
        <v>#REF!</v>
      </c>
      <c r="GL99" t="str">
        <f>AND(#REF!,"AAAAAH7/t8E=")</f>
        <v>#REF!</v>
      </c>
      <c r="GM99" t="str">
        <f>AND(#REF!,"AAAAAH7/t8I=")</f>
        <v>#REF!</v>
      </c>
      <c r="GN99" t="str">
        <f>AND(#REF!,"AAAAAH7/t8M=")</f>
        <v>#REF!</v>
      </c>
      <c r="GO99" t="str">
        <f>AND(#REF!,"AAAAAH7/t8Q=")</f>
        <v>#REF!</v>
      </c>
      <c r="GP99" t="str">
        <f>AND(#REF!,"AAAAAH7/t8U=")</f>
        <v>#REF!</v>
      </c>
      <c r="GQ99" t="str">
        <f>AND(#REF!,"AAAAAH7/t8Y=")</f>
        <v>#REF!</v>
      </c>
      <c r="GR99" t="str">
        <f>AND(#REF!,"AAAAAH7/t8c=")</f>
        <v>#REF!</v>
      </c>
      <c r="GS99" t="str">
        <f>AND(#REF!,"AAAAAH7/t8g=")</f>
        <v>#REF!</v>
      </c>
      <c r="GT99" t="str">
        <f>AND(#REF!,"AAAAAH7/t8k=")</f>
        <v>#REF!</v>
      </c>
      <c r="GU99" t="str">
        <f>AND(#REF!,"AAAAAH7/t8o=")</f>
        <v>#REF!</v>
      </c>
      <c r="GV99" t="str">
        <f>AND(#REF!,"AAAAAH7/t8s=")</f>
        <v>#REF!</v>
      </c>
      <c r="GW99" t="str">
        <f>AND(#REF!,"AAAAAH7/t8w=")</f>
        <v>#REF!</v>
      </c>
      <c r="GX99" t="str">
        <f>AND(#REF!,"AAAAAH7/t80=")</f>
        <v>#REF!</v>
      </c>
      <c r="GY99" t="str">
        <f>AND(#REF!,"AAAAAH7/t84=")</f>
        <v>#REF!</v>
      </c>
      <c r="GZ99" t="str">
        <f>AND(#REF!,"AAAAAH7/t88=")</f>
        <v>#REF!</v>
      </c>
      <c r="HA99" t="str">
        <f>AND(#REF!,"AAAAAH7/t9A=")</f>
        <v>#REF!</v>
      </c>
      <c r="HB99" t="str">
        <f>AND(#REF!,"AAAAAH7/t9E=")</f>
        <v>#REF!</v>
      </c>
      <c r="HC99" t="str">
        <f>AND(#REF!,"AAAAAH7/t9I=")</f>
        <v>#REF!</v>
      </c>
      <c r="HD99" t="str">
        <f>AND(#REF!,"AAAAAH7/t9M=")</f>
        <v>#REF!</v>
      </c>
      <c r="HE99" t="str">
        <f>AND(#REF!,"AAAAAH7/t9Q=")</f>
        <v>#REF!</v>
      </c>
      <c r="HF99" t="str">
        <f>AND(#REF!,"AAAAAH7/t9U=")</f>
        <v>#REF!</v>
      </c>
      <c r="HG99" t="str">
        <f>AND(#REF!,"AAAAAH7/t9Y=")</f>
        <v>#REF!</v>
      </c>
      <c r="HH99" t="str">
        <f>AND(#REF!,"AAAAAH7/t9c=")</f>
        <v>#REF!</v>
      </c>
      <c r="HI99" t="str">
        <f>AND(#REF!,"AAAAAH7/t9g=")</f>
        <v>#REF!</v>
      </c>
      <c r="HJ99" t="str">
        <f>AND(#REF!,"AAAAAH7/t9k=")</f>
        <v>#REF!</v>
      </c>
      <c r="HK99" t="str">
        <f>AND(#REF!,"AAAAAH7/t9o=")</f>
        <v>#REF!</v>
      </c>
      <c r="HL99" t="str">
        <f>AND(#REF!,"AAAAAH7/t9s=")</f>
        <v>#REF!</v>
      </c>
      <c r="HM99" t="str">
        <f>AND(#REF!,"AAAAAH7/t9w=")</f>
        <v>#REF!</v>
      </c>
      <c r="HN99" t="str">
        <f>AND(#REF!,"AAAAAH7/t90=")</f>
        <v>#REF!</v>
      </c>
      <c r="HO99" t="str">
        <f>AND(#REF!,"AAAAAH7/t94=")</f>
        <v>#REF!</v>
      </c>
      <c r="HP99" t="str">
        <f>AND(#REF!,"AAAAAH7/t98=")</f>
        <v>#REF!</v>
      </c>
      <c r="HQ99" t="str">
        <f>AND(#REF!,"AAAAAH7/t+A=")</f>
        <v>#REF!</v>
      </c>
      <c r="HR99" t="str">
        <f>AND(#REF!,"AAAAAH7/t+E=")</f>
        <v>#REF!</v>
      </c>
      <c r="HS99" t="str">
        <f>AND(#REF!,"AAAAAH7/t+I=")</f>
        <v>#REF!</v>
      </c>
      <c r="HT99" t="str">
        <f>AND(#REF!,"AAAAAH7/t+M=")</f>
        <v>#REF!</v>
      </c>
      <c r="HU99" t="str">
        <f>AND(#REF!,"AAAAAH7/t+Q=")</f>
        <v>#REF!</v>
      </c>
      <c r="HV99" t="str">
        <f>AND(#REF!,"AAAAAH7/t+U=")</f>
        <v>#REF!</v>
      </c>
      <c r="HW99" t="str">
        <f>AND(#REF!,"AAAAAH7/t+Y=")</f>
        <v>#REF!</v>
      </c>
      <c r="HX99" t="str">
        <f>AND(#REF!,"AAAAAH7/t+c=")</f>
        <v>#REF!</v>
      </c>
      <c r="HY99" t="str">
        <f>AND(#REF!,"AAAAAH7/t+g=")</f>
        <v>#REF!</v>
      </c>
      <c r="HZ99" t="str">
        <f>AND(#REF!,"AAAAAH7/t+k=")</f>
        <v>#REF!</v>
      </c>
      <c r="IA99" t="str">
        <f>AND(#REF!,"AAAAAH7/t+o=")</f>
        <v>#REF!</v>
      </c>
      <c r="IB99" t="str">
        <f>AND(#REF!,"AAAAAH7/t+s=")</f>
        <v>#REF!</v>
      </c>
      <c r="IC99" t="str">
        <f>AND(#REF!,"AAAAAH7/t+w=")</f>
        <v>#REF!</v>
      </c>
      <c r="ID99" t="str">
        <f>AND(#REF!,"AAAAAH7/t+0=")</f>
        <v>#REF!</v>
      </c>
      <c r="IE99" t="str">
        <f>AND(#REF!,"AAAAAH7/t+4=")</f>
        <v>#REF!</v>
      </c>
      <c r="IF99" t="str">
        <f>IF(#REF!,"AAAAAH7/t+8=",0)</f>
        <v>#REF!</v>
      </c>
      <c r="IG99" t="str">
        <f>AND(#REF!,"AAAAAH7/t/A=")</f>
        <v>#REF!</v>
      </c>
      <c r="IH99" t="str">
        <f>AND(#REF!,"AAAAAH7/t/E=")</f>
        <v>#REF!</v>
      </c>
      <c r="II99" t="str">
        <f>AND(#REF!,"AAAAAH7/t/I=")</f>
        <v>#REF!</v>
      </c>
      <c r="IJ99" t="str">
        <f>AND(#REF!,"AAAAAH7/t/M=")</f>
        <v>#REF!</v>
      </c>
      <c r="IK99" t="str">
        <f>AND(#REF!,"AAAAAH7/t/Q=")</f>
        <v>#REF!</v>
      </c>
      <c r="IL99" t="str">
        <f>AND(#REF!,"AAAAAH7/t/U=")</f>
        <v>#REF!</v>
      </c>
      <c r="IM99" t="str">
        <f>AND(#REF!,"AAAAAH7/t/Y=")</f>
        <v>#REF!</v>
      </c>
      <c r="IN99" t="str">
        <f>AND(#REF!,"AAAAAH7/t/c=")</f>
        <v>#REF!</v>
      </c>
      <c r="IO99" t="str">
        <f>AND(#REF!,"AAAAAH7/t/g=")</f>
        <v>#REF!</v>
      </c>
      <c r="IP99" t="str">
        <f>AND(#REF!,"AAAAAH7/t/k=")</f>
        <v>#REF!</v>
      </c>
      <c r="IQ99" t="str">
        <f>AND(#REF!,"AAAAAH7/t/o=")</f>
        <v>#REF!</v>
      </c>
      <c r="IR99" t="str">
        <f>AND(#REF!,"AAAAAH7/t/s=")</f>
        <v>#REF!</v>
      </c>
      <c r="IS99" t="str">
        <f>AND(#REF!,"AAAAAH7/t/w=")</f>
        <v>#REF!</v>
      </c>
      <c r="IT99" t="str">
        <f>AND(#REF!,"AAAAAH7/t/0=")</f>
        <v>#REF!</v>
      </c>
      <c r="IU99" t="str">
        <f>AND(#REF!,"AAAAAH7/t/4=")</f>
        <v>#REF!</v>
      </c>
      <c r="IV99" t="str">
        <f>AND(#REF!,"AAAAAH7/t/8=")</f>
        <v>#REF!</v>
      </c>
    </row>
    <row r="100" ht="15.75" customHeight="1">
      <c r="A100" t="str">
        <f>AND(#REF!,"AAAAAH/++wA=")</f>
        <v>#REF!</v>
      </c>
      <c r="B100" t="str">
        <f>AND(#REF!,"AAAAAH/++wE=")</f>
        <v>#REF!</v>
      </c>
      <c r="C100" t="str">
        <f>AND(#REF!,"AAAAAH/++wI=")</f>
        <v>#REF!</v>
      </c>
      <c r="D100" t="str">
        <f>AND(#REF!,"AAAAAH/++wM=")</f>
        <v>#REF!</v>
      </c>
      <c r="E100" t="str">
        <f>AND(#REF!,"AAAAAH/++wQ=")</f>
        <v>#REF!</v>
      </c>
      <c r="F100" t="str">
        <f>AND(#REF!,"AAAAAH/++wU=")</f>
        <v>#REF!</v>
      </c>
      <c r="G100" t="str">
        <f>AND(#REF!,"AAAAAH/++wY=")</f>
        <v>#REF!</v>
      </c>
      <c r="H100" t="str">
        <f>AND(#REF!,"AAAAAH/++wc=")</f>
        <v>#REF!</v>
      </c>
      <c r="I100" t="str">
        <f>AND(#REF!,"AAAAAH/++wg=")</f>
        <v>#REF!</v>
      </c>
      <c r="J100" t="str">
        <f>AND(#REF!,"AAAAAH/++wk=")</f>
        <v>#REF!</v>
      </c>
      <c r="K100" t="str">
        <f>AND(#REF!,"AAAAAH/++wo=")</f>
        <v>#REF!</v>
      </c>
      <c r="L100" t="str">
        <f>AND(#REF!,"AAAAAH/++ws=")</f>
        <v>#REF!</v>
      </c>
      <c r="M100" t="str">
        <f>AND(#REF!,"AAAAAH/++ww=")</f>
        <v>#REF!</v>
      </c>
      <c r="N100" t="str">
        <f>AND(#REF!,"AAAAAH/++w0=")</f>
        <v>#REF!</v>
      </c>
      <c r="O100" t="str">
        <f>AND(#REF!,"AAAAAH/++w4=")</f>
        <v>#REF!</v>
      </c>
      <c r="P100" t="str">
        <f>AND(#REF!,"AAAAAH/++w8=")</f>
        <v>#REF!</v>
      </c>
      <c r="Q100" t="str">
        <f>AND(#REF!,"AAAAAH/++xA=")</f>
        <v>#REF!</v>
      </c>
      <c r="R100" t="str">
        <f>AND(#REF!,"AAAAAH/++xE=")</f>
        <v>#REF!</v>
      </c>
      <c r="S100" t="str">
        <f>AND(#REF!,"AAAAAH/++xI=")</f>
        <v>#REF!</v>
      </c>
      <c r="T100" t="str">
        <f>AND(#REF!,"AAAAAH/++xM=")</f>
        <v>#REF!</v>
      </c>
      <c r="U100" t="str">
        <f>AND(#REF!,"AAAAAH/++xQ=")</f>
        <v>#REF!</v>
      </c>
      <c r="V100" t="str">
        <f>AND(#REF!,"AAAAAH/++xU=")</f>
        <v>#REF!</v>
      </c>
      <c r="W100" t="str">
        <f>AND(#REF!,"AAAAAH/++xY=")</f>
        <v>#REF!</v>
      </c>
      <c r="X100" t="str">
        <f>AND(#REF!,"AAAAAH/++xc=")</f>
        <v>#REF!</v>
      </c>
      <c r="Y100" t="str">
        <f>AND(#REF!,"AAAAAH/++xg=")</f>
        <v>#REF!</v>
      </c>
      <c r="Z100" t="str">
        <f>AND(#REF!,"AAAAAH/++xk=")</f>
        <v>#REF!</v>
      </c>
      <c r="AA100" t="str">
        <f>AND(#REF!,"AAAAAH/++xo=")</f>
        <v>#REF!</v>
      </c>
      <c r="AB100" t="str">
        <f>AND(#REF!,"AAAAAH/++xs=")</f>
        <v>#REF!</v>
      </c>
      <c r="AC100" t="str">
        <f>AND(#REF!,"AAAAAH/++xw=")</f>
        <v>#REF!</v>
      </c>
      <c r="AD100" t="str">
        <f>AND(#REF!,"AAAAAH/++x0=")</f>
        <v>#REF!</v>
      </c>
      <c r="AE100" t="str">
        <f>AND(#REF!,"AAAAAH/++x4=")</f>
        <v>#REF!</v>
      </c>
      <c r="AF100" t="str">
        <f>AND(#REF!,"AAAAAH/++x8=")</f>
        <v>#REF!</v>
      </c>
      <c r="AG100" t="str">
        <f>AND(#REF!,"AAAAAH/++yA=")</f>
        <v>#REF!</v>
      </c>
      <c r="AH100" t="str">
        <f>AND(#REF!,"AAAAAH/++yE=")</f>
        <v>#REF!</v>
      </c>
      <c r="AI100" t="str">
        <f>AND(#REF!,"AAAAAH/++yI=")</f>
        <v>#REF!</v>
      </c>
      <c r="AJ100" t="str">
        <f>AND(#REF!,"AAAAAH/++yM=")</f>
        <v>#REF!</v>
      </c>
      <c r="AK100" t="str">
        <f>AND(#REF!,"AAAAAH/++yQ=")</f>
        <v>#REF!</v>
      </c>
      <c r="AL100" t="str">
        <f>AND(#REF!,"AAAAAH/++yU=")</f>
        <v>#REF!</v>
      </c>
      <c r="AM100" t="str">
        <f>AND(#REF!,"AAAAAH/++yY=")</f>
        <v>#REF!</v>
      </c>
      <c r="AN100" t="str">
        <f>AND(#REF!,"AAAAAH/++yc=")</f>
        <v>#REF!</v>
      </c>
      <c r="AO100" t="str">
        <f>AND(#REF!,"AAAAAH/++yg=")</f>
        <v>#REF!</v>
      </c>
      <c r="AP100" t="str">
        <f>AND(#REF!,"AAAAAH/++yk=")</f>
        <v>#REF!</v>
      </c>
      <c r="AQ100" t="str">
        <f>AND(#REF!,"AAAAAH/++yo=")</f>
        <v>#REF!</v>
      </c>
      <c r="AR100" t="str">
        <f>AND(#REF!,"AAAAAH/++ys=")</f>
        <v>#REF!</v>
      </c>
      <c r="AS100" t="str">
        <f>AND(#REF!,"AAAAAH/++yw=")</f>
        <v>#REF!</v>
      </c>
      <c r="AT100" t="str">
        <f>AND(#REF!,"AAAAAH/++y0=")</f>
        <v>#REF!</v>
      </c>
      <c r="AU100" t="str">
        <f>AND(#REF!,"AAAAAH/++y4=")</f>
        <v>#REF!</v>
      </c>
      <c r="AV100" t="str">
        <f>AND(#REF!,"AAAAAH/++y8=")</f>
        <v>#REF!</v>
      </c>
      <c r="AW100" t="str">
        <f>AND(#REF!,"AAAAAH/++zA=")</f>
        <v>#REF!</v>
      </c>
      <c r="AX100" t="str">
        <f>AND(#REF!,"AAAAAH/++zE=")</f>
        <v>#REF!</v>
      </c>
      <c r="AY100" t="str">
        <f>AND(#REF!,"AAAAAH/++zI=")</f>
        <v>#REF!</v>
      </c>
      <c r="AZ100" t="str">
        <f>AND(#REF!,"AAAAAH/++zM=")</f>
        <v>#REF!</v>
      </c>
      <c r="BA100" t="str">
        <f>AND(#REF!,"AAAAAH/++zQ=")</f>
        <v>#REF!</v>
      </c>
      <c r="BB100" t="str">
        <f>AND(#REF!,"AAAAAH/++zU=")</f>
        <v>#REF!</v>
      </c>
      <c r="BC100" t="str">
        <f>AND(#REF!,"AAAAAH/++zY=")</f>
        <v>#REF!</v>
      </c>
      <c r="BD100" t="str">
        <f>AND(#REF!,"AAAAAH/++zc=")</f>
        <v>#REF!</v>
      </c>
      <c r="BE100" t="str">
        <f>AND(#REF!,"AAAAAH/++zg=")</f>
        <v>#REF!</v>
      </c>
      <c r="BF100" t="str">
        <f>AND(#REF!,"AAAAAH/++zk=")</f>
        <v>#REF!</v>
      </c>
      <c r="BG100" t="str">
        <f>AND(#REF!,"AAAAAH/++zo=")</f>
        <v>#REF!</v>
      </c>
      <c r="BH100" t="str">
        <f>IF(#REF!,"AAAAAH/++zs=",0)</f>
        <v>#REF!</v>
      </c>
      <c r="BI100" t="str">
        <f>AND(#REF!,"AAAAAH/++zw=")</f>
        <v>#REF!</v>
      </c>
      <c r="BJ100" t="str">
        <f>AND(#REF!,"AAAAAH/++z0=")</f>
        <v>#REF!</v>
      </c>
      <c r="BK100" t="str">
        <f>AND(#REF!,"AAAAAH/++z4=")</f>
        <v>#REF!</v>
      </c>
      <c r="BL100" t="str">
        <f>AND(#REF!,"AAAAAH/++z8=")</f>
        <v>#REF!</v>
      </c>
      <c r="BM100" t="str">
        <f>AND(#REF!,"AAAAAH/++0A=")</f>
        <v>#REF!</v>
      </c>
      <c r="BN100" t="str">
        <f>AND(#REF!,"AAAAAH/++0E=")</f>
        <v>#REF!</v>
      </c>
      <c r="BO100" t="str">
        <f>AND(#REF!,"AAAAAH/++0I=")</f>
        <v>#REF!</v>
      </c>
      <c r="BP100" t="str">
        <f>AND(#REF!,"AAAAAH/++0M=")</f>
        <v>#REF!</v>
      </c>
      <c r="BQ100" t="str">
        <f>AND(#REF!,"AAAAAH/++0Q=")</f>
        <v>#REF!</v>
      </c>
      <c r="BR100" t="str">
        <f>AND(#REF!,"AAAAAH/++0U=")</f>
        <v>#REF!</v>
      </c>
      <c r="BS100" t="str">
        <f>AND(#REF!,"AAAAAH/++0Y=")</f>
        <v>#REF!</v>
      </c>
      <c r="BT100" t="str">
        <f>AND(#REF!,"AAAAAH/++0c=")</f>
        <v>#REF!</v>
      </c>
      <c r="BU100" t="str">
        <f>AND(#REF!,"AAAAAH/++0g=")</f>
        <v>#REF!</v>
      </c>
      <c r="BV100" t="str">
        <f>AND(#REF!,"AAAAAH/++0k=")</f>
        <v>#REF!</v>
      </c>
      <c r="BW100" t="str">
        <f>AND(#REF!,"AAAAAH/++0o=")</f>
        <v>#REF!</v>
      </c>
      <c r="BX100" t="str">
        <f>AND(#REF!,"AAAAAH/++0s=")</f>
        <v>#REF!</v>
      </c>
      <c r="BY100" t="str">
        <f>AND(#REF!,"AAAAAH/++0w=")</f>
        <v>#REF!</v>
      </c>
      <c r="BZ100" t="str">
        <f>AND(#REF!,"AAAAAH/++00=")</f>
        <v>#REF!</v>
      </c>
      <c r="CA100" t="str">
        <f>AND(#REF!,"AAAAAH/++04=")</f>
        <v>#REF!</v>
      </c>
      <c r="CB100" t="str">
        <f>AND(#REF!,"AAAAAH/++08=")</f>
        <v>#REF!</v>
      </c>
      <c r="CC100" t="str">
        <f>AND(#REF!,"AAAAAH/++1A=")</f>
        <v>#REF!</v>
      </c>
      <c r="CD100" t="str">
        <f>AND(#REF!,"AAAAAH/++1E=")</f>
        <v>#REF!</v>
      </c>
      <c r="CE100" t="str">
        <f>AND(#REF!,"AAAAAH/++1I=")</f>
        <v>#REF!</v>
      </c>
      <c r="CF100" t="str">
        <f>AND(#REF!,"AAAAAH/++1M=")</f>
        <v>#REF!</v>
      </c>
      <c r="CG100" t="str">
        <f>AND(#REF!,"AAAAAH/++1Q=")</f>
        <v>#REF!</v>
      </c>
      <c r="CH100" t="str">
        <f>AND(#REF!,"AAAAAH/++1U=")</f>
        <v>#REF!</v>
      </c>
      <c r="CI100" t="str">
        <f>AND(#REF!,"AAAAAH/++1Y=")</f>
        <v>#REF!</v>
      </c>
      <c r="CJ100" t="str">
        <f>AND(#REF!,"AAAAAH/++1c=")</f>
        <v>#REF!</v>
      </c>
      <c r="CK100" t="str">
        <f>AND(#REF!,"AAAAAH/++1g=")</f>
        <v>#REF!</v>
      </c>
      <c r="CL100" t="str">
        <f>AND(#REF!,"AAAAAH/++1k=")</f>
        <v>#REF!</v>
      </c>
      <c r="CM100" t="str">
        <f>AND(#REF!,"AAAAAH/++1o=")</f>
        <v>#REF!</v>
      </c>
      <c r="CN100" t="str">
        <f>AND(#REF!,"AAAAAH/++1s=")</f>
        <v>#REF!</v>
      </c>
      <c r="CO100" t="str">
        <f>AND(#REF!,"AAAAAH/++1w=")</f>
        <v>#REF!</v>
      </c>
      <c r="CP100" t="str">
        <f>AND(#REF!,"AAAAAH/++10=")</f>
        <v>#REF!</v>
      </c>
      <c r="CQ100" t="str">
        <f>AND(#REF!,"AAAAAH/++14=")</f>
        <v>#REF!</v>
      </c>
      <c r="CR100" t="str">
        <f>AND(#REF!,"AAAAAH/++18=")</f>
        <v>#REF!</v>
      </c>
      <c r="CS100" t="str">
        <f>AND(#REF!,"AAAAAH/++2A=")</f>
        <v>#REF!</v>
      </c>
      <c r="CT100" t="str">
        <f>AND(#REF!,"AAAAAH/++2E=")</f>
        <v>#REF!</v>
      </c>
      <c r="CU100" t="str">
        <f>AND(#REF!,"AAAAAH/++2I=")</f>
        <v>#REF!</v>
      </c>
      <c r="CV100" t="str">
        <f>AND(#REF!,"AAAAAH/++2M=")</f>
        <v>#REF!</v>
      </c>
      <c r="CW100" t="str">
        <f>AND(#REF!,"AAAAAH/++2Q=")</f>
        <v>#REF!</v>
      </c>
      <c r="CX100" t="str">
        <f>AND(#REF!,"AAAAAH/++2U=")</f>
        <v>#REF!</v>
      </c>
      <c r="CY100" t="str">
        <f>AND(#REF!,"AAAAAH/++2Y=")</f>
        <v>#REF!</v>
      </c>
      <c r="CZ100" t="str">
        <f>AND(#REF!,"AAAAAH/++2c=")</f>
        <v>#REF!</v>
      </c>
      <c r="DA100" t="str">
        <f>AND(#REF!,"AAAAAH/++2g=")</f>
        <v>#REF!</v>
      </c>
      <c r="DB100" t="str">
        <f>AND(#REF!,"AAAAAH/++2k=")</f>
        <v>#REF!</v>
      </c>
      <c r="DC100" t="str">
        <f>AND(#REF!,"AAAAAH/++2o=")</f>
        <v>#REF!</v>
      </c>
      <c r="DD100" t="str">
        <f>AND(#REF!,"AAAAAH/++2s=")</f>
        <v>#REF!</v>
      </c>
      <c r="DE100" t="str">
        <f>AND(#REF!,"AAAAAH/++2w=")</f>
        <v>#REF!</v>
      </c>
      <c r="DF100" t="str">
        <f>AND(#REF!,"AAAAAH/++20=")</f>
        <v>#REF!</v>
      </c>
      <c r="DG100" t="str">
        <f>AND(#REF!,"AAAAAH/++24=")</f>
        <v>#REF!</v>
      </c>
      <c r="DH100" t="str">
        <f>AND(#REF!,"AAAAAH/++28=")</f>
        <v>#REF!</v>
      </c>
      <c r="DI100" t="str">
        <f>AND(#REF!,"AAAAAH/++3A=")</f>
        <v>#REF!</v>
      </c>
      <c r="DJ100" t="str">
        <f>AND(#REF!,"AAAAAH/++3E=")</f>
        <v>#REF!</v>
      </c>
      <c r="DK100" t="str">
        <f>AND(#REF!,"AAAAAH/++3I=")</f>
        <v>#REF!</v>
      </c>
      <c r="DL100" t="str">
        <f>AND(#REF!,"AAAAAH/++3M=")</f>
        <v>#REF!</v>
      </c>
      <c r="DM100" t="str">
        <f>AND(#REF!,"AAAAAH/++3Q=")</f>
        <v>#REF!</v>
      </c>
      <c r="DN100" t="str">
        <f>AND(#REF!,"AAAAAH/++3U=")</f>
        <v>#REF!</v>
      </c>
      <c r="DO100" t="str">
        <f>AND(#REF!,"AAAAAH/++3Y=")</f>
        <v>#REF!</v>
      </c>
      <c r="DP100" t="str">
        <f>AND(#REF!,"AAAAAH/++3c=")</f>
        <v>#REF!</v>
      </c>
      <c r="DQ100" t="str">
        <f>AND(#REF!,"AAAAAH/++3g=")</f>
        <v>#REF!</v>
      </c>
      <c r="DR100" t="str">
        <f>AND(#REF!,"AAAAAH/++3k=")</f>
        <v>#REF!</v>
      </c>
      <c r="DS100" t="str">
        <f>AND(#REF!,"AAAAAH/++3o=")</f>
        <v>#REF!</v>
      </c>
      <c r="DT100" t="str">
        <f>AND(#REF!,"AAAAAH/++3s=")</f>
        <v>#REF!</v>
      </c>
      <c r="DU100" t="str">
        <f>AND(#REF!,"AAAAAH/++3w=")</f>
        <v>#REF!</v>
      </c>
      <c r="DV100" t="str">
        <f>AND(#REF!,"AAAAAH/++30=")</f>
        <v>#REF!</v>
      </c>
      <c r="DW100" t="str">
        <f>AND(#REF!,"AAAAAH/++34=")</f>
        <v>#REF!</v>
      </c>
      <c r="DX100" t="str">
        <f>AND(#REF!,"AAAAAH/++38=")</f>
        <v>#REF!</v>
      </c>
      <c r="DY100" t="str">
        <f>AND(#REF!,"AAAAAH/++4A=")</f>
        <v>#REF!</v>
      </c>
      <c r="DZ100" t="str">
        <f>AND(#REF!,"AAAAAH/++4E=")</f>
        <v>#REF!</v>
      </c>
      <c r="EA100" t="str">
        <f>AND(#REF!,"AAAAAH/++4I=")</f>
        <v>#REF!</v>
      </c>
      <c r="EB100" t="str">
        <f>AND(#REF!,"AAAAAH/++4M=")</f>
        <v>#REF!</v>
      </c>
      <c r="EC100" t="str">
        <f>AND(#REF!,"AAAAAH/++4Q=")</f>
        <v>#REF!</v>
      </c>
      <c r="ED100" t="str">
        <f>AND(#REF!,"AAAAAH/++4U=")</f>
        <v>#REF!</v>
      </c>
      <c r="EE100" t="str">
        <f>AND(#REF!,"AAAAAH/++4Y=")</f>
        <v>#REF!</v>
      </c>
      <c r="EF100" t="str">
        <f>IF(#REF!,"AAAAAH/++4c=",0)</f>
        <v>#REF!</v>
      </c>
      <c r="EG100" t="str">
        <f>AND(#REF!,"AAAAAH/++4g=")</f>
        <v>#REF!</v>
      </c>
      <c r="EH100" t="str">
        <f>AND(#REF!,"AAAAAH/++4k=")</f>
        <v>#REF!</v>
      </c>
      <c r="EI100" t="str">
        <f>AND(#REF!,"AAAAAH/++4o=")</f>
        <v>#REF!</v>
      </c>
      <c r="EJ100" t="str">
        <f>AND(#REF!,"AAAAAH/++4s=")</f>
        <v>#REF!</v>
      </c>
      <c r="EK100" t="str">
        <f>AND(#REF!,"AAAAAH/++4w=")</f>
        <v>#REF!</v>
      </c>
      <c r="EL100" t="str">
        <f>AND(#REF!,"AAAAAH/++40=")</f>
        <v>#REF!</v>
      </c>
      <c r="EM100" t="str">
        <f>AND(#REF!,"AAAAAH/++44=")</f>
        <v>#REF!</v>
      </c>
      <c r="EN100" t="str">
        <f>AND(#REF!,"AAAAAH/++48=")</f>
        <v>#REF!</v>
      </c>
      <c r="EO100" t="str">
        <f>AND(#REF!,"AAAAAH/++5A=")</f>
        <v>#REF!</v>
      </c>
      <c r="EP100" t="str">
        <f>AND(#REF!,"AAAAAH/++5E=")</f>
        <v>#REF!</v>
      </c>
      <c r="EQ100" t="str">
        <f>AND(#REF!,"AAAAAH/++5I=")</f>
        <v>#REF!</v>
      </c>
      <c r="ER100" t="str">
        <f>AND(#REF!,"AAAAAH/++5M=")</f>
        <v>#REF!</v>
      </c>
      <c r="ES100" t="str">
        <f>AND(#REF!,"AAAAAH/++5Q=")</f>
        <v>#REF!</v>
      </c>
      <c r="ET100" t="str">
        <f>AND(#REF!,"AAAAAH/++5U=")</f>
        <v>#REF!</v>
      </c>
      <c r="EU100" t="str">
        <f>AND(#REF!,"AAAAAH/++5Y=")</f>
        <v>#REF!</v>
      </c>
      <c r="EV100" t="str">
        <f>AND(#REF!,"AAAAAH/++5c=")</f>
        <v>#REF!</v>
      </c>
      <c r="EW100" t="str">
        <f>AND(#REF!,"AAAAAH/++5g=")</f>
        <v>#REF!</v>
      </c>
      <c r="EX100" t="str">
        <f>AND(#REF!,"AAAAAH/++5k=")</f>
        <v>#REF!</v>
      </c>
      <c r="EY100" t="str">
        <f>AND(#REF!,"AAAAAH/++5o=")</f>
        <v>#REF!</v>
      </c>
      <c r="EZ100" t="str">
        <f>AND(#REF!,"AAAAAH/++5s=")</f>
        <v>#REF!</v>
      </c>
      <c r="FA100" t="str">
        <f>AND(#REF!,"AAAAAH/++5w=")</f>
        <v>#REF!</v>
      </c>
      <c r="FB100" t="str">
        <f>AND(#REF!,"AAAAAH/++50=")</f>
        <v>#REF!</v>
      </c>
      <c r="FC100" t="str">
        <f>AND(#REF!,"AAAAAH/++54=")</f>
        <v>#REF!</v>
      </c>
      <c r="FD100" t="str">
        <f>AND(#REF!,"AAAAAH/++58=")</f>
        <v>#REF!</v>
      </c>
      <c r="FE100" t="str">
        <f>AND(#REF!,"AAAAAH/++6A=")</f>
        <v>#REF!</v>
      </c>
      <c r="FF100" t="str">
        <f>AND(#REF!,"AAAAAH/++6E=")</f>
        <v>#REF!</v>
      </c>
      <c r="FG100" t="str">
        <f>AND(#REF!,"AAAAAH/++6I=")</f>
        <v>#REF!</v>
      </c>
      <c r="FH100" t="str">
        <f>AND(#REF!,"AAAAAH/++6M=")</f>
        <v>#REF!</v>
      </c>
      <c r="FI100" t="str">
        <f>AND(#REF!,"AAAAAH/++6Q=")</f>
        <v>#REF!</v>
      </c>
      <c r="FJ100" t="str">
        <f>AND(#REF!,"AAAAAH/++6U=")</f>
        <v>#REF!</v>
      </c>
      <c r="FK100" t="str">
        <f>AND(#REF!,"AAAAAH/++6Y=")</f>
        <v>#REF!</v>
      </c>
      <c r="FL100" t="str">
        <f>AND(#REF!,"AAAAAH/++6c=")</f>
        <v>#REF!</v>
      </c>
      <c r="FM100" t="str">
        <f>AND(#REF!,"AAAAAH/++6g=")</f>
        <v>#REF!</v>
      </c>
      <c r="FN100" t="str">
        <f>AND(#REF!,"AAAAAH/++6k=")</f>
        <v>#REF!</v>
      </c>
      <c r="FO100" t="str">
        <f>AND(#REF!,"AAAAAH/++6o=")</f>
        <v>#REF!</v>
      </c>
      <c r="FP100" t="str">
        <f>AND(#REF!,"AAAAAH/++6s=")</f>
        <v>#REF!</v>
      </c>
      <c r="FQ100" t="str">
        <f>AND(#REF!,"AAAAAH/++6w=")</f>
        <v>#REF!</v>
      </c>
      <c r="FR100" t="str">
        <f>AND(#REF!,"AAAAAH/++60=")</f>
        <v>#REF!</v>
      </c>
      <c r="FS100" t="str">
        <f>AND(#REF!,"AAAAAH/++64=")</f>
        <v>#REF!</v>
      </c>
      <c r="FT100" t="str">
        <f>AND(#REF!,"AAAAAH/++68=")</f>
        <v>#REF!</v>
      </c>
      <c r="FU100" t="str">
        <f>AND(#REF!,"AAAAAH/++7A=")</f>
        <v>#REF!</v>
      </c>
      <c r="FV100" t="str">
        <f>AND(#REF!,"AAAAAH/++7E=")</f>
        <v>#REF!</v>
      </c>
      <c r="FW100" t="str">
        <f>AND(#REF!,"AAAAAH/++7I=")</f>
        <v>#REF!</v>
      </c>
      <c r="FX100" t="str">
        <f>AND(#REF!,"AAAAAH/++7M=")</f>
        <v>#REF!</v>
      </c>
      <c r="FY100" t="str">
        <f>AND(#REF!,"AAAAAH/++7Q=")</f>
        <v>#REF!</v>
      </c>
      <c r="FZ100" t="str">
        <f>AND(#REF!,"AAAAAH/++7U=")</f>
        <v>#REF!</v>
      </c>
      <c r="GA100" t="str">
        <f>AND(#REF!,"AAAAAH/++7Y=")</f>
        <v>#REF!</v>
      </c>
      <c r="GB100" t="str">
        <f>AND(#REF!,"AAAAAH/++7c=")</f>
        <v>#REF!</v>
      </c>
      <c r="GC100" t="str">
        <f>AND(#REF!,"AAAAAH/++7g=")</f>
        <v>#REF!</v>
      </c>
      <c r="GD100" t="str">
        <f>AND(#REF!,"AAAAAH/++7k=")</f>
        <v>#REF!</v>
      </c>
      <c r="GE100" t="str">
        <f>AND(#REF!,"AAAAAH/++7o=")</f>
        <v>#REF!</v>
      </c>
      <c r="GF100" t="str">
        <f>AND(#REF!,"AAAAAH/++7s=")</f>
        <v>#REF!</v>
      </c>
      <c r="GG100" t="str">
        <f>AND(#REF!,"AAAAAH/++7w=")</f>
        <v>#REF!</v>
      </c>
      <c r="GH100" t="str">
        <f>AND(#REF!,"AAAAAH/++70=")</f>
        <v>#REF!</v>
      </c>
      <c r="GI100" t="str">
        <f>AND(#REF!,"AAAAAH/++74=")</f>
        <v>#REF!</v>
      </c>
      <c r="GJ100" t="str">
        <f>AND(#REF!,"AAAAAH/++78=")</f>
        <v>#REF!</v>
      </c>
      <c r="GK100" t="str">
        <f>AND(#REF!,"AAAAAH/++8A=")</f>
        <v>#REF!</v>
      </c>
      <c r="GL100" t="str">
        <f>AND(#REF!,"AAAAAH/++8E=")</f>
        <v>#REF!</v>
      </c>
      <c r="GM100" t="str">
        <f>AND(#REF!,"AAAAAH/++8I=")</f>
        <v>#REF!</v>
      </c>
      <c r="GN100" t="str">
        <f>AND(#REF!,"AAAAAH/++8M=")</f>
        <v>#REF!</v>
      </c>
      <c r="GO100" t="str">
        <f>AND(#REF!,"AAAAAH/++8Q=")</f>
        <v>#REF!</v>
      </c>
      <c r="GP100" t="str">
        <f>AND(#REF!,"AAAAAH/++8U=")</f>
        <v>#REF!</v>
      </c>
      <c r="GQ100" t="str">
        <f>AND(#REF!,"AAAAAH/++8Y=")</f>
        <v>#REF!</v>
      </c>
      <c r="GR100" t="str">
        <f>AND(#REF!,"AAAAAH/++8c=")</f>
        <v>#REF!</v>
      </c>
      <c r="GS100" t="str">
        <f>AND(#REF!,"AAAAAH/++8g=")</f>
        <v>#REF!</v>
      </c>
      <c r="GT100" t="str">
        <f>AND(#REF!,"AAAAAH/++8k=")</f>
        <v>#REF!</v>
      </c>
      <c r="GU100" t="str">
        <f>AND(#REF!,"AAAAAH/++8o=")</f>
        <v>#REF!</v>
      </c>
      <c r="GV100" t="str">
        <f>AND(#REF!,"AAAAAH/++8s=")</f>
        <v>#REF!</v>
      </c>
      <c r="GW100" t="str">
        <f>AND(#REF!,"AAAAAH/++8w=")</f>
        <v>#REF!</v>
      </c>
      <c r="GX100" t="str">
        <f>AND(#REF!,"AAAAAH/++80=")</f>
        <v>#REF!</v>
      </c>
      <c r="GY100" t="str">
        <f>AND(#REF!,"AAAAAH/++84=")</f>
        <v>#REF!</v>
      </c>
      <c r="GZ100" t="str">
        <f>AND(#REF!,"AAAAAH/++88=")</f>
        <v>#REF!</v>
      </c>
      <c r="HA100" t="str">
        <f>AND(#REF!,"AAAAAH/++9A=")</f>
        <v>#REF!</v>
      </c>
      <c r="HB100" t="str">
        <f>AND(#REF!,"AAAAAH/++9E=")</f>
        <v>#REF!</v>
      </c>
      <c r="HC100" t="str">
        <f>AND(#REF!,"AAAAAH/++9I=")</f>
        <v>#REF!</v>
      </c>
      <c r="HD100" t="str">
        <f>IF(#REF!,"AAAAAH/++9M=",0)</f>
        <v>#REF!</v>
      </c>
      <c r="HE100" t="str">
        <f>AND(#REF!,"AAAAAH/++9Q=")</f>
        <v>#REF!</v>
      </c>
      <c r="HF100" t="str">
        <f>AND(#REF!,"AAAAAH/++9U=")</f>
        <v>#REF!</v>
      </c>
      <c r="HG100" t="str">
        <f>AND(#REF!,"AAAAAH/++9Y=")</f>
        <v>#REF!</v>
      </c>
      <c r="HH100" t="str">
        <f>AND(#REF!,"AAAAAH/++9c=")</f>
        <v>#REF!</v>
      </c>
      <c r="HI100" t="str">
        <f>AND(#REF!,"AAAAAH/++9g=")</f>
        <v>#REF!</v>
      </c>
      <c r="HJ100" t="str">
        <f>AND(#REF!,"AAAAAH/++9k=")</f>
        <v>#REF!</v>
      </c>
      <c r="HK100" t="str">
        <f>AND(#REF!,"AAAAAH/++9o=")</f>
        <v>#REF!</v>
      </c>
      <c r="HL100" t="str">
        <f>AND(#REF!,"AAAAAH/++9s=")</f>
        <v>#REF!</v>
      </c>
      <c r="HM100" t="str">
        <f>AND(#REF!,"AAAAAH/++9w=")</f>
        <v>#REF!</v>
      </c>
      <c r="HN100" t="str">
        <f>AND(#REF!,"AAAAAH/++90=")</f>
        <v>#REF!</v>
      </c>
      <c r="HO100" t="str">
        <f>AND(#REF!,"AAAAAH/++94=")</f>
        <v>#REF!</v>
      </c>
      <c r="HP100" t="str">
        <f>AND(#REF!,"AAAAAH/++98=")</f>
        <v>#REF!</v>
      </c>
      <c r="HQ100" t="str">
        <f>AND(#REF!,"AAAAAH/+++A=")</f>
        <v>#REF!</v>
      </c>
      <c r="HR100" t="str">
        <f>AND(#REF!,"AAAAAH/+++E=")</f>
        <v>#REF!</v>
      </c>
      <c r="HS100" t="str">
        <f>AND(#REF!,"AAAAAH/+++I=")</f>
        <v>#REF!</v>
      </c>
      <c r="HT100" t="str">
        <f>AND(#REF!,"AAAAAH/+++M=")</f>
        <v>#REF!</v>
      </c>
      <c r="HU100" t="str">
        <f>AND(#REF!,"AAAAAH/+++Q=")</f>
        <v>#REF!</v>
      </c>
      <c r="HV100" t="str">
        <f>AND(#REF!,"AAAAAH/+++U=")</f>
        <v>#REF!</v>
      </c>
      <c r="HW100" t="str">
        <f>AND(#REF!,"AAAAAH/+++Y=")</f>
        <v>#REF!</v>
      </c>
      <c r="HX100" t="str">
        <f>AND(#REF!,"AAAAAH/+++c=")</f>
        <v>#REF!</v>
      </c>
      <c r="HY100" t="str">
        <f>AND(#REF!,"AAAAAH/+++g=")</f>
        <v>#REF!</v>
      </c>
      <c r="HZ100" t="str">
        <f>AND(#REF!,"AAAAAH/+++k=")</f>
        <v>#REF!</v>
      </c>
      <c r="IA100" t="str">
        <f>AND(#REF!,"AAAAAH/+++o=")</f>
        <v>#REF!</v>
      </c>
      <c r="IB100" t="str">
        <f>AND(#REF!,"AAAAAH/+++s=")</f>
        <v>#REF!</v>
      </c>
      <c r="IC100" t="str">
        <f>AND(#REF!,"AAAAAH/+++w=")</f>
        <v>#REF!</v>
      </c>
      <c r="ID100" t="str">
        <f>AND(#REF!,"AAAAAH/+++0=")</f>
        <v>#REF!</v>
      </c>
      <c r="IE100" t="str">
        <f>AND(#REF!,"AAAAAH/+++4=")</f>
        <v>#REF!</v>
      </c>
      <c r="IF100" t="str">
        <f>AND(#REF!,"AAAAAH/+++8=")</f>
        <v>#REF!</v>
      </c>
      <c r="IG100" t="str">
        <f>AND(#REF!,"AAAAAH/++/A=")</f>
        <v>#REF!</v>
      </c>
      <c r="IH100" t="str">
        <f>AND(#REF!,"AAAAAH/++/E=")</f>
        <v>#REF!</v>
      </c>
      <c r="II100" t="str">
        <f>AND(#REF!,"AAAAAH/++/I=")</f>
        <v>#REF!</v>
      </c>
      <c r="IJ100" t="str">
        <f>AND(#REF!,"AAAAAH/++/M=")</f>
        <v>#REF!</v>
      </c>
      <c r="IK100" t="str">
        <f>AND(#REF!,"AAAAAH/++/Q=")</f>
        <v>#REF!</v>
      </c>
      <c r="IL100" t="str">
        <f>AND(#REF!,"AAAAAH/++/U=")</f>
        <v>#REF!</v>
      </c>
      <c r="IM100" t="str">
        <f>AND(#REF!,"AAAAAH/++/Y=")</f>
        <v>#REF!</v>
      </c>
      <c r="IN100" t="str">
        <f>AND(#REF!,"AAAAAH/++/c=")</f>
        <v>#REF!</v>
      </c>
      <c r="IO100" t="str">
        <f>AND(#REF!,"AAAAAH/++/g=")</f>
        <v>#REF!</v>
      </c>
      <c r="IP100" t="str">
        <f>AND(#REF!,"AAAAAH/++/k=")</f>
        <v>#REF!</v>
      </c>
      <c r="IQ100" t="str">
        <f>AND(#REF!,"AAAAAH/++/o=")</f>
        <v>#REF!</v>
      </c>
      <c r="IR100" t="str">
        <f>AND(#REF!,"AAAAAH/++/s=")</f>
        <v>#REF!</v>
      </c>
      <c r="IS100" t="str">
        <f>AND(#REF!,"AAAAAH/++/w=")</f>
        <v>#REF!</v>
      </c>
      <c r="IT100" t="str">
        <f>AND(#REF!,"AAAAAH/++/0=")</f>
        <v>#REF!</v>
      </c>
      <c r="IU100" t="str">
        <f>AND(#REF!,"AAAAAH/++/4=")</f>
        <v>#REF!</v>
      </c>
      <c r="IV100" t="str">
        <f>AND(#REF!,"AAAAAH/++/8=")</f>
        <v>#REF!</v>
      </c>
    </row>
    <row r="101" ht="15.75" customHeight="1">
      <c r="A101" t="str">
        <f>AND(#REF!,"AAAAAHb/PwA=")</f>
        <v>#REF!</v>
      </c>
      <c r="B101" t="str">
        <f>AND(#REF!,"AAAAAHb/PwE=")</f>
        <v>#REF!</v>
      </c>
      <c r="C101" t="str">
        <f>AND(#REF!,"AAAAAHb/PwI=")</f>
        <v>#REF!</v>
      </c>
      <c r="D101" t="str">
        <f>AND(#REF!,"AAAAAHb/PwM=")</f>
        <v>#REF!</v>
      </c>
      <c r="E101" t="str">
        <f>AND(#REF!,"AAAAAHb/PwQ=")</f>
        <v>#REF!</v>
      </c>
      <c r="F101" t="str">
        <f>AND(#REF!,"AAAAAHb/PwU=")</f>
        <v>#REF!</v>
      </c>
      <c r="G101" t="str">
        <f>AND(#REF!,"AAAAAHb/PwY=")</f>
        <v>#REF!</v>
      </c>
      <c r="H101" t="str">
        <f>AND(#REF!,"AAAAAHb/Pwc=")</f>
        <v>#REF!</v>
      </c>
      <c r="I101" t="str">
        <f>AND(#REF!,"AAAAAHb/Pwg=")</f>
        <v>#REF!</v>
      </c>
      <c r="J101" t="str">
        <f>AND(#REF!,"AAAAAHb/Pwk=")</f>
        <v>#REF!</v>
      </c>
      <c r="K101" t="str">
        <f>AND(#REF!,"AAAAAHb/Pwo=")</f>
        <v>#REF!</v>
      </c>
      <c r="L101" t="str">
        <f>AND(#REF!,"AAAAAHb/Pws=")</f>
        <v>#REF!</v>
      </c>
      <c r="M101" t="str">
        <f>AND(#REF!,"AAAAAHb/Pww=")</f>
        <v>#REF!</v>
      </c>
      <c r="N101" t="str">
        <f>AND(#REF!,"AAAAAHb/Pw0=")</f>
        <v>#REF!</v>
      </c>
      <c r="O101" t="str">
        <f>AND(#REF!,"AAAAAHb/Pw4=")</f>
        <v>#REF!</v>
      </c>
      <c r="P101" t="str">
        <f>AND(#REF!,"AAAAAHb/Pw8=")</f>
        <v>#REF!</v>
      </c>
      <c r="Q101" t="str">
        <f>AND(#REF!,"AAAAAHb/PxA=")</f>
        <v>#REF!</v>
      </c>
      <c r="R101" t="str">
        <f>AND(#REF!,"AAAAAHb/PxE=")</f>
        <v>#REF!</v>
      </c>
      <c r="S101" t="str">
        <f>AND(#REF!,"AAAAAHb/PxI=")</f>
        <v>#REF!</v>
      </c>
      <c r="T101" t="str">
        <f>AND(#REF!,"AAAAAHb/PxM=")</f>
        <v>#REF!</v>
      </c>
      <c r="U101" t="str">
        <f>AND(#REF!,"AAAAAHb/PxQ=")</f>
        <v>#REF!</v>
      </c>
      <c r="V101" t="str">
        <f>AND(#REF!,"AAAAAHb/PxU=")</f>
        <v>#REF!</v>
      </c>
      <c r="W101" t="str">
        <f>AND(#REF!,"AAAAAHb/PxY=")</f>
        <v>#REF!</v>
      </c>
      <c r="X101" t="str">
        <f>AND(#REF!,"AAAAAHb/Pxc=")</f>
        <v>#REF!</v>
      </c>
      <c r="Y101" t="str">
        <f>AND(#REF!,"AAAAAHb/Pxg=")</f>
        <v>#REF!</v>
      </c>
      <c r="Z101" t="str">
        <f>AND(#REF!,"AAAAAHb/Pxk=")</f>
        <v>#REF!</v>
      </c>
      <c r="AA101" t="str">
        <f>AND(#REF!,"AAAAAHb/Pxo=")</f>
        <v>#REF!</v>
      </c>
      <c r="AB101" t="str">
        <f>AND(#REF!,"AAAAAHb/Pxs=")</f>
        <v>#REF!</v>
      </c>
      <c r="AC101" t="str">
        <f>AND(#REF!,"AAAAAHb/Pxw=")</f>
        <v>#REF!</v>
      </c>
      <c r="AD101" t="str">
        <f>AND(#REF!,"AAAAAHb/Px0=")</f>
        <v>#REF!</v>
      </c>
      <c r="AE101" t="str">
        <f>AND(#REF!,"AAAAAHb/Px4=")</f>
        <v>#REF!</v>
      </c>
      <c r="AF101" t="str">
        <f>IF(#REF!,"AAAAAHb/Px8=",0)</f>
        <v>#REF!</v>
      </c>
      <c r="AG101" t="str">
        <f>AND(#REF!,"AAAAAHb/PyA=")</f>
        <v>#REF!</v>
      </c>
      <c r="AH101" t="str">
        <f>AND(#REF!,"AAAAAHb/PyE=")</f>
        <v>#REF!</v>
      </c>
      <c r="AI101" t="str">
        <f>AND(#REF!,"AAAAAHb/PyI=")</f>
        <v>#REF!</v>
      </c>
      <c r="AJ101" t="str">
        <f>AND(#REF!,"AAAAAHb/PyM=")</f>
        <v>#REF!</v>
      </c>
      <c r="AK101" t="str">
        <f>AND(#REF!,"AAAAAHb/PyQ=")</f>
        <v>#REF!</v>
      </c>
      <c r="AL101" t="str">
        <f>AND(#REF!,"AAAAAHb/PyU=")</f>
        <v>#REF!</v>
      </c>
      <c r="AM101" t="str">
        <f>AND(#REF!,"AAAAAHb/PyY=")</f>
        <v>#REF!</v>
      </c>
      <c r="AN101" t="str">
        <f>AND(#REF!,"AAAAAHb/Pyc=")</f>
        <v>#REF!</v>
      </c>
      <c r="AO101" t="str">
        <f>AND(#REF!,"AAAAAHb/Pyg=")</f>
        <v>#REF!</v>
      </c>
      <c r="AP101" t="str">
        <f>AND(#REF!,"AAAAAHb/Pyk=")</f>
        <v>#REF!</v>
      </c>
      <c r="AQ101" t="str">
        <f>AND(#REF!,"AAAAAHb/Pyo=")</f>
        <v>#REF!</v>
      </c>
      <c r="AR101" t="str">
        <f>AND(#REF!,"AAAAAHb/Pys=")</f>
        <v>#REF!</v>
      </c>
      <c r="AS101" t="str">
        <f>AND(#REF!,"AAAAAHb/Pyw=")</f>
        <v>#REF!</v>
      </c>
      <c r="AT101" t="str">
        <f>AND(#REF!,"AAAAAHb/Py0=")</f>
        <v>#REF!</v>
      </c>
      <c r="AU101" t="str">
        <f>AND(#REF!,"AAAAAHb/Py4=")</f>
        <v>#REF!</v>
      </c>
      <c r="AV101" t="str">
        <f>AND(#REF!,"AAAAAHb/Py8=")</f>
        <v>#REF!</v>
      </c>
      <c r="AW101" t="str">
        <f>AND(#REF!,"AAAAAHb/PzA=")</f>
        <v>#REF!</v>
      </c>
      <c r="AX101" t="str">
        <f>AND(#REF!,"AAAAAHb/PzE=")</f>
        <v>#REF!</v>
      </c>
      <c r="AY101" t="str">
        <f>AND(#REF!,"AAAAAHb/PzI=")</f>
        <v>#REF!</v>
      </c>
      <c r="AZ101" t="str">
        <f>AND(#REF!,"AAAAAHb/PzM=")</f>
        <v>#REF!</v>
      </c>
      <c r="BA101" t="str">
        <f>AND(#REF!,"AAAAAHb/PzQ=")</f>
        <v>#REF!</v>
      </c>
      <c r="BB101" t="str">
        <f>AND(#REF!,"AAAAAHb/PzU=")</f>
        <v>#REF!</v>
      </c>
      <c r="BC101" t="str">
        <f>AND(#REF!,"AAAAAHb/PzY=")</f>
        <v>#REF!</v>
      </c>
      <c r="BD101" t="str">
        <f>AND(#REF!,"AAAAAHb/Pzc=")</f>
        <v>#REF!</v>
      </c>
      <c r="BE101" t="str">
        <f>AND(#REF!,"AAAAAHb/Pzg=")</f>
        <v>#REF!</v>
      </c>
      <c r="BF101" t="str">
        <f>AND(#REF!,"AAAAAHb/Pzk=")</f>
        <v>#REF!</v>
      </c>
      <c r="BG101" t="str">
        <f>AND(#REF!,"AAAAAHb/Pzo=")</f>
        <v>#REF!</v>
      </c>
      <c r="BH101" t="str">
        <f>AND(#REF!,"AAAAAHb/Pzs=")</f>
        <v>#REF!</v>
      </c>
      <c r="BI101" t="str">
        <f>AND(#REF!,"AAAAAHb/Pzw=")</f>
        <v>#REF!</v>
      </c>
      <c r="BJ101" t="str">
        <f>AND(#REF!,"AAAAAHb/Pz0=")</f>
        <v>#REF!</v>
      </c>
      <c r="BK101" t="str">
        <f>AND(#REF!,"AAAAAHb/Pz4=")</f>
        <v>#REF!</v>
      </c>
      <c r="BL101" t="str">
        <f>AND(#REF!,"AAAAAHb/Pz8=")</f>
        <v>#REF!</v>
      </c>
      <c r="BM101" t="str">
        <f>AND(#REF!,"AAAAAHb/P0A=")</f>
        <v>#REF!</v>
      </c>
      <c r="BN101" t="str">
        <f>AND(#REF!,"AAAAAHb/P0E=")</f>
        <v>#REF!</v>
      </c>
      <c r="BO101" t="str">
        <f>AND(#REF!,"AAAAAHb/P0I=")</f>
        <v>#REF!</v>
      </c>
      <c r="BP101" t="str">
        <f>AND(#REF!,"AAAAAHb/P0M=")</f>
        <v>#REF!</v>
      </c>
      <c r="BQ101" t="str">
        <f>AND(#REF!,"AAAAAHb/P0Q=")</f>
        <v>#REF!</v>
      </c>
      <c r="BR101" t="str">
        <f>AND(#REF!,"AAAAAHb/P0U=")</f>
        <v>#REF!</v>
      </c>
      <c r="BS101" t="str">
        <f>AND(#REF!,"AAAAAHb/P0Y=")</f>
        <v>#REF!</v>
      </c>
      <c r="BT101" t="str">
        <f>AND(#REF!,"AAAAAHb/P0c=")</f>
        <v>#REF!</v>
      </c>
      <c r="BU101" t="str">
        <f>AND(#REF!,"AAAAAHb/P0g=")</f>
        <v>#REF!</v>
      </c>
      <c r="BV101" t="str">
        <f>AND(#REF!,"AAAAAHb/P0k=")</f>
        <v>#REF!</v>
      </c>
      <c r="BW101" t="str">
        <f>AND(#REF!,"AAAAAHb/P0o=")</f>
        <v>#REF!</v>
      </c>
      <c r="BX101" t="str">
        <f>AND(#REF!,"AAAAAHb/P0s=")</f>
        <v>#REF!</v>
      </c>
      <c r="BY101" t="str">
        <f>AND(#REF!,"AAAAAHb/P0w=")</f>
        <v>#REF!</v>
      </c>
      <c r="BZ101" t="str">
        <f>AND(#REF!,"AAAAAHb/P00=")</f>
        <v>#REF!</v>
      </c>
      <c r="CA101" t="str">
        <f>AND(#REF!,"AAAAAHb/P04=")</f>
        <v>#REF!</v>
      </c>
      <c r="CB101" t="str">
        <f>AND(#REF!,"AAAAAHb/P08=")</f>
        <v>#REF!</v>
      </c>
      <c r="CC101" t="str">
        <f>AND(#REF!,"AAAAAHb/P1A=")</f>
        <v>#REF!</v>
      </c>
      <c r="CD101" t="str">
        <f>AND(#REF!,"AAAAAHb/P1E=")</f>
        <v>#REF!</v>
      </c>
      <c r="CE101" t="str">
        <f>AND(#REF!,"AAAAAHb/P1I=")</f>
        <v>#REF!</v>
      </c>
      <c r="CF101" t="str">
        <f>AND(#REF!,"AAAAAHb/P1M=")</f>
        <v>#REF!</v>
      </c>
      <c r="CG101" t="str">
        <f>AND(#REF!,"AAAAAHb/P1Q=")</f>
        <v>#REF!</v>
      </c>
      <c r="CH101" t="str">
        <f>AND(#REF!,"AAAAAHb/P1U=")</f>
        <v>#REF!</v>
      </c>
      <c r="CI101" t="str">
        <f>AND(#REF!,"AAAAAHb/P1Y=")</f>
        <v>#REF!</v>
      </c>
      <c r="CJ101" t="str">
        <f>AND(#REF!,"AAAAAHb/P1c=")</f>
        <v>#REF!</v>
      </c>
      <c r="CK101" t="str">
        <f>AND(#REF!,"AAAAAHb/P1g=")</f>
        <v>#REF!</v>
      </c>
      <c r="CL101" t="str">
        <f>AND(#REF!,"AAAAAHb/P1k=")</f>
        <v>#REF!</v>
      </c>
      <c r="CM101" t="str">
        <f>AND(#REF!,"AAAAAHb/P1o=")</f>
        <v>#REF!</v>
      </c>
      <c r="CN101" t="str">
        <f>AND(#REF!,"AAAAAHb/P1s=")</f>
        <v>#REF!</v>
      </c>
      <c r="CO101" t="str">
        <f>AND(#REF!,"AAAAAHb/P1w=")</f>
        <v>#REF!</v>
      </c>
      <c r="CP101" t="str">
        <f>AND(#REF!,"AAAAAHb/P10=")</f>
        <v>#REF!</v>
      </c>
      <c r="CQ101" t="str">
        <f>AND(#REF!,"AAAAAHb/P14=")</f>
        <v>#REF!</v>
      </c>
      <c r="CR101" t="str">
        <f>AND(#REF!,"AAAAAHb/P18=")</f>
        <v>#REF!</v>
      </c>
      <c r="CS101" t="str">
        <f>AND(#REF!,"AAAAAHb/P2A=")</f>
        <v>#REF!</v>
      </c>
      <c r="CT101" t="str">
        <f>AND(#REF!,"AAAAAHb/P2E=")</f>
        <v>#REF!</v>
      </c>
      <c r="CU101" t="str">
        <f>AND(#REF!,"AAAAAHb/P2I=")</f>
        <v>#REF!</v>
      </c>
      <c r="CV101" t="str">
        <f>AND(#REF!,"AAAAAHb/P2M=")</f>
        <v>#REF!</v>
      </c>
      <c r="CW101" t="str">
        <f>AND(#REF!,"AAAAAHb/P2Q=")</f>
        <v>#REF!</v>
      </c>
      <c r="CX101" t="str">
        <f>AND(#REF!,"AAAAAHb/P2U=")</f>
        <v>#REF!</v>
      </c>
      <c r="CY101" t="str">
        <f>AND(#REF!,"AAAAAHb/P2Y=")</f>
        <v>#REF!</v>
      </c>
      <c r="CZ101" t="str">
        <f>AND(#REF!,"AAAAAHb/P2c=")</f>
        <v>#REF!</v>
      </c>
      <c r="DA101" t="str">
        <f>AND(#REF!,"AAAAAHb/P2g=")</f>
        <v>#REF!</v>
      </c>
      <c r="DB101" t="str">
        <f>AND(#REF!,"AAAAAHb/P2k=")</f>
        <v>#REF!</v>
      </c>
      <c r="DC101" t="str">
        <f>AND(#REF!,"AAAAAHb/P2o=")</f>
        <v>#REF!</v>
      </c>
      <c r="DD101" t="str">
        <f>IF(#REF!,"AAAAAHb/P2s=",0)</f>
        <v>#REF!</v>
      </c>
      <c r="DE101" t="str">
        <f>AND(#REF!,"AAAAAHb/P2w=")</f>
        <v>#REF!</v>
      </c>
      <c r="DF101" t="str">
        <f>AND(#REF!,"AAAAAHb/P20=")</f>
        <v>#REF!</v>
      </c>
      <c r="DG101" t="str">
        <f>AND(#REF!,"AAAAAHb/P24=")</f>
        <v>#REF!</v>
      </c>
      <c r="DH101" t="str">
        <f>AND(#REF!,"AAAAAHb/P28=")</f>
        <v>#REF!</v>
      </c>
      <c r="DI101" t="str">
        <f>AND(#REF!,"AAAAAHb/P3A=")</f>
        <v>#REF!</v>
      </c>
      <c r="DJ101" t="str">
        <f>AND(#REF!,"AAAAAHb/P3E=")</f>
        <v>#REF!</v>
      </c>
      <c r="DK101" t="str">
        <f>AND(#REF!,"AAAAAHb/P3I=")</f>
        <v>#REF!</v>
      </c>
      <c r="DL101" t="str">
        <f>AND(#REF!,"AAAAAHb/P3M=")</f>
        <v>#REF!</v>
      </c>
      <c r="DM101" t="str">
        <f>AND(#REF!,"AAAAAHb/P3Q=")</f>
        <v>#REF!</v>
      </c>
      <c r="DN101" t="str">
        <f>AND(#REF!,"AAAAAHb/P3U=")</f>
        <v>#REF!</v>
      </c>
      <c r="DO101" t="str">
        <f>AND(#REF!,"AAAAAHb/P3Y=")</f>
        <v>#REF!</v>
      </c>
      <c r="DP101" t="str">
        <f>AND(#REF!,"AAAAAHb/P3c=")</f>
        <v>#REF!</v>
      </c>
      <c r="DQ101" t="str">
        <f>AND(#REF!,"AAAAAHb/P3g=")</f>
        <v>#REF!</v>
      </c>
      <c r="DR101" t="str">
        <f>AND(#REF!,"AAAAAHb/P3k=")</f>
        <v>#REF!</v>
      </c>
      <c r="DS101" t="str">
        <f>AND(#REF!,"AAAAAHb/P3o=")</f>
        <v>#REF!</v>
      </c>
      <c r="DT101" t="str">
        <f>AND(#REF!,"AAAAAHb/P3s=")</f>
        <v>#REF!</v>
      </c>
      <c r="DU101" t="str">
        <f>AND(#REF!,"AAAAAHb/P3w=")</f>
        <v>#REF!</v>
      </c>
      <c r="DV101" t="str">
        <f>AND(#REF!,"AAAAAHb/P30=")</f>
        <v>#REF!</v>
      </c>
      <c r="DW101" t="str">
        <f>AND(#REF!,"AAAAAHb/P34=")</f>
        <v>#REF!</v>
      </c>
      <c r="DX101" t="str">
        <f>AND(#REF!,"AAAAAHb/P38=")</f>
        <v>#REF!</v>
      </c>
      <c r="DY101" t="str">
        <f>AND(#REF!,"AAAAAHb/P4A=")</f>
        <v>#REF!</v>
      </c>
      <c r="DZ101" t="str">
        <f>AND(#REF!,"AAAAAHb/P4E=")</f>
        <v>#REF!</v>
      </c>
      <c r="EA101" t="str">
        <f>AND(#REF!,"AAAAAHb/P4I=")</f>
        <v>#REF!</v>
      </c>
      <c r="EB101" t="str">
        <f>AND(#REF!,"AAAAAHb/P4M=")</f>
        <v>#REF!</v>
      </c>
      <c r="EC101" t="str">
        <f>AND(#REF!,"AAAAAHb/P4Q=")</f>
        <v>#REF!</v>
      </c>
      <c r="ED101" t="str">
        <f>AND(#REF!,"AAAAAHb/P4U=")</f>
        <v>#REF!</v>
      </c>
      <c r="EE101" t="str">
        <f>AND(#REF!,"AAAAAHb/P4Y=")</f>
        <v>#REF!</v>
      </c>
      <c r="EF101" t="str">
        <f>AND(#REF!,"AAAAAHb/P4c=")</f>
        <v>#REF!</v>
      </c>
      <c r="EG101" t="str">
        <f>AND(#REF!,"AAAAAHb/P4g=")</f>
        <v>#REF!</v>
      </c>
      <c r="EH101" t="str">
        <f>AND(#REF!,"AAAAAHb/P4k=")</f>
        <v>#REF!</v>
      </c>
      <c r="EI101" t="str">
        <f>AND(#REF!,"AAAAAHb/P4o=")</f>
        <v>#REF!</v>
      </c>
      <c r="EJ101" t="str">
        <f>AND(#REF!,"AAAAAHb/P4s=")</f>
        <v>#REF!</v>
      </c>
      <c r="EK101" t="str">
        <f>AND(#REF!,"AAAAAHb/P4w=")</f>
        <v>#REF!</v>
      </c>
      <c r="EL101" t="str">
        <f>AND(#REF!,"AAAAAHb/P40=")</f>
        <v>#REF!</v>
      </c>
      <c r="EM101" t="str">
        <f>AND(#REF!,"AAAAAHb/P44=")</f>
        <v>#REF!</v>
      </c>
      <c r="EN101" t="str">
        <f>AND(#REF!,"AAAAAHb/P48=")</f>
        <v>#REF!</v>
      </c>
      <c r="EO101" t="str">
        <f>AND(#REF!,"AAAAAHb/P5A=")</f>
        <v>#REF!</v>
      </c>
      <c r="EP101" t="str">
        <f>AND(#REF!,"AAAAAHb/P5E=")</f>
        <v>#REF!</v>
      </c>
      <c r="EQ101" t="str">
        <f>AND(#REF!,"AAAAAHb/P5I=")</f>
        <v>#REF!</v>
      </c>
      <c r="ER101" t="str">
        <f>AND(#REF!,"AAAAAHb/P5M=")</f>
        <v>#REF!</v>
      </c>
      <c r="ES101" t="str">
        <f>AND(#REF!,"AAAAAHb/P5Q=")</f>
        <v>#REF!</v>
      </c>
      <c r="ET101" t="str">
        <f>AND(#REF!,"AAAAAHb/P5U=")</f>
        <v>#REF!</v>
      </c>
      <c r="EU101" t="str">
        <f>AND(#REF!,"AAAAAHb/P5Y=")</f>
        <v>#REF!</v>
      </c>
      <c r="EV101" t="str">
        <f>AND(#REF!,"AAAAAHb/P5c=")</f>
        <v>#REF!</v>
      </c>
      <c r="EW101" t="str">
        <f>AND(#REF!,"AAAAAHb/P5g=")</f>
        <v>#REF!</v>
      </c>
      <c r="EX101" t="str">
        <f>AND(#REF!,"AAAAAHb/P5k=")</f>
        <v>#REF!</v>
      </c>
      <c r="EY101" t="str">
        <f>AND(#REF!,"AAAAAHb/P5o=")</f>
        <v>#REF!</v>
      </c>
      <c r="EZ101" t="str">
        <f>AND(#REF!,"AAAAAHb/P5s=")</f>
        <v>#REF!</v>
      </c>
      <c r="FA101" t="str">
        <f>AND(#REF!,"AAAAAHb/P5w=")</f>
        <v>#REF!</v>
      </c>
      <c r="FB101" t="str">
        <f>AND(#REF!,"AAAAAHb/P50=")</f>
        <v>#REF!</v>
      </c>
      <c r="FC101" t="str">
        <f>AND(#REF!,"AAAAAHb/P54=")</f>
        <v>#REF!</v>
      </c>
      <c r="FD101" t="str">
        <f>AND(#REF!,"AAAAAHb/P58=")</f>
        <v>#REF!</v>
      </c>
      <c r="FE101" t="str">
        <f>AND(#REF!,"AAAAAHb/P6A=")</f>
        <v>#REF!</v>
      </c>
      <c r="FF101" t="str">
        <f>AND(#REF!,"AAAAAHb/P6E=")</f>
        <v>#REF!</v>
      </c>
      <c r="FG101" t="str">
        <f>AND(#REF!,"AAAAAHb/P6I=")</f>
        <v>#REF!</v>
      </c>
      <c r="FH101" t="str">
        <f>AND(#REF!,"AAAAAHb/P6M=")</f>
        <v>#REF!</v>
      </c>
      <c r="FI101" t="str">
        <f>AND(#REF!,"AAAAAHb/P6Q=")</f>
        <v>#REF!</v>
      </c>
      <c r="FJ101" t="str">
        <f>AND(#REF!,"AAAAAHb/P6U=")</f>
        <v>#REF!</v>
      </c>
      <c r="FK101" t="str">
        <f>AND(#REF!,"AAAAAHb/P6Y=")</f>
        <v>#REF!</v>
      </c>
      <c r="FL101" t="str">
        <f>AND(#REF!,"AAAAAHb/P6c=")</f>
        <v>#REF!</v>
      </c>
      <c r="FM101" t="str">
        <f>AND(#REF!,"AAAAAHb/P6g=")</f>
        <v>#REF!</v>
      </c>
      <c r="FN101" t="str">
        <f>AND(#REF!,"AAAAAHb/P6k=")</f>
        <v>#REF!</v>
      </c>
      <c r="FO101" t="str">
        <f>AND(#REF!,"AAAAAHb/P6o=")</f>
        <v>#REF!</v>
      </c>
      <c r="FP101" t="str">
        <f>AND(#REF!,"AAAAAHb/P6s=")</f>
        <v>#REF!</v>
      </c>
      <c r="FQ101" t="str">
        <f>AND(#REF!,"AAAAAHb/P6w=")</f>
        <v>#REF!</v>
      </c>
      <c r="FR101" t="str">
        <f>AND(#REF!,"AAAAAHb/P60=")</f>
        <v>#REF!</v>
      </c>
      <c r="FS101" t="str">
        <f>AND(#REF!,"AAAAAHb/P64=")</f>
        <v>#REF!</v>
      </c>
      <c r="FT101" t="str">
        <f>AND(#REF!,"AAAAAHb/P68=")</f>
        <v>#REF!</v>
      </c>
      <c r="FU101" t="str">
        <f>AND(#REF!,"AAAAAHb/P7A=")</f>
        <v>#REF!</v>
      </c>
      <c r="FV101" t="str">
        <f>AND(#REF!,"AAAAAHb/P7E=")</f>
        <v>#REF!</v>
      </c>
      <c r="FW101" t="str">
        <f>AND(#REF!,"AAAAAHb/P7I=")</f>
        <v>#REF!</v>
      </c>
      <c r="FX101" t="str">
        <f>AND(#REF!,"AAAAAHb/P7M=")</f>
        <v>#REF!</v>
      </c>
      <c r="FY101" t="str">
        <f>AND(#REF!,"AAAAAHb/P7Q=")</f>
        <v>#REF!</v>
      </c>
      <c r="FZ101" t="str">
        <f>AND(#REF!,"AAAAAHb/P7U=")</f>
        <v>#REF!</v>
      </c>
      <c r="GA101" t="str">
        <f>AND(#REF!,"AAAAAHb/P7Y=")</f>
        <v>#REF!</v>
      </c>
      <c r="GB101" t="str">
        <f>IF(#REF!,"AAAAAHb/P7c=",0)</f>
        <v>#REF!</v>
      </c>
      <c r="GC101" t="str">
        <f>AND(#REF!,"AAAAAHb/P7g=")</f>
        <v>#REF!</v>
      </c>
      <c r="GD101" t="str">
        <f>AND(#REF!,"AAAAAHb/P7k=")</f>
        <v>#REF!</v>
      </c>
      <c r="GE101" t="str">
        <f>AND(#REF!,"AAAAAHb/P7o=")</f>
        <v>#REF!</v>
      </c>
      <c r="GF101" t="str">
        <f>AND(#REF!,"AAAAAHb/P7s=")</f>
        <v>#REF!</v>
      </c>
      <c r="GG101" t="str">
        <f>AND(#REF!,"AAAAAHb/P7w=")</f>
        <v>#REF!</v>
      </c>
      <c r="GH101" t="str">
        <f>AND(#REF!,"AAAAAHb/P70=")</f>
        <v>#REF!</v>
      </c>
      <c r="GI101" t="str">
        <f>AND(#REF!,"AAAAAHb/P74=")</f>
        <v>#REF!</v>
      </c>
      <c r="GJ101" t="str">
        <f>AND(#REF!,"AAAAAHb/P78=")</f>
        <v>#REF!</v>
      </c>
      <c r="GK101" t="str">
        <f>AND(#REF!,"AAAAAHb/P8A=")</f>
        <v>#REF!</v>
      </c>
      <c r="GL101" t="str">
        <f>AND(#REF!,"AAAAAHb/P8E=")</f>
        <v>#REF!</v>
      </c>
      <c r="GM101" t="str">
        <f>AND(#REF!,"AAAAAHb/P8I=")</f>
        <v>#REF!</v>
      </c>
      <c r="GN101" t="str">
        <f>AND(#REF!,"AAAAAHb/P8M=")</f>
        <v>#REF!</v>
      </c>
      <c r="GO101" t="str">
        <f>AND(#REF!,"AAAAAHb/P8Q=")</f>
        <v>#REF!</v>
      </c>
      <c r="GP101" t="str">
        <f>AND(#REF!,"AAAAAHb/P8U=")</f>
        <v>#REF!</v>
      </c>
      <c r="GQ101" t="str">
        <f>AND(#REF!,"AAAAAHb/P8Y=")</f>
        <v>#REF!</v>
      </c>
      <c r="GR101" t="str">
        <f>AND(#REF!,"AAAAAHb/P8c=")</f>
        <v>#REF!</v>
      </c>
      <c r="GS101" t="str">
        <f>AND(#REF!,"AAAAAHb/P8g=")</f>
        <v>#REF!</v>
      </c>
      <c r="GT101" t="str">
        <f>AND(#REF!,"AAAAAHb/P8k=")</f>
        <v>#REF!</v>
      </c>
      <c r="GU101" t="str">
        <f>AND(#REF!,"AAAAAHb/P8o=")</f>
        <v>#REF!</v>
      </c>
      <c r="GV101" t="str">
        <f>AND(#REF!,"AAAAAHb/P8s=")</f>
        <v>#REF!</v>
      </c>
      <c r="GW101" t="str">
        <f>AND(#REF!,"AAAAAHb/P8w=")</f>
        <v>#REF!</v>
      </c>
      <c r="GX101" t="str">
        <f>AND(#REF!,"AAAAAHb/P80=")</f>
        <v>#REF!</v>
      </c>
      <c r="GY101" t="str">
        <f>AND(#REF!,"AAAAAHb/P84=")</f>
        <v>#REF!</v>
      </c>
      <c r="GZ101" t="str">
        <f>AND(#REF!,"AAAAAHb/P88=")</f>
        <v>#REF!</v>
      </c>
      <c r="HA101" t="str">
        <f>AND(#REF!,"AAAAAHb/P9A=")</f>
        <v>#REF!</v>
      </c>
      <c r="HB101" t="str">
        <f>AND(#REF!,"AAAAAHb/P9E=")</f>
        <v>#REF!</v>
      </c>
      <c r="HC101" t="str">
        <f>AND(#REF!,"AAAAAHb/P9I=")</f>
        <v>#REF!</v>
      </c>
      <c r="HD101" t="str">
        <f>AND(#REF!,"AAAAAHb/P9M=")</f>
        <v>#REF!</v>
      </c>
      <c r="HE101" t="str">
        <f>AND(#REF!,"AAAAAHb/P9Q=")</f>
        <v>#REF!</v>
      </c>
      <c r="HF101" t="str">
        <f>AND(#REF!,"AAAAAHb/P9U=")</f>
        <v>#REF!</v>
      </c>
      <c r="HG101" t="str">
        <f>AND(#REF!,"AAAAAHb/P9Y=")</f>
        <v>#REF!</v>
      </c>
      <c r="HH101" t="str">
        <f>AND(#REF!,"AAAAAHb/P9c=")</f>
        <v>#REF!</v>
      </c>
      <c r="HI101" t="str">
        <f>AND(#REF!,"AAAAAHb/P9g=")</f>
        <v>#REF!</v>
      </c>
      <c r="HJ101" t="str">
        <f>AND(#REF!,"AAAAAHb/P9k=")</f>
        <v>#REF!</v>
      </c>
      <c r="HK101" t="str">
        <f>AND(#REF!,"AAAAAHb/P9o=")</f>
        <v>#REF!</v>
      </c>
      <c r="HL101" t="str">
        <f>AND(#REF!,"AAAAAHb/P9s=")</f>
        <v>#REF!</v>
      </c>
      <c r="HM101" t="str">
        <f>AND(#REF!,"AAAAAHb/P9w=")</f>
        <v>#REF!</v>
      </c>
      <c r="HN101" t="str">
        <f>AND(#REF!,"AAAAAHb/P90=")</f>
        <v>#REF!</v>
      </c>
      <c r="HO101" t="str">
        <f>AND(#REF!,"AAAAAHb/P94=")</f>
        <v>#REF!</v>
      </c>
      <c r="HP101" t="str">
        <f>AND(#REF!,"AAAAAHb/P98=")</f>
        <v>#REF!</v>
      </c>
      <c r="HQ101" t="str">
        <f>AND(#REF!,"AAAAAHb/P+A=")</f>
        <v>#REF!</v>
      </c>
      <c r="HR101" t="str">
        <f>AND(#REF!,"AAAAAHb/P+E=")</f>
        <v>#REF!</v>
      </c>
      <c r="HS101" t="str">
        <f>AND(#REF!,"AAAAAHb/P+I=")</f>
        <v>#REF!</v>
      </c>
      <c r="HT101" t="str">
        <f>AND(#REF!,"AAAAAHb/P+M=")</f>
        <v>#REF!</v>
      </c>
      <c r="HU101" t="str">
        <f>AND(#REF!,"AAAAAHb/P+Q=")</f>
        <v>#REF!</v>
      </c>
      <c r="HV101" t="str">
        <f>AND(#REF!,"AAAAAHb/P+U=")</f>
        <v>#REF!</v>
      </c>
      <c r="HW101" t="str">
        <f>AND(#REF!,"AAAAAHb/P+Y=")</f>
        <v>#REF!</v>
      </c>
      <c r="HX101" t="str">
        <f>AND(#REF!,"AAAAAHb/P+c=")</f>
        <v>#REF!</v>
      </c>
      <c r="HY101" t="str">
        <f>AND(#REF!,"AAAAAHb/P+g=")</f>
        <v>#REF!</v>
      </c>
      <c r="HZ101" t="str">
        <f>AND(#REF!,"AAAAAHb/P+k=")</f>
        <v>#REF!</v>
      </c>
      <c r="IA101" t="str">
        <f>AND(#REF!,"AAAAAHb/P+o=")</f>
        <v>#REF!</v>
      </c>
      <c r="IB101" t="str">
        <f>AND(#REF!,"AAAAAHb/P+s=")</f>
        <v>#REF!</v>
      </c>
      <c r="IC101" t="str">
        <f>AND(#REF!,"AAAAAHb/P+w=")</f>
        <v>#REF!</v>
      </c>
      <c r="ID101" t="str">
        <f>AND(#REF!,"AAAAAHb/P+0=")</f>
        <v>#REF!</v>
      </c>
      <c r="IE101" t="str">
        <f>AND(#REF!,"AAAAAHb/P+4=")</f>
        <v>#REF!</v>
      </c>
      <c r="IF101" t="str">
        <f>AND(#REF!,"AAAAAHb/P+8=")</f>
        <v>#REF!</v>
      </c>
      <c r="IG101" t="str">
        <f>AND(#REF!,"AAAAAHb/P/A=")</f>
        <v>#REF!</v>
      </c>
      <c r="IH101" t="str">
        <f>AND(#REF!,"AAAAAHb/P/E=")</f>
        <v>#REF!</v>
      </c>
      <c r="II101" t="str">
        <f>AND(#REF!,"AAAAAHb/P/I=")</f>
        <v>#REF!</v>
      </c>
      <c r="IJ101" t="str">
        <f>AND(#REF!,"AAAAAHb/P/M=")</f>
        <v>#REF!</v>
      </c>
      <c r="IK101" t="str">
        <f>AND(#REF!,"AAAAAHb/P/Q=")</f>
        <v>#REF!</v>
      </c>
      <c r="IL101" t="str">
        <f>AND(#REF!,"AAAAAHb/P/U=")</f>
        <v>#REF!</v>
      </c>
      <c r="IM101" t="str">
        <f>AND(#REF!,"AAAAAHb/P/Y=")</f>
        <v>#REF!</v>
      </c>
      <c r="IN101" t="str">
        <f>AND(#REF!,"AAAAAHb/P/c=")</f>
        <v>#REF!</v>
      </c>
      <c r="IO101" t="str">
        <f>AND(#REF!,"AAAAAHb/P/g=")</f>
        <v>#REF!</v>
      </c>
      <c r="IP101" t="str">
        <f>AND(#REF!,"AAAAAHb/P/k=")</f>
        <v>#REF!</v>
      </c>
      <c r="IQ101" t="str">
        <f>AND(#REF!,"AAAAAHb/P/o=")</f>
        <v>#REF!</v>
      </c>
      <c r="IR101" t="str">
        <f>AND(#REF!,"AAAAAHb/P/s=")</f>
        <v>#REF!</v>
      </c>
      <c r="IS101" t="str">
        <f>AND(#REF!,"AAAAAHb/P/w=")</f>
        <v>#REF!</v>
      </c>
      <c r="IT101" t="str">
        <f>AND(#REF!,"AAAAAHb/P/0=")</f>
        <v>#REF!</v>
      </c>
      <c r="IU101" t="str">
        <f>AND(#REF!,"AAAAAHb/P/4=")</f>
        <v>#REF!</v>
      </c>
      <c r="IV101" t="str">
        <f>AND(#REF!,"AAAAAHb/P/8=")</f>
        <v>#REF!</v>
      </c>
    </row>
    <row r="102" ht="15.75" customHeight="1">
      <c r="A102" t="str">
        <f>AND(#REF!,"AAAAAH//1gA=")</f>
        <v>#REF!</v>
      </c>
      <c r="B102" t="str">
        <f>AND(#REF!,"AAAAAH//1gE=")</f>
        <v>#REF!</v>
      </c>
      <c r="C102" t="str">
        <f>AND(#REF!,"AAAAAH//1gI=")</f>
        <v>#REF!</v>
      </c>
      <c r="D102" t="str">
        <f>IF(#REF!,"AAAAAH//1gM=",0)</f>
        <v>#REF!</v>
      </c>
      <c r="E102" t="str">
        <f>AND(#REF!,"AAAAAH//1gQ=")</f>
        <v>#REF!</v>
      </c>
      <c r="F102" t="str">
        <f>AND(#REF!,"AAAAAH//1gU=")</f>
        <v>#REF!</v>
      </c>
      <c r="G102" t="str">
        <f>AND(#REF!,"AAAAAH//1gY=")</f>
        <v>#REF!</v>
      </c>
      <c r="H102" t="str">
        <f>AND(#REF!,"AAAAAH//1gc=")</f>
        <v>#REF!</v>
      </c>
      <c r="I102" t="str">
        <f>AND(#REF!,"AAAAAH//1gg=")</f>
        <v>#REF!</v>
      </c>
      <c r="J102" t="str">
        <f>AND(#REF!,"AAAAAH//1gk=")</f>
        <v>#REF!</v>
      </c>
      <c r="K102" t="str">
        <f>AND(#REF!,"AAAAAH//1go=")</f>
        <v>#REF!</v>
      </c>
      <c r="L102" t="str">
        <f>AND(#REF!,"AAAAAH//1gs=")</f>
        <v>#REF!</v>
      </c>
      <c r="M102" t="str">
        <f>AND(#REF!,"AAAAAH//1gw=")</f>
        <v>#REF!</v>
      </c>
      <c r="N102" t="str">
        <f>AND(#REF!,"AAAAAH//1g0=")</f>
        <v>#REF!</v>
      </c>
      <c r="O102" t="str">
        <f>AND(#REF!,"AAAAAH//1g4=")</f>
        <v>#REF!</v>
      </c>
      <c r="P102" t="str">
        <f>AND(#REF!,"AAAAAH//1g8=")</f>
        <v>#REF!</v>
      </c>
      <c r="Q102" t="str">
        <f>AND(#REF!,"AAAAAH//1hA=")</f>
        <v>#REF!</v>
      </c>
      <c r="R102" t="str">
        <f>AND(#REF!,"AAAAAH//1hE=")</f>
        <v>#REF!</v>
      </c>
      <c r="S102" t="str">
        <f>AND(#REF!,"AAAAAH//1hI=")</f>
        <v>#REF!</v>
      </c>
      <c r="T102" t="str">
        <f>AND(#REF!,"AAAAAH//1hM=")</f>
        <v>#REF!</v>
      </c>
      <c r="U102" t="str">
        <f>AND(#REF!,"AAAAAH//1hQ=")</f>
        <v>#REF!</v>
      </c>
      <c r="V102" t="str">
        <f>AND(#REF!,"AAAAAH//1hU=")</f>
        <v>#REF!</v>
      </c>
      <c r="W102" t="str">
        <f>AND(#REF!,"AAAAAH//1hY=")</f>
        <v>#REF!</v>
      </c>
      <c r="X102" t="str">
        <f>AND(#REF!,"AAAAAH//1hc=")</f>
        <v>#REF!</v>
      </c>
      <c r="Y102" t="str">
        <f>AND(#REF!,"AAAAAH//1hg=")</f>
        <v>#REF!</v>
      </c>
      <c r="Z102" t="str">
        <f>AND(#REF!,"AAAAAH//1hk=")</f>
        <v>#REF!</v>
      </c>
      <c r="AA102" t="str">
        <f>AND(#REF!,"AAAAAH//1ho=")</f>
        <v>#REF!</v>
      </c>
      <c r="AB102" t="str">
        <f>AND(#REF!,"AAAAAH//1hs=")</f>
        <v>#REF!</v>
      </c>
      <c r="AC102" t="str">
        <f>AND(#REF!,"AAAAAH//1hw=")</f>
        <v>#REF!</v>
      </c>
      <c r="AD102" t="str">
        <f>AND(#REF!,"AAAAAH//1h0=")</f>
        <v>#REF!</v>
      </c>
      <c r="AE102" t="str">
        <f>AND(#REF!,"AAAAAH//1h4=")</f>
        <v>#REF!</v>
      </c>
      <c r="AF102" t="str">
        <f>AND(#REF!,"AAAAAH//1h8=")</f>
        <v>#REF!</v>
      </c>
      <c r="AG102" t="str">
        <f>AND(#REF!,"AAAAAH//1iA=")</f>
        <v>#REF!</v>
      </c>
      <c r="AH102" t="str">
        <f>AND(#REF!,"AAAAAH//1iE=")</f>
        <v>#REF!</v>
      </c>
      <c r="AI102" t="str">
        <f>AND(#REF!,"AAAAAH//1iI=")</f>
        <v>#REF!</v>
      </c>
      <c r="AJ102" t="str">
        <f>AND(#REF!,"AAAAAH//1iM=")</f>
        <v>#REF!</v>
      </c>
      <c r="AK102" t="str">
        <f>AND(#REF!,"AAAAAH//1iQ=")</f>
        <v>#REF!</v>
      </c>
      <c r="AL102" t="str">
        <f>AND(#REF!,"AAAAAH//1iU=")</f>
        <v>#REF!</v>
      </c>
      <c r="AM102" t="str">
        <f>AND(#REF!,"AAAAAH//1iY=")</f>
        <v>#REF!</v>
      </c>
      <c r="AN102" t="str">
        <f>AND(#REF!,"AAAAAH//1ic=")</f>
        <v>#REF!</v>
      </c>
      <c r="AO102" t="str">
        <f>AND(#REF!,"AAAAAH//1ig=")</f>
        <v>#REF!</v>
      </c>
      <c r="AP102" t="str">
        <f>AND(#REF!,"AAAAAH//1ik=")</f>
        <v>#REF!</v>
      </c>
      <c r="AQ102" t="str">
        <f>AND(#REF!,"AAAAAH//1io=")</f>
        <v>#REF!</v>
      </c>
      <c r="AR102" t="str">
        <f>AND(#REF!,"AAAAAH//1is=")</f>
        <v>#REF!</v>
      </c>
      <c r="AS102" t="str">
        <f>AND(#REF!,"AAAAAH//1iw=")</f>
        <v>#REF!</v>
      </c>
      <c r="AT102" t="str">
        <f>AND(#REF!,"AAAAAH//1i0=")</f>
        <v>#REF!</v>
      </c>
      <c r="AU102" t="str">
        <f>AND(#REF!,"AAAAAH//1i4=")</f>
        <v>#REF!</v>
      </c>
      <c r="AV102" t="str">
        <f>AND(#REF!,"AAAAAH//1i8=")</f>
        <v>#REF!</v>
      </c>
      <c r="AW102" t="str">
        <f>AND(#REF!,"AAAAAH//1jA=")</f>
        <v>#REF!</v>
      </c>
      <c r="AX102" t="str">
        <f>AND(#REF!,"AAAAAH//1jE=")</f>
        <v>#REF!</v>
      </c>
      <c r="AY102" t="str">
        <f>AND(#REF!,"AAAAAH//1jI=")</f>
        <v>#REF!</v>
      </c>
      <c r="AZ102" t="str">
        <f>AND(#REF!,"AAAAAH//1jM=")</f>
        <v>#REF!</v>
      </c>
      <c r="BA102" t="str">
        <f>AND(#REF!,"AAAAAH//1jQ=")</f>
        <v>#REF!</v>
      </c>
      <c r="BB102" t="str">
        <f>AND(#REF!,"AAAAAH//1jU=")</f>
        <v>#REF!</v>
      </c>
      <c r="BC102" t="str">
        <f>AND(#REF!,"AAAAAH//1jY=")</f>
        <v>#REF!</v>
      </c>
      <c r="BD102" t="str">
        <f>AND(#REF!,"AAAAAH//1jc=")</f>
        <v>#REF!</v>
      </c>
      <c r="BE102" t="str">
        <f>AND(#REF!,"AAAAAH//1jg=")</f>
        <v>#REF!</v>
      </c>
      <c r="BF102" t="str">
        <f>AND(#REF!,"AAAAAH//1jk=")</f>
        <v>#REF!</v>
      </c>
      <c r="BG102" t="str">
        <f>AND(#REF!,"AAAAAH//1jo=")</f>
        <v>#REF!</v>
      </c>
      <c r="BH102" t="str">
        <f>AND(#REF!,"AAAAAH//1js=")</f>
        <v>#REF!</v>
      </c>
      <c r="BI102" t="str">
        <f>AND(#REF!,"AAAAAH//1jw=")</f>
        <v>#REF!</v>
      </c>
      <c r="BJ102" t="str">
        <f>AND(#REF!,"AAAAAH//1j0=")</f>
        <v>#REF!</v>
      </c>
      <c r="BK102" t="str">
        <f>AND(#REF!,"AAAAAH//1j4=")</f>
        <v>#REF!</v>
      </c>
      <c r="BL102" t="str">
        <f>AND(#REF!,"AAAAAH//1j8=")</f>
        <v>#REF!</v>
      </c>
      <c r="BM102" t="str">
        <f>AND(#REF!,"AAAAAH//1kA=")</f>
        <v>#REF!</v>
      </c>
      <c r="BN102" t="str">
        <f>AND(#REF!,"AAAAAH//1kE=")</f>
        <v>#REF!</v>
      </c>
      <c r="BO102" t="str">
        <f>AND(#REF!,"AAAAAH//1kI=")</f>
        <v>#REF!</v>
      </c>
      <c r="BP102" t="str">
        <f>AND(#REF!,"AAAAAH//1kM=")</f>
        <v>#REF!</v>
      </c>
      <c r="BQ102" t="str">
        <f>AND(#REF!,"AAAAAH//1kQ=")</f>
        <v>#REF!</v>
      </c>
      <c r="BR102" t="str">
        <f>AND(#REF!,"AAAAAH//1kU=")</f>
        <v>#REF!</v>
      </c>
      <c r="BS102" t="str">
        <f>AND(#REF!,"AAAAAH//1kY=")</f>
        <v>#REF!</v>
      </c>
      <c r="BT102" t="str">
        <f>AND(#REF!,"AAAAAH//1kc=")</f>
        <v>#REF!</v>
      </c>
      <c r="BU102" t="str">
        <f>AND(#REF!,"AAAAAH//1kg=")</f>
        <v>#REF!</v>
      </c>
      <c r="BV102" t="str">
        <f>AND(#REF!,"AAAAAH//1kk=")</f>
        <v>#REF!</v>
      </c>
      <c r="BW102" t="str">
        <f>AND(#REF!,"AAAAAH//1ko=")</f>
        <v>#REF!</v>
      </c>
      <c r="BX102" t="str">
        <f>AND(#REF!,"AAAAAH//1ks=")</f>
        <v>#REF!</v>
      </c>
      <c r="BY102" t="str">
        <f>AND(#REF!,"AAAAAH//1kw=")</f>
        <v>#REF!</v>
      </c>
      <c r="BZ102" t="str">
        <f>AND(#REF!,"AAAAAH//1k0=")</f>
        <v>#REF!</v>
      </c>
      <c r="CA102" t="str">
        <f>AND(#REF!,"AAAAAH//1k4=")</f>
        <v>#REF!</v>
      </c>
      <c r="CB102" t="str">
        <f>IF(#REF!,"AAAAAH//1k8=",0)</f>
        <v>#REF!</v>
      </c>
      <c r="CC102" t="str">
        <f>AND(#REF!,"AAAAAH//1lA=")</f>
        <v>#REF!</v>
      </c>
      <c r="CD102" t="str">
        <f>AND(#REF!,"AAAAAH//1lE=")</f>
        <v>#REF!</v>
      </c>
      <c r="CE102" t="str">
        <f>AND(#REF!,"AAAAAH//1lI=")</f>
        <v>#REF!</v>
      </c>
      <c r="CF102" t="str">
        <f>AND(#REF!,"AAAAAH//1lM=")</f>
        <v>#REF!</v>
      </c>
      <c r="CG102" t="str">
        <f>AND(#REF!,"AAAAAH//1lQ=")</f>
        <v>#REF!</v>
      </c>
      <c r="CH102" t="str">
        <f>AND(#REF!,"AAAAAH//1lU=")</f>
        <v>#REF!</v>
      </c>
      <c r="CI102" t="str">
        <f>AND(#REF!,"AAAAAH//1lY=")</f>
        <v>#REF!</v>
      </c>
      <c r="CJ102" t="str">
        <f>AND(#REF!,"AAAAAH//1lc=")</f>
        <v>#REF!</v>
      </c>
      <c r="CK102" t="str">
        <f>AND(#REF!,"AAAAAH//1lg=")</f>
        <v>#REF!</v>
      </c>
      <c r="CL102" t="str">
        <f>AND(#REF!,"AAAAAH//1lk=")</f>
        <v>#REF!</v>
      </c>
      <c r="CM102" t="str">
        <f>AND(#REF!,"AAAAAH//1lo=")</f>
        <v>#REF!</v>
      </c>
      <c r="CN102" t="str">
        <f>AND(#REF!,"AAAAAH//1ls=")</f>
        <v>#REF!</v>
      </c>
      <c r="CO102" t="str">
        <f>AND(#REF!,"AAAAAH//1lw=")</f>
        <v>#REF!</v>
      </c>
      <c r="CP102" t="str">
        <f>AND(#REF!,"AAAAAH//1l0=")</f>
        <v>#REF!</v>
      </c>
      <c r="CQ102" t="str">
        <f>AND(#REF!,"AAAAAH//1l4=")</f>
        <v>#REF!</v>
      </c>
      <c r="CR102" t="str">
        <f>AND(#REF!,"AAAAAH//1l8=")</f>
        <v>#REF!</v>
      </c>
      <c r="CS102" t="str">
        <f>AND(#REF!,"AAAAAH//1mA=")</f>
        <v>#REF!</v>
      </c>
      <c r="CT102" t="str">
        <f>AND(#REF!,"AAAAAH//1mE=")</f>
        <v>#REF!</v>
      </c>
      <c r="CU102" t="str">
        <f>AND(#REF!,"AAAAAH//1mI=")</f>
        <v>#REF!</v>
      </c>
      <c r="CV102" t="str">
        <f>AND(#REF!,"AAAAAH//1mM=")</f>
        <v>#REF!</v>
      </c>
      <c r="CW102" t="str">
        <f>AND(#REF!,"AAAAAH//1mQ=")</f>
        <v>#REF!</v>
      </c>
      <c r="CX102" t="str">
        <f>AND(#REF!,"AAAAAH//1mU=")</f>
        <v>#REF!</v>
      </c>
      <c r="CY102" t="str">
        <f>AND(#REF!,"AAAAAH//1mY=")</f>
        <v>#REF!</v>
      </c>
      <c r="CZ102" t="str">
        <f>AND(#REF!,"AAAAAH//1mc=")</f>
        <v>#REF!</v>
      </c>
      <c r="DA102" t="str">
        <f>AND(#REF!,"AAAAAH//1mg=")</f>
        <v>#REF!</v>
      </c>
      <c r="DB102" t="str">
        <f>AND(#REF!,"AAAAAH//1mk=")</f>
        <v>#REF!</v>
      </c>
      <c r="DC102" t="str">
        <f>AND(#REF!,"AAAAAH//1mo=")</f>
        <v>#REF!</v>
      </c>
      <c r="DD102" t="str">
        <f>AND(#REF!,"AAAAAH//1ms=")</f>
        <v>#REF!</v>
      </c>
      <c r="DE102" t="str">
        <f>AND(#REF!,"AAAAAH//1mw=")</f>
        <v>#REF!</v>
      </c>
      <c r="DF102" t="str">
        <f>AND(#REF!,"AAAAAH//1m0=")</f>
        <v>#REF!</v>
      </c>
      <c r="DG102" t="str">
        <f>AND(#REF!,"AAAAAH//1m4=")</f>
        <v>#REF!</v>
      </c>
      <c r="DH102" t="str">
        <f>AND(#REF!,"AAAAAH//1m8=")</f>
        <v>#REF!</v>
      </c>
      <c r="DI102" t="str">
        <f>AND(#REF!,"AAAAAH//1nA=")</f>
        <v>#REF!</v>
      </c>
      <c r="DJ102" t="str">
        <f>AND(#REF!,"AAAAAH//1nE=")</f>
        <v>#REF!</v>
      </c>
      <c r="DK102" t="str">
        <f>AND(#REF!,"AAAAAH//1nI=")</f>
        <v>#REF!</v>
      </c>
      <c r="DL102" t="str">
        <f>AND(#REF!,"AAAAAH//1nM=")</f>
        <v>#REF!</v>
      </c>
      <c r="DM102" t="str">
        <f>AND(#REF!,"AAAAAH//1nQ=")</f>
        <v>#REF!</v>
      </c>
      <c r="DN102" t="str">
        <f>AND(#REF!,"AAAAAH//1nU=")</f>
        <v>#REF!</v>
      </c>
      <c r="DO102" t="str">
        <f>AND(#REF!,"AAAAAH//1nY=")</f>
        <v>#REF!</v>
      </c>
      <c r="DP102" t="str">
        <f>AND(#REF!,"AAAAAH//1nc=")</f>
        <v>#REF!</v>
      </c>
      <c r="DQ102" t="str">
        <f>AND(#REF!,"AAAAAH//1ng=")</f>
        <v>#REF!</v>
      </c>
      <c r="DR102" t="str">
        <f>AND(#REF!,"AAAAAH//1nk=")</f>
        <v>#REF!</v>
      </c>
      <c r="DS102" t="str">
        <f>AND(#REF!,"AAAAAH//1no=")</f>
        <v>#REF!</v>
      </c>
      <c r="DT102" t="str">
        <f>AND(#REF!,"AAAAAH//1ns=")</f>
        <v>#REF!</v>
      </c>
      <c r="DU102" t="str">
        <f>AND(#REF!,"AAAAAH//1nw=")</f>
        <v>#REF!</v>
      </c>
      <c r="DV102" t="str">
        <f>AND(#REF!,"AAAAAH//1n0=")</f>
        <v>#REF!</v>
      </c>
      <c r="DW102" t="str">
        <f>AND(#REF!,"AAAAAH//1n4=")</f>
        <v>#REF!</v>
      </c>
      <c r="DX102" t="str">
        <f>AND(#REF!,"AAAAAH//1n8=")</f>
        <v>#REF!</v>
      </c>
      <c r="DY102" t="str">
        <f>AND(#REF!,"AAAAAH//1oA=")</f>
        <v>#REF!</v>
      </c>
      <c r="DZ102" t="str">
        <f>AND(#REF!,"AAAAAH//1oE=")</f>
        <v>#REF!</v>
      </c>
      <c r="EA102" t="str">
        <f>AND(#REF!,"AAAAAH//1oI=")</f>
        <v>#REF!</v>
      </c>
      <c r="EB102" t="str">
        <f>AND(#REF!,"AAAAAH//1oM=")</f>
        <v>#REF!</v>
      </c>
      <c r="EC102" t="str">
        <f>AND(#REF!,"AAAAAH//1oQ=")</f>
        <v>#REF!</v>
      </c>
      <c r="ED102" t="str">
        <f>AND(#REF!,"AAAAAH//1oU=")</f>
        <v>#REF!</v>
      </c>
      <c r="EE102" t="str">
        <f>AND(#REF!,"AAAAAH//1oY=")</f>
        <v>#REF!</v>
      </c>
      <c r="EF102" t="str">
        <f>AND(#REF!,"AAAAAH//1oc=")</f>
        <v>#REF!</v>
      </c>
      <c r="EG102" t="str">
        <f>AND(#REF!,"AAAAAH//1og=")</f>
        <v>#REF!</v>
      </c>
      <c r="EH102" t="str">
        <f>AND(#REF!,"AAAAAH//1ok=")</f>
        <v>#REF!</v>
      </c>
      <c r="EI102" t="str">
        <f>AND(#REF!,"AAAAAH//1oo=")</f>
        <v>#REF!</v>
      </c>
      <c r="EJ102" t="str">
        <f>AND(#REF!,"AAAAAH//1os=")</f>
        <v>#REF!</v>
      </c>
      <c r="EK102" t="str">
        <f>AND(#REF!,"AAAAAH//1ow=")</f>
        <v>#REF!</v>
      </c>
      <c r="EL102" t="str">
        <f>AND(#REF!,"AAAAAH//1o0=")</f>
        <v>#REF!</v>
      </c>
      <c r="EM102" t="str">
        <f>AND(#REF!,"AAAAAH//1o4=")</f>
        <v>#REF!</v>
      </c>
      <c r="EN102" t="str">
        <f>AND(#REF!,"AAAAAH//1o8=")</f>
        <v>#REF!</v>
      </c>
      <c r="EO102" t="str">
        <f>AND(#REF!,"AAAAAH//1pA=")</f>
        <v>#REF!</v>
      </c>
      <c r="EP102" t="str">
        <f>AND(#REF!,"AAAAAH//1pE=")</f>
        <v>#REF!</v>
      </c>
      <c r="EQ102" t="str">
        <f>AND(#REF!,"AAAAAH//1pI=")</f>
        <v>#REF!</v>
      </c>
      <c r="ER102" t="str">
        <f>AND(#REF!,"AAAAAH//1pM=")</f>
        <v>#REF!</v>
      </c>
      <c r="ES102" t="str">
        <f>AND(#REF!,"AAAAAH//1pQ=")</f>
        <v>#REF!</v>
      </c>
      <c r="ET102" t="str">
        <f>AND(#REF!,"AAAAAH//1pU=")</f>
        <v>#REF!</v>
      </c>
      <c r="EU102" t="str">
        <f>AND(#REF!,"AAAAAH//1pY=")</f>
        <v>#REF!</v>
      </c>
      <c r="EV102" t="str">
        <f>AND(#REF!,"AAAAAH//1pc=")</f>
        <v>#REF!</v>
      </c>
      <c r="EW102" t="str">
        <f>AND(#REF!,"AAAAAH//1pg=")</f>
        <v>#REF!</v>
      </c>
      <c r="EX102" t="str">
        <f>AND(#REF!,"AAAAAH//1pk=")</f>
        <v>#REF!</v>
      </c>
      <c r="EY102" t="str">
        <f>AND(#REF!,"AAAAAH//1po=")</f>
        <v>#REF!</v>
      </c>
      <c r="EZ102" t="str">
        <f>IF(#REF!,"AAAAAH//1ps=",0)</f>
        <v>#REF!</v>
      </c>
      <c r="FA102" t="str">
        <f>AND(#REF!,"AAAAAH//1pw=")</f>
        <v>#REF!</v>
      </c>
      <c r="FB102" t="str">
        <f>AND(#REF!,"AAAAAH//1p0=")</f>
        <v>#REF!</v>
      </c>
      <c r="FC102" t="str">
        <f>AND(#REF!,"AAAAAH//1p4=")</f>
        <v>#REF!</v>
      </c>
      <c r="FD102" t="str">
        <f>AND(#REF!,"AAAAAH//1p8=")</f>
        <v>#REF!</v>
      </c>
      <c r="FE102" t="str">
        <f>AND(#REF!,"AAAAAH//1qA=")</f>
        <v>#REF!</v>
      </c>
      <c r="FF102" t="str">
        <f>AND(#REF!,"AAAAAH//1qE=")</f>
        <v>#REF!</v>
      </c>
      <c r="FG102" t="str">
        <f>AND(#REF!,"AAAAAH//1qI=")</f>
        <v>#REF!</v>
      </c>
      <c r="FH102" t="str">
        <f>AND(#REF!,"AAAAAH//1qM=")</f>
        <v>#REF!</v>
      </c>
      <c r="FI102" t="str">
        <f>AND(#REF!,"AAAAAH//1qQ=")</f>
        <v>#REF!</v>
      </c>
      <c r="FJ102" t="str">
        <f>AND(#REF!,"AAAAAH//1qU=")</f>
        <v>#REF!</v>
      </c>
      <c r="FK102" t="str">
        <f>AND(#REF!,"AAAAAH//1qY=")</f>
        <v>#REF!</v>
      </c>
      <c r="FL102" t="str">
        <f>AND(#REF!,"AAAAAH//1qc=")</f>
        <v>#REF!</v>
      </c>
      <c r="FM102" t="str">
        <f>AND(#REF!,"AAAAAH//1qg=")</f>
        <v>#REF!</v>
      </c>
      <c r="FN102" t="str">
        <f>AND(#REF!,"AAAAAH//1qk=")</f>
        <v>#REF!</v>
      </c>
      <c r="FO102" t="str">
        <f>AND(#REF!,"AAAAAH//1qo=")</f>
        <v>#REF!</v>
      </c>
      <c r="FP102" t="str">
        <f>AND(#REF!,"AAAAAH//1qs=")</f>
        <v>#REF!</v>
      </c>
      <c r="FQ102" t="str">
        <f>AND(#REF!,"AAAAAH//1qw=")</f>
        <v>#REF!</v>
      </c>
      <c r="FR102" t="str">
        <f>AND(#REF!,"AAAAAH//1q0=")</f>
        <v>#REF!</v>
      </c>
      <c r="FS102" t="str">
        <f>AND(#REF!,"AAAAAH//1q4=")</f>
        <v>#REF!</v>
      </c>
      <c r="FT102" t="str">
        <f>AND(#REF!,"AAAAAH//1q8=")</f>
        <v>#REF!</v>
      </c>
      <c r="FU102" t="str">
        <f>AND(#REF!,"AAAAAH//1rA=")</f>
        <v>#REF!</v>
      </c>
      <c r="FV102" t="str">
        <f>AND(#REF!,"AAAAAH//1rE=")</f>
        <v>#REF!</v>
      </c>
      <c r="FW102" t="str">
        <f>AND(#REF!,"AAAAAH//1rI=")</f>
        <v>#REF!</v>
      </c>
      <c r="FX102" t="str">
        <f>AND(#REF!,"AAAAAH//1rM=")</f>
        <v>#REF!</v>
      </c>
      <c r="FY102" t="str">
        <f>AND(#REF!,"AAAAAH//1rQ=")</f>
        <v>#REF!</v>
      </c>
      <c r="FZ102" t="str">
        <f>AND(#REF!,"AAAAAH//1rU=")</f>
        <v>#REF!</v>
      </c>
      <c r="GA102" t="str">
        <f>AND(#REF!,"AAAAAH//1rY=")</f>
        <v>#REF!</v>
      </c>
      <c r="GB102" t="str">
        <f>AND(#REF!,"AAAAAH//1rc=")</f>
        <v>#REF!</v>
      </c>
      <c r="GC102" t="str">
        <f>AND(#REF!,"AAAAAH//1rg=")</f>
        <v>#REF!</v>
      </c>
      <c r="GD102" t="str">
        <f>AND(#REF!,"AAAAAH//1rk=")</f>
        <v>#REF!</v>
      </c>
      <c r="GE102" t="str">
        <f>AND(#REF!,"AAAAAH//1ro=")</f>
        <v>#REF!</v>
      </c>
      <c r="GF102" t="str">
        <f>AND(#REF!,"AAAAAH//1rs=")</f>
        <v>#REF!</v>
      </c>
      <c r="GG102" t="str">
        <f>AND(#REF!,"AAAAAH//1rw=")</f>
        <v>#REF!</v>
      </c>
      <c r="GH102" t="str">
        <f>AND(#REF!,"AAAAAH//1r0=")</f>
        <v>#REF!</v>
      </c>
      <c r="GI102" t="str">
        <f>AND(#REF!,"AAAAAH//1r4=")</f>
        <v>#REF!</v>
      </c>
      <c r="GJ102" t="str">
        <f>AND(#REF!,"AAAAAH//1r8=")</f>
        <v>#REF!</v>
      </c>
      <c r="GK102" t="str">
        <f>AND(#REF!,"AAAAAH//1sA=")</f>
        <v>#REF!</v>
      </c>
      <c r="GL102" t="str">
        <f>AND(#REF!,"AAAAAH//1sE=")</f>
        <v>#REF!</v>
      </c>
      <c r="GM102" t="str">
        <f>AND(#REF!,"AAAAAH//1sI=")</f>
        <v>#REF!</v>
      </c>
      <c r="GN102" t="str">
        <f>AND(#REF!,"AAAAAH//1sM=")</f>
        <v>#REF!</v>
      </c>
      <c r="GO102" t="str">
        <f>AND(#REF!,"AAAAAH//1sQ=")</f>
        <v>#REF!</v>
      </c>
      <c r="GP102" t="str">
        <f>AND(#REF!,"AAAAAH//1sU=")</f>
        <v>#REF!</v>
      </c>
      <c r="GQ102" t="str">
        <f>AND(#REF!,"AAAAAH//1sY=")</f>
        <v>#REF!</v>
      </c>
      <c r="GR102" t="str">
        <f>AND(#REF!,"AAAAAH//1sc=")</f>
        <v>#REF!</v>
      </c>
      <c r="GS102" t="str">
        <f>AND(#REF!,"AAAAAH//1sg=")</f>
        <v>#REF!</v>
      </c>
      <c r="GT102" t="str">
        <f>AND(#REF!,"AAAAAH//1sk=")</f>
        <v>#REF!</v>
      </c>
      <c r="GU102" t="str">
        <f>AND(#REF!,"AAAAAH//1so=")</f>
        <v>#REF!</v>
      </c>
      <c r="GV102" t="str">
        <f>AND(#REF!,"AAAAAH//1ss=")</f>
        <v>#REF!</v>
      </c>
      <c r="GW102" t="str">
        <f>AND(#REF!,"AAAAAH//1sw=")</f>
        <v>#REF!</v>
      </c>
      <c r="GX102" t="str">
        <f>AND(#REF!,"AAAAAH//1s0=")</f>
        <v>#REF!</v>
      </c>
      <c r="GY102" t="str">
        <f>AND(#REF!,"AAAAAH//1s4=")</f>
        <v>#REF!</v>
      </c>
      <c r="GZ102" t="str">
        <f>AND(#REF!,"AAAAAH//1s8=")</f>
        <v>#REF!</v>
      </c>
      <c r="HA102" t="str">
        <f>AND(#REF!,"AAAAAH//1tA=")</f>
        <v>#REF!</v>
      </c>
      <c r="HB102" t="str">
        <f>AND(#REF!,"AAAAAH//1tE=")</f>
        <v>#REF!</v>
      </c>
      <c r="HC102" t="str">
        <f>AND(#REF!,"AAAAAH//1tI=")</f>
        <v>#REF!</v>
      </c>
      <c r="HD102" t="str">
        <f>AND(#REF!,"AAAAAH//1tM=")</f>
        <v>#REF!</v>
      </c>
      <c r="HE102" t="str">
        <f>AND(#REF!,"AAAAAH//1tQ=")</f>
        <v>#REF!</v>
      </c>
      <c r="HF102" t="str">
        <f>AND(#REF!,"AAAAAH//1tU=")</f>
        <v>#REF!</v>
      </c>
      <c r="HG102" t="str">
        <f>AND(#REF!,"AAAAAH//1tY=")</f>
        <v>#REF!</v>
      </c>
      <c r="HH102" t="str">
        <f>AND(#REF!,"AAAAAH//1tc=")</f>
        <v>#REF!</v>
      </c>
      <c r="HI102" t="str">
        <f>AND(#REF!,"AAAAAH//1tg=")</f>
        <v>#REF!</v>
      </c>
      <c r="HJ102" t="str">
        <f>AND(#REF!,"AAAAAH//1tk=")</f>
        <v>#REF!</v>
      </c>
      <c r="HK102" t="str">
        <f>AND(#REF!,"AAAAAH//1to=")</f>
        <v>#REF!</v>
      </c>
      <c r="HL102" t="str">
        <f>AND(#REF!,"AAAAAH//1ts=")</f>
        <v>#REF!</v>
      </c>
      <c r="HM102" t="str">
        <f>AND(#REF!,"AAAAAH//1tw=")</f>
        <v>#REF!</v>
      </c>
      <c r="HN102" t="str">
        <f>AND(#REF!,"AAAAAH//1t0=")</f>
        <v>#REF!</v>
      </c>
      <c r="HO102" t="str">
        <f>AND(#REF!,"AAAAAH//1t4=")</f>
        <v>#REF!</v>
      </c>
      <c r="HP102" t="str">
        <f>AND(#REF!,"AAAAAH//1t8=")</f>
        <v>#REF!</v>
      </c>
      <c r="HQ102" t="str">
        <f>AND(#REF!,"AAAAAH//1uA=")</f>
        <v>#REF!</v>
      </c>
      <c r="HR102" t="str">
        <f>AND(#REF!,"AAAAAH//1uE=")</f>
        <v>#REF!</v>
      </c>
      <c r="HS102" t="str">
        <f>AND(#REF!,"AAAAAH//1uI=")</f>
        <v>#REF!</v>
      </c>
      <c r="HT102" t="str">
        <f>AND(#REF!,"AAAAAH//1uM=")</f>
        <v>#REF!</v>
      </c>
      <c r="HU102" t="str">
        <f>AND(#REF!,"AAAAAH//1uQ=")</f>
        <v>#REF!</v>
      </c>
      <c r="HV102" t="str">
        <f>AND(#REF!,"AAAAAH//1uU=")</f>
        <v>#REF!</v>
      </c>
      <c r="HW102" t="str">
        <f>AND(#REF!,"AAAAAH//1uY=")</f>
        <v>#REF!</v>
      </c>
      <c r="HX102" t="str">
        <f>IF(#REF!,"AAAAAH//1uc=",0)</f>
        <v>#REF!</v>
      </c>
      <c r="HY102" t="str">
        <f>AND(#REF!,"AAAAAH//1ug=")</f>
        <v>#REF!</v>
      </c>
      <c r="HZ102" t="str">
        <f>AND(#REF!,"AAAAAH//1uk=")</f>
        <v>#REF!</v>
      </c>
      <c r="IA102" t="str">
        <f>AND(#REF!,"AAAAAH//1uo=")</f>
        <v>#REF!</v>
      </c>
      <c r="IB102" t="str">
        <f>AND(#REF!,"AAAAAH//1us=")</f>
        <v>#REF!</v>
      </c>
      <c r="IC102" t="str">
        <f>AND(#REF!,"AAAAAH//1uw=")</f>
        <v>#REF!</v>
      </c>
      <c r="ID102" t="str">
        <f>AND(#REF!,"AAAAAH//1u0=")</f>
        <v>#REF!</v>
      </c>
      <c r="IE102" t="str">
        <f>AND(#REF!,"AAAAAH//1u4=")</f>
        <v>#REF!</v>
      </c>
      <c r="IF102" t="str">
        <f>AND(#REF!,"AAAAAH//1u8=")</f>
        <v>#REF!</v>
      </c>
      <c r="IG102" t="str">
        <f>AND(#REF!,"AAAAAH//1vA=")</f>
        <v>#REF!</v>
      </c>
      <c r="IH102" t="str">
        <f>AND(#REF!,"AAAAAH//1vE=")</f>
        <v>#REF!</v>
      </c>
      <c r="II102" t="str">
        <f>AND(#REF!,"AAAAAH//1vI=")</f>
        <v>#REF!</v>
      </c>
      <c r="IJ102" t="str">
        <f>AND(#REF!,"AAAAAH//1vM=")</f>
        <v>#REF!</v>
      </c>
      <c r="IK102" t="str">
        <f>AND(#REF!,"AAAAAH//1vQ=")</f>
        <v>#REF!</v>
      </c>
      <c r="IL102" t="str">
        <f>AND(#REF!,"AAAAAH//1vU=")</f>
        <v>#REF!</v>
      </c>
      <c r="IM102" t="str">
        <f>AND(#REF!,"AAAAAH//1vY=")</f>
        <v>#REF!</v>
      </c>
      <c r="IN102" t="str">
        <f>AND(#REF!,"AAAAAH//1vc=")</f>
        <v>#REF!</v>
      </c>
      <c r="IO102" t="str">
        <f>AND(#REF!,"AAAAAH//1vg=")</f>
        <v>#REF!</v>
      </c>
      <c r="IP102" t="str">
        <f>AND(#REF!,"AAAAAH//1vk=")</f>
        <v>#REF!</v>
      </c>
      <c r="IQ102" t="str">
        <f>AND(#REF!,"AAAAAH//1vo=")</f>
        <v>#REF!</v>
      </c>
      <c r="IR102" t="str">
        <f>AND(#REF!,"AAAAAH//1vs=")</f>
        <v>#REF!</v>
      </c>
      <c r="IS102" t="str">
        <f>AND(#REF!,"AAAAAH//1vw=")</f>
        <v>#REF!</v>
      </c>
      <c r="IT102" t="str">
        <f>AND(#REF!,"AAAAAH//1v0=")</f>
        <v>#REF!</v>
      </c>
      <c r="IU102" t="str">
        <f>AND(#REF!,"AAAAAH//1v4=")</f>
        <v>#REF!</v>
      </c>
      <c r="IV102" t="str">
        <f>AND(#REF!,"AAAAAH//1v8=")</f>
        <v>#REF!</v>
      </c>
    </row>
    <row r="103" ht="15.75" customHeight="1">
      <c r="A103" t="str">
        <f>AND(#REF!,"AAAAAGCN/wA=")</f>
        <v>#REF!</v>
      </c>
      <c r="B103" t="str">
        <f>AND(#REF!,"AAAAAGCN/wE=")</f>
        <v>#REF!</v>
      </c>
      <c r="C103" t="str">
        <f>AND(#REF!,"AAAAAGCN/wI=")</f>
        <v>#REF!</v>
      </c>
      <c r="D103" t="str">
        <f>AND(#REF!,"AAAAAGCN/wM=")</f>
        <v>#REF!</v>
      </c>
      <c r="E103" t="str">
        <f>AND(#REF!,"AAAAAGCN/wQ=")</f>
        <v>#REF!</v>
      </c>
      <c r="F103" t="str">
        <f>AND(#REF!,"AAAAAGCN/wU=")</f>
        <v>#REF!</v>
      </c>
      <c r="G103" t="str">
        <f>AND(#REF!,"AAAAAGCN/wY=")</f>
        <v>#REF!</v>
      </c>
      <c r="H103" t="str">
        <f>AND(#REF!,"AAAAAGCN/wc=")</f>
        <v>#REF!</v>
      </c>
      <c r="I103" t="str">
        <f>AND(#REF!,"AAAAAGCN/wg=")</f>
        <v>#REF!</v>
      </c>
      <c r="J103" t="str">
        <f>AND(#REF!,"AAAAAGCN/wk=")</f>
        <v>#REF!</v>
      </c>
      <c r="K103" t="str">
        <f>AND(#REF!,"AAAAAGCN/wo=")</f>
        <v>#REF!</v>
      </c>
      <c r="L103" t="str">
        <f>AND(#REF!,"AAAAAGCN/ws=")</f>
        <v>#REF!</v>
      </c>
      <c r="M103" t="str">
        <f>AND(#REF!,"AAAAAGCN/ww=")</f>
        <v>#REF!</v>
      </c>
      <c r="N103" t="str">
        <f>AND(#REF!,"AAAAAGCN/w0=")</f>
        <v>#REF!</v>
      </c>
      <c r="O103" t="str">
        <f>AND(#REF!,"AAAAAGCN/w4=")</f>
        <v>#REF!</v>
      </c>
      <c r="P103" t="str">
        <f>AND(#REF!,"AAAAAGCN/w8=")</f>
        <v>#REF!</v>
      </c>
      <c r="Q103" t="str">
        <f>AND(#REF!,"AAAAAGCN/xA=")</f>
        <v>#REF!</v>
      </c>
      <c r="R103" t="str">
        <f>AND(#REF!,"AAAAAGCN/xE=")</f>
        <v>#REF!</v>
      </c>
      <c r="S103" t="str">
        <f>AND(#REF!,"AAAAAGCN/xI=")</f>
        <v>#REF!</v>
      </c>
      <c r="T103" t="str">
        <f>AND(#REF!,"AAAAAGCN/xM=")</f>
        <v>#REF!</v>
      </c>
      <c r="U103" t="str">
        <f>AND(#REF!,"AAAAAGCN/xQ=")</f>
        <v>#REF!</v>
      </c>
      <c r="V103" t="str">
        <f>AND(#REF!,"AAAAAGCN/xU=")</f>
        <v>#REF!</v>
      </c>
      <c r="W103" t="str">
        <f>AND(#REF!,"AAAAAGCN/xY=")</f>
        <v>#REF!</v>
      </c>
      <c r="X103" t="str">
        <f>AND(#REF!,"AAAAAGCN/xc=")</f>
        <v>#REF!</v>
      </c>
      <c r="Y103" t="str">
        <f>AND(#REF!,"AAAAAGCN/xg=")</f>
        <v>#REF!</v>
      </c>
      <c r="Z103" t="str">
        <f>AND(#REF!,"AAAAAGCN/xk=")</f>
        <v>#REF!</v>
      </c>
      <c r="AA103" t="str">
        <f>AND(#REF!,"AAAAAGCN/xo=")</f>
        <v>#REF!</v>
      </c>
      <c r="AB103" t="str">
        <f>AND(#REF!,"AAAAAGCN/xs=")</f>
        <v>#REF!</v>
      </c>
      <c r="AC103" t="str">
        <f>AND(#REF!,"AAAAAGCN/xw=")</f>
        <v>#REF!</v>
      </c>
      <c r="AD103" t="str">
        <f>AND(#REF!,"AAAAAGCN/x0=")</f>
        <v>#REF!</v>
      </c>
      <c r="AE103" t="str">
        <f>AND(#REF!,"AAAAAGCN/x4=")</f>
        <v>#REF!</v>
      </c>
      <c r="AF103" t="str">
        <f>AND(#REF!,"AAAAAGCN/x8=")</f>
        <v>#REF!</v>
      </c>
      <c r="AG103" t="str">
        <f>AND(#REF!,"AAAAAGCN/yA=")</f>
        <v>#REF!</v>
      </c>
      <c r="AH103" t="str">
        <f>AND(#REF!,"AAAAAGCN/yE=")</f>
        <v>#REF!</v>
      </c>
      <c r="AI103" t="str">
        <f>AND(#REF!,"AAAAAGCN/yI=")</f>
        <v>#REF!</v>
      </c>
      <c r="AJ103" t="str">
        <f>AND(#REF!,"AAAAAGCN/yM=")</f>
        <v>#REF!</v>
      </c>
      <c r="AK103" t="str">
        <f>AND(#REF!,"AAAAAGCN/yQ=")</f>
        <v>#REF!</v>
      </c>
      <c r="AL103" t="str">
        <f>AND(#REF!,"AAAAAGCN/yU=")</f>
        <v>#REF!</v>
      </c>
      <c r="AM103" t="str">
        <f>AND(#REF!,"AAAAAGCN/yY=")</f>
        <v>#REF!</v>
      </c>
      <c r="AN103" t="str">
        <f>AND(#REF!,"AAAAAGCN/yc=")</f>
        <v>#REF!</v>
      </c>
      <c r="AO103" t="str">
        <f>AND(#REF!,"AAAAAGCN/yg=")</f>
        <v>#REF!</v>
      </c>
      <c r="AP103" t="str">
        <f>AND(#REF!,"AAAAAGCN/yk=")</f>
        <v>#REF!</v>
      </c>
      <c r="AQ103" t="str">
        <f>AND(#REF!,"AAAAAGCN/yo=")</f>
        <v>#REF!</v>
      </c>
      <c r="AR103" t="str">
        <f>AND(#REF!,"AAAAAGCN/ys=")</f>
        <v>#REF!</v>
      </c>
      <c r="AS103" t="str">
        <f>AND(#REF!,"AAAAAGCN/yw=")</f>
        <v>#REF!</v>
      </c>
      <c r="AT103" t="str">
        <f>AND(#REF!,"AAAAAGCN/y0=")</f>
        <v>#REF!</v>
      </c>
      <c r="AU103" t="str">
        <f>AND(#REF!,"AAAAAGCN/y4=")</f>
        <v>#REF!</v>
      </c>
      <c r="AV103" t="str">
        <f>AND(#REF!,"AAAAAGCN/y8=")</f>
        <v>#REF!</v>
      </c>
      <c r="AW103" t="str">
        <f>AND(#REF!,"AAAAAGCN/zA=")</f>
        <v>#REF!</v>
      </c>
      <c r="AX103" t="str">
        <f>AND(#REF!,"AAAAAGCN/zE=")</f>
        <v>#REF!</v>
      </c>
      <c r="AY103" t="str">
        <f>AND(#REF!,"AAAAAGCN/zI=")</f>
        <v>#REF!</v>
      </c>
      <c r="AZ103" t="str">
        <f>IF(#REF!,"AAAAAGCN/zM=",0)</f>
        <v>#REF!</v>
      </c>
      <c r="BA103" t="str">
        <f>AND(#REF!,"AAAAAGCN/zQ=")</f>
        <v>#REF!</v>
      </c>
      <c r="BB103" t="str">
        <f>AND(#REF!,"AAAAAGCN/zU=")</f>
        <v>#REF!</v>
      </c>
      <c r="BC103" t="str">
        <f>AND(#REF!,"AAAAAGCN/zY=")</f>
        <v>#REF!</v>
      </c>
      <c r="BD103" t="str">
        <f>AND(#REF!,"AAAAAGCN/zc=")</f>
        <v>#REF!</v>
      </c>
      <c r="BE103" t="str">
        <f>AND(#REF!,"AAAAAGCN/zg=")</f>
        <v>#REF!</v>
      </c>
      <c r="BF103" t="str">
        <f>AND(#REF!,"AAAAAGCN/zk=")</f>
        <v>#REF!</v>
      </c>
      <c r="BG103" t="str">
        <f>AND(#REF!,"AAAAAGCN/zo=")</f>
        <v>#REF!</v>
      </c>
      <c r="BH103" t="str">
        <f>AND(#REF!,"AAAAAGCN/zs=")</f>
        <v>#REF!</v>
      </c>
      <c r="BI103" t="str">
        <f>AND(#REF!,"AAAAAGCN/zw=")</f>
        <v>#REF!</v>
      </c>
      <c r="BJ103" t="str">
        <f>AND(#REF!,"AAAAAGCN/z0=")</f>
        <v>#REF!</v>
      </c>
      <c r="BK103" t="str">
        <f>AND(#REF!,"AAAAAGCN/z4=")</f>
        <v>#REF!</v>
      </c>
      <c r="BL103" t="str">
        <f>AND(#REF!,"AAAAAGCN/z8=")</f>
        <v>#REF!</v>
      </c>
      <c r="BM103" t="str">
        <f>AND(#REF!,"AAAAAGCN/0A=")</f>
        <v>#REF!</v>
      </c>
      <c r="BN103" t="str">
        <f>AND(#REF!,"AAAAAGCN/0E=")</f>
        <v>#REF!</v>
      </c>
      <c r="BO103" t="str">
        <f>AND(#REF!,"AAAAAGCN/0I=")</f>
        <v>#REF!</v>
      </c>
      <c r="BP103" t="str">
        <f>AND(#REF!,"AAAAAGCN/0M=")</f>
        <v>#REF!</v>
      </c>
      <c r="BQ103" t="str">
        <f>AND(#REF!,"AAAAAGCN/0Q=")</f>
        <v>#REF!</v>
      </c>
      <c r="BR103" t="str">
        <f>AND(#REF!,"AAAAAGCN/0U=")</f>
        <v>#REF!</v>
      </c>
      <c r="BS103" t="str">
        <f>AND(#REF!,"AAAAAGCN/0Y=")</f>
        <v>#REF!</v>
      </c>
      <c r="BT103" t="str">
        <f>AND(#REF!,"AAAAAGCN/0c=")</f>
        <v>#REF!</v>
      </c>
      <c r="BU103" t="str">
        <f>AND(#REF!,"AAAAAGCN/0g=")</f>
        <v>#REF!</v>
      </c>
      <c r="BV103" t="str">
        <f>AND(#REF!,"AAAAAGCN/0k=")</f>
        <v>#REF!</v>
      </c>
      <c r="BW103" t="str">
        <f>AND(#REF!,"AAAAAGCN/0o=")</f>
        <v>#REF!</v>
      </c>
      <c r="BX103" t="str">
        <f>AND(#REF!,"AAAAAGCN/0s=")</f>
        <v>#REF!</v>
      </c>
      <c r="BY103" t="str">
        <f>AND(#REF!,"AAAAAGCN/0w=")</f>
        <v>#REF!</v>
      </c>
      <c r="BZ103" t="str">
        <f>AND(#REF!,"AAAAAGCN/00=")</f>
        <v>#REF!</v>
      </c>
      <c r="CA103" t="str">
        <f>AND(#REF!,"AAAAAGCN/04=")</f>
        <v>#REF!</v>
      </c>
      <c r="CB103" t="str">
        <f>AND(#REF!,"AAAAAGCN/08=")</f>
        <v>#REF!</v>
      </c>
      <c r="CC103" t="str">
        <f>AND(#REF!,"AAAAAGCN/1A=")</f>
        <v>#REF!</v>
      </c>
      <c r="CD103" t="str">
        <f>AND(#REF!,"AAAAAGCN/1E=")</f>
        <v>#REF!</v>
      </c>
      <c r="CE103" t="str">
        <f>AND(#REF!,"AAAAAGCN/1I=")</f>
        <v>#REF!</v>
      </c>
      <c r="CF103" t="str">
        <f>AND(#REF!,"AAAAAGCN/1M=")</f>
        <v>#REF!</v>
      </c>
      <c r="CG103" t="str">
        <f>AND(#REF!,"AAAAAGCN/1Q=")</f>
        <v>#REF!</v>
      </c>
      <c r="CH103" t="str">
        <f>AND(#REF!,"AAAAAGCN/1U=")</f>
        <v>#REF!</v>
      </c>
      <c r="CI103" t="str">
        <f>AND(#REF!,"AAAAAGCN/1Y=")</f>
        <v>#REF!</v>
      </c>
      <c r="CJ103" t="str">
        <f>AND(#REF!,"AAAAAGCN/1c=")</f>
        <v>#REF!</v>
      </c>
      <c r="CK103" t="str">
        <f>AND(#REF!,"AAAAAGCN/1g=")</f>
        <v>#REF!</v>
      </c>
      <c r="CL103" t="str">
        <f>AND(#REF!,"AAAAAGCN/1k=")</f>
        <v>#REF!</v>
      </c>
      <c r="CM103" t="str">
        <f>AND(#REF!,"AAAAAGCN/1o=")</f>
        <v>#REF!</v>
      </c>
      <c r="CN103" t="str">
        <f>AND(#REF!,"AAAAAGCN/1s=")</f>
        <v>#REF!</v>
      </c>
      <c r="CO103" t="str">
        <f>AND(#REF!,"AAAAAGCN/1w=")</f>
        <v>#REF!</v>
      </c>
      <c r="CP103" t="str">
        <f>AND(#REF!,"AAAAAGCN/10=")</f>
        <v>#REF!</v>
      </c>
      <c r="CQ103" t="str">
        <f>AND(#REF!,"AAAAAGCN/14=")</f>
        <v>#REF!</v>
      </c>
      <c r="CR103" t="str">
        <f>AND(#REF!,"AAAAAGCN/18=")</f>
        <v>#REF!</v>
      </c>
      <c r="CS103" t="str">
        <f>AND(#REF!,"AAAAAGCN/2A=")</f>
        <v>#REF!</v>
      </c>
      <c r="CT103" t="str">
        <f>AND(#REF!,"AAAAAGCN/2E=")</f>
        <v>#REF!</v>
      </c>
      <c r="CU103" t="str">
        <f>AND(#REF!,"AAAAAGCN/2I=")</f>
        <v>#REF!</v>
      </c>
      <c r="CV103" t="str">
        <f>AND(#REF!,"AAAAAGCN/2M=")</f>
        <v>#REF!</v>
      </c>
      <c r="CW103" t="str">
        <f>AND(#REF!,"AAAAAGCN/2Q=")</f>
        <v>#REF!</v>
      </c>
      <c r="CX103" t="str">
        <f>AND(#REF!,"AAAAAGCN/2U=")</f>
        <v>#REF!</v>
      </c>
      <c r="CY103" t="str">
        <f>AND(#REF!,"AAAAAGCN/2Y=")</f>
        <v>#REF!</v>
      </c>
      <c r="CZ103" t="str">
        <f>AND(#REF!,"AAAAAGCN/2c=")</f>
        <v>#REF!</v>
      </c>
      <c r="DA103" t="str">
        <f>AND(#REF!,"AAAAAGCN/2g=")</f>
        <v>#REF!</v>
      </c>
      <c r="DB103" t="str">
        <f>AND(#REF!,"AAAAAGCN/2k=")</f>
        <v>#REF!</v>
      </c>
      <c r="DC103" t="str">
        <f>AND(#REF!,"AAAAAGCN/2o=")</f>
        <v>#REF!</v>
      </c>
      <c r="DD103" t="str">
        <f>AND(#REF!,"AAAAAGCN/2s=")</f>
        <v>#REF!</v>
      </c>
      <c r="DE103" t="str">
        <f>AND(#REF!,"AAAAAGCN/2w=")</f>
        <v>#REF!</v>
      </c>
      <c r="DF103" t="str">
        <f>AND(#REF!,"AAAAAGCN/20=")</f>
        <v>#REF!</v>
      </c>
      <c r="DG103" t="str">
        <f>AND(#REF!,"AAAAAGCN/24=")</f>
        <v>#REF!</v>
      </c>
      <c r="DH103" t="str">
        <f>AND(#REF!,"AAAAAGCN/28=")</f>
        <v>#REF!</v>
      </c>
      <c r="DI103" t="str">
        <f>AND(#REF!,"AAAAAGCN/3A=")</f>
        <v>#REF!</v>
      </c>
      <c r="DJ103" t="str">
        <f>AND(#REF!,"AAAAAGCN/3E=")</f>
        <v>#REF!</v>
      </c>
      <c r="DK103" t="str">
        <f>AND(#REF!,"AAAAAGCN/3I=")</f>
        <v>#REF!</v>
      </c>
      <c r="DL103" t="str">
        <f>AND(#REF!,"AAAAAGCN/3M=")</f>
        <v>#REF!</v>
      </c>
      <c r="DM103" t="str">
        <f>AND(#REF!,"AAAAAGCN/3Q=")</f>
        <v>#REF!</v>
      </c>
      <c r="DN103" t="str">
        <f>AND(#REF!,"AAAAAGCN/3U=")</f>
        <v>#REF!</v>
      </c>
      <c r="DO103" t="str">
        <f>AND(#REF!,"AAAAAGCN/3Y=")</f>
        <v>#REF!</v>
      </c>
      <c r="DP103" t="str">
        <f>AND(#REF!,"AAAAAGCN/3c=")</f>
        <v>#REF!</v>
      </c>
      <c r="DQ103" t="str">
        <f>AND(#REF!,"AAAAAGCN/3g=")</f>
        <v>#REF!</v>
      </c>
      <c r="DR103" t="str">
        <f>AND(#REF!,"AAAAAGCN/3k=")</f>
        <v>#REF!</v>
      </c>
      <c r="DS103" t="str">
        <f>AND(#REF!,"AAAAAGCN/3o=")</f>
        <v>#REF!</v>
      </c>
      <c r="DT103" t="str">
        <f>AND(#REF!,"AAAAAGCN/3s=")</f>
        <v>#REF!</v>
      </c>
      <c r="DU103" t="str">
        <f>AND(#REF!,"AAAAAGCN/3w=")</f>
        <v>#REF!</v>
      </c>
      <c r="DV103" t="str">
        <f>AND(#REF!,"AAAAAGCN/30=")</f>
        <v>#REF!</v>
      </c>
      <c r="DW103" t="str">
        <f>AND(#REF!,"AAAAAGCN/34=")</f>
        <v>#REF!</v>
      </c>
      <c r="DX103" t="str">
        <f>IF(#REF!,"AAAAAGCN/38=",0)</f>
        <v>#REF!</v>
      </c>
      <c r="DY103" t="str">
        <f>AND(#REF!,"AAAAAGCN/4A=")</f>
        <v>#REF!</v>
      </c>
      <c r="DZ103" t="str">
        <f>AND(#REF!,"AAAAAGCN/4E=")</f>
        <v>#REF!</v>
      </c>
      <c r="EA103" t="str">
        <f>AND(#REF!,"AAAAAGCN/4I=")</f>
        <v>#REF!</v>
      </c>
      <c r="EB103" t="str">
        <f>AND(#REF!,"AAAAAGCN/4M=")</f>
        <v>#REF!</v>
      </c>
      <c r="EC103" t="str">
        <f>AND(#REF!,"AAAAAGCN/4Q=")</f>
        <v>#REF!</v>
      </c>
      <c r="ED103" t="str">
        <f>AND(#REF!,"AAAAAGCN/4U=")</f>
        <v>#REF!</v>
      </c>
      <c r="EE103" t="str">
        <f>AND(#REF!,"AAAAAGCN/4Y=")</f>
        <v>#REF!</v>
      </c>
      <c r="EF103" t="str">
        <f>AND(#REF!,"AAAAAGCN/4c=")</f>
        <v>#REF!</v>
      </c>
      <c r="EG103" t="str">
        <f>AND(#REF!,"AAAAAGCN/4g=")</f>
        <v>#REF!</v>
      </c>
      <c r="EH103" t="str">
        <f>AND(#REF!,"AAAAAGCN/4k=")</f>
        <v>#REF!</v>
      </c>
      <c r="EI103" t="str">
        <f>AND(#REF!,"AAAAAGCN/4o=")</f>
        <v>#REF!</v>
      </c>
      <c r="EJ103" t="str">
        <f>AND(#REF!,"AAAAAGCN/4s=")</f>
        <v>#REF!</v>
      </c>
      <c r="EK103" t="str">
        <f>AND(#REF!,"AAAAAGCN/4w=")</f>
        <v>#REF!</v>
      </c>
      <c r="EL103" t="str">
        <f>AND(#REF!,"AAAAAGCN/40=")</f>
        <v>#REF!</v>
      </c>
      <c r="EM103" t="str">
        <f>AND(#REF!,"AAAAAGCN/44=")</f>
        <v>#REF!</v>
      </c>
      <c r="EN103" t="str">
        <f>AND(#REF!,"AAAAAGCN/48=")</f>
        <v>#REF!</v>
      </c>
      <c r="EO103" t="str">
        <f>AND(#REF!,"AAAAAGCN/5A=")</f>
        <v>#REF!</v>
      </c>
      <c r="EP103" t="str">
        <f>AND(#REF!,"AAAAAGCN/5E=")</f>
        <v>#REF!</v>
      </c>
      <c r="EQ103" t="str">
        <f>AND(#REF!,"AAAAAGCN/5I=")</f>
        <v>#REF!</v>
      </c>
      <c r="ER103" t="str">
        <f>AND(#REF!,"AAAAAGCN/5M=")</f>
        <v>#REF!</v>
      </c>
      <c r="ES103" t="str">
        <f>AND(#REF!,"AAAAAGCN/5Q=")</f>
        <v>#REF!</v>
      </c>
      <c r="ET103" t="str">
        <f>AND(#REF!,"AAAAAGCN/5U=")</f>
        <v>#REF!</v>
      </c>
      <c r="EU103" t="str">
        <f>AND(#REF!,"AAAAAGCN/5Y=")</f>
        <v>#REF!</v>
      </c>
      <c r="EV103" t="str">
        <f>AND(#REF!,"AAAAAGCN/5c=")</f>
        <v>#REF!</v>
      </c>
      <c r="EW103" t="str">
        <f>AND(#REF!,"AAAAAGCN/5g=")</f>
        <v>#REF!</v>
      </c>
      <c r="EX103" t="str">
        <f>AND(#REF!,"AAAAAGCN/5k=")</f>
        <v>#REF!</v>
      </c>
      <c r="EY103" t="str">
        <f>AND(#REF!,"AAAAAGCN/5o=")</f>
        <v>#REF!</v>
      </c>
      <c r="EZ103" t="str">
        <f>AND(#REF!,"AAAAAGCN/5s=")</f>
        <v>#REF!</v>
      </c>
      <c r="FA103" t="str">
        <f>AND(#REF!,"AAAAAGCN/5w=")</f>
        <v>#REF!</v>
      </c>
      <c r="FB103" t="str">
        <f>AND(#REF!,"AAAAAGCN/50=")</f>
        <v>#REF!</v>
      </c>
      <c r="FC103" t="str">
        <f>AND(#REF!,"AAAAAGCN/54=")</f>
        <v>#REF!</v>
      </c>
      <c r="FD103" t="str">
        <f>AND(#REF!,"AAAAAGCN/58=")</f>
        <v>#REF!</v>
      </c>
      <c r="FE103" t="str">
        <f>AND(#REF!,"AAAAAGCN/6A=")</f>
        <v>#REF!</v>
      </c>
      <c r="FF103" t="str">
        <f>AND(#REF!,"AAAAAGCN/6E=")</f>
        <v>#REF!</v>
      </c>
      <c r="FG103" t="str">
        <f>AND(#REF!,"AAAAAGCN/6I=")</f>
        <v>#REF!</v>
      </c>
      <c r="FH103" t="str">
        <f>AND(#REF!,"AAAAAGCN/6M=")</f>
        <v>#REF!</v>
      </c>
      <c r="FI103" t="str">
        <f>AND(#REF!,"AAAAAGCN/6Q=")</f>
        <v>#REF!</v>
      </c>
      <c r="FJ103" t="str">
        <f>AND(#REF!,"AAAAAGCN/6U=")</f>
        <v>#REF!</v>
      </c>
      <c r="FK103" t="str">
        <f>AND(#REF!,"AAAAAGCN/6Y=")</f>
        <v>#REF!</v>
      </c>
      <c r="FL103" t="str">
        <f>AND(#REF!,"AAAAAGCN/6c=")</f>
        <v>#REF!</v>
      </c>
      <c r="FM103" t="str">
        <f>AND(#REF!,"AAAAAGCN/6g=")</f>
        <v>#REF!</v>
      </c>
      <c r="FN103" t="str">
        <f>AND(#REF!,"AAAAAGCN/6k=")</f>
        <v>#REF!</v>
      </c>
      <c r="FO103" t="str">
        <f>AND(#REF!,"AAAAAGCN/6o=")</f>
        <v>#REF!</v>
      </c>
      <c r="FP103" t="str">
        <f>AND(#REF!,"AAAAAGCN/6s=")</f>
        <v>#REF!</v>
      </c>
      <c r="FQ103" t="str">
        <f>AND(#REF!,"AAAAAGCN/6w=")</f>
        <v>#REF!</v>
      </c>
      <c r="FR103" t="str">
        <f>AND(#REF!,"AAAAAGCN/60=")</f>
        <v>#REF!</v>
      </c>
      <c r="FS103" t="str">
        <f>AND(#REF!,"AAAAAGCN/64=")</f>
        <v>#REF!</v>
      </c>
      <c r="FT103" t="str">
        <f>AND(#REF!,"AAAAAGCN/68=")</f>
        <v>#REF!</v>
      </c>
      <c r="FU103" t="str">
        <f>AND(#REF!,"AAAAAGCN/7A=")</f>
        <v>#REF!</v>
      </c>
      <c r="FV103" t="str">
        <f>AND(#REF!,"AAAAAGCN/7E=")</f>
        <v>#REF!</v>
      </c>
      <c r="FW103" t="str">
        <f>AND(#REF!,"AAAAAGCN/7I=")</f>
        <v>#REF!</v>
      </c>
      <c r="FX103" t="str">
        <f>AND(#REF!,"AAAAAGCN/7M=")</f>
        <v>#REF!</v>
      </c>
      <c r="FY103" t="str">
        <f>AND(#REF!,"AAAAAGCN/7Q=")</f>
        <v>#REF!</v>
      </c>
      <c r="FZ103" t="str">
        <f>AND(#REF!,"AAAAAGCN/7U=")</f>
        <v>#REF!</v>
      </c>
      <c r="GA103" t="str">
        <f>AND(#REF!,"AAAAAGCN/7Y=")</f>
        <v>#REF!</v>
      </c>
      <c r="GB103" t="str">
        <f>AND(#REF!,"AAAAAGCN/7c=")</f>
        <v>#REF!</v>
      </c>
      <c r="GC103" t="str">
        <f>AND(#REF!,"AAAAAGCN/7g=")</f>
        <v>#REF!</v>
      </c>
      <c r="GD103" t="str">
        <f>AND(#REF!,"AAAAAGCN/7k=")</f>
        <v>#REF!</v>
      </c>
      <c r="GE103" t="str">
        <f>AND(#REF!,"AAAAAGCN/7o=")</f>
        <v>#REF!</v>
      </c>
      <c r="GF103" t="str">
        <f>AND(#REF!,"AAAAAGCN/7s=")</f>
        <v>#REF!</v>
      </c>
      <c r="GG103" t="str">
        <f>AND(#REF!,"AAAAAGCN/7w=")</f>
        <v>#REF!</v>
      </c>
      <c r="GH103" t="str">
        <f>AND(#REF!,"AAAAAGCN/70=")</f>
        <v>#REF!</v>
      </c>
      <c r="GI103" t="str">
        <f>AND(#REF!,"AAAAAGCN/74=")</f>
        <v>#REF!</v>
      </c>
      <c r="GJ103" t="str">
        <f>AND(#REF!,"AAAAAGCN/78=")</f>
        <v>#REF!</v>
      </c>
      <c r="GK103" t="str">
        <f>AND(#REF!,"AAAAAGCN/8A=")</f>
        <v>#REF!</v>
      </c>
      <c r="GL103" t="str">
        <f>AND(#REF!,"AAAAAGCN/8E=")</f>
        <v>#REF!</v>
      </c>
      <c r="GM103" t="str">
        <f>AND(#REF!,"AAAAAGCN/8I=")</f>
        <v>#REF!</v>
      </c>
      <c r="GN103" t="str">
        <f>AND(#REF!,"AAAAAGCN/8M=")</f>
        <v>#REF!</v>
      </c>
      <c r="GO103" t="str">
        <f>AND(#REF!,"AAAAAGCN/8Q=")</f>
        <v>#REF!</v>
      </c>
      <c r="GP103" t="str">
        <f>AND(#REF!,"AAAAAGCN/8U=")</f>
        <v>#REF!</v>
      </c>
      <c r="GQ103" t="str">
        <f>AND(#REF!,"AAAAAGCN/8Y=")</f>
        <v>#REF!</v>
      </c>
      <c r="GR103" t="str">
        <f>AND(#REF!,"AAAAAGCN/8c=")</f>
        <v>#REF!</v>
      </c>
      <c r="GS103" t="str">
        <f>AND(#REF!,"AAAAAGCN/8g=")</f>
        <v>#REF!</v>
      </c>
      <c r="GT103" t="str">
        <f>AND(#REF!,"AAAAAGCN/8k=")</f>
        <v>#REF!</v>
      </c>
      <c r="GU103" t="str">
        <f>AND(#REF!,"AAAAAGCN/8o=")</f>
        <v>#REF!</v>
      </c>
      <c r="GV103" t="str">
        <f>IF(#REF!,"AAAAAGCN/8s=",0)</f>
        <v>#REF!</v>
      </c>
      <c r="GW103" t="str">
        <f>AND(#REF!,"AAAAAGCN/8w=")</f>
        <v>#REF!</v>
      </c>
      <c r="GX103" t="str">
        <f>AND(#REF!,"AAAAAGCN/80=")</f>
        <v>#REF!</v>
      </c>
      <c r="GY103" t="str">
        <f>AND(#REF!,"AAAAAGCN/84=")</f>
        <v>#REF!</v>
      </c>
      <c r="GZ103" t="str">
        <f>AND(#REF!,"AAAAAGCN/88=")</f>
        <v>#REF!</v>
      </c>
      <c r="HA103" t="str">
        <f>AND(#REF!,"AAAAAGCN/9A=")</f>
        <v>#REF!</v>
      </c>
      <c r="HB103" t="str">
        <f>AND(#REF!,"AAAAAGCN/9E=")</f>
        <v>#REF!</v>
      </c>
      <c r="HC103" t="str">
        <f>AND(#REF!,"AAAAAGCN/9I=")</f>
        <v>#REF!</v>
      </c>
      <c r="HD103" t="str">
        <f>AND(#REF!,"AAAAAGCN/9M=")</f>
        <v>#REF!</v>
      </c>
      <c r="HE103" t="str">
        <f>AND(#REF!,"AAAAAGCN/9Q=")</f>
        <v>#REF!</v>
      </c>
      <c r="HF103" t="str">
        <f>AND(#REF!,"AAAAAGCN/9U=")</f>
        <v>#REF!</v>
      </c>
      <c r="HG103" t="str">
        <f>AND(#REF!,"AAAAAGCN/9Y=")</f>
        <v>#REF!</v>
      </c>
      <c r="HH103" t="str">
        <f>AND(#REF!,"AAAAAGCN/9c=")</f>
        <v>#REF!</v>
      </c>
      <c r="HI103" t="str">
        <f>AND(#REF!,"AAAAAGCN/9g=")</f>
        <v>#REF!</v>
      </c>
      <c r="HJ103" t="str">
        <f>AND(#REF!,"AAAAAGCN/9k=")</f>
        <v>#REF!</v>
      </c>
      <c r="HK103" t="str">
        <f>AND(#REF!,"AAAAAGCN/9o=")</f>
        <v>#REF!</v>
      </c>
      <c r="HL103" t="str">
        <f>AND(#REF!,"AAAAAGCN/9s=")</f>
        <v>#REF!</v>
      </c>
      <c r="HM103" t="str">
        <f>AND(#REF!,"AAAAAGCN/9w=")</f>
        <v>#REF!</v>
      </c>
      <c r="HN103" t="str">
        <f>AND(#REF!,"AAAAAGCN/90=")</f>
        <v>#REF!</v>
      </c>
      <c r="HO103" t="str">
        <f>AND(#REF!,"AAAAAGCN/94=")</f>
        <v>#REF!</v>
      </c>
      <c r="HP103" t="str">
        <f>AND(#REF!,"AAAAAGCN/98=")</f>
        <v>#REF!</v>
      </c>
      <c r="HQ103" t="str">
        <f>AND(#REF!,"AAAAAGCN/+A=")</f>
        <v>#REF!</v>
      </c>
      <c r="HR103" t="str">
        <f>AND(#REF!,"AAAAAGCN/+E=")</f>
        <v>#REF!</v>
      </c>
      <c r="HS103" t="str">
        <f>AND(#REF!,"AAAAAGCN/+I=")</f>
        <v>#REF!</v>
      </c>
      <c r="HT103" t="str">
        <f>AND(#REF!,"AAAAAGCN/+M=")</f>
        <v>#REF!</v>
      </c>
      <c r="HU103" t="str">
        <f>AND(#REF!,"AAAAAGCN/+Q=")</f>
        <v>#REF!</v>
      </c>
      <c r="HV103" t="str">
        <f>AND(#REF!,"AAAAAGCN/+U=")</f>
        <v>#REF!</v>
      </c>
      <c r="HW103" t="str">
        <f>AND(#REF!,"AAAAAGCN/+Y=")</f>
        <v>#REF!</v>
      </c>
      <c r="HX103" t="str">
        <f>AND(#REF!,"AAAAAGCN/+c=")</f>
        <v>#REF!</v>
      </c>
      <c r="HY103" t="str">
        <f>AND(#REF!,"AAAAAGCN/+g=")</f>
        <v>#REF!</v>
      </c>
      <c r="HZ103" t="str">
        <f>AND(#REF!,"AAAAAGCN/+k=")</f>
        <v>#REF!</v>
      </c>
      <c r="IA103" t="str">
        <f>AND(#REF!,"AAAAAGCN/+o=")</f>
        <v>#REF!</v>
      </c>
      <c r="IB103" t="str">
        <f>AND(#REF!,"AAAAAGCN/+s=")</f>
        <v>#REF!</v>
      </c>
      <c r="IC103" t="str">
        <f>AND(#REF!,"AAAAAGCN/+w=")</f>
        <v>#REF!</v>
      </c>
      <c r="ID103" t="str">
        <f>AND(#REF!,"AAAAAGCN/+0=")</f>
        <v>#REF!</v>
      </c>
      <c r="IE103" t="str">
        <f>AND(#REF!,"AAAAAGCN/+4=")</f>
        <v>#REF!</v>
      </c>
      <c r="IF103" t="str">
        <f>AND(#REF!,"AAAAAGCN/+8=")</f>
        <v>#REF!</v>
      </c>
      <c r="IG103" t="str">
        <f>AND(#REF!,"AAAAAGCN//A=")</f>
        <v>#REF!</v>
      </c>
      <c r="IH103" t="str">
        <f>AND(#REF!,"AAAAAGCN//E=")</f>
        <v>#REF!</v>
      </c>
      <c r="II103" t="str">
        <f>AND(#REF!,"AAAAAGCN//I=")</f>
        <v>#REF!</v>
      </c>
      <c r="IJ103" t="str">
        <f>AND(#REF!,"AAAAAGCN//M=")</f>
        <v>#REF!</v>
      </c>
      <c r="IK103" t="str">
        <f>AND(#REF!,"AAAAAGCN//Q=")</f>
        <v>#REF!</v>
      </c>
      <c r="IL103" t="str">
        <f>AND(#REF!,"AAAAAGCN//U=")</f>
        <v>#REF!</v>
      </c>
      <c r="IM103" t="str">
        <f>AND(#REF!,"AAAAAGCN//Y=")</f>
        <v>#REF!</v>
      </c>
      <c r="IN103" t="str">
        <f>AND(#REF!,"AAAAAGCN//c=")</f>
        <v>#REF!</v>
      </c>
      <c r="IO103" t="str">
        <f>AND(#REF!,"AAAAAGCN//g=")</f>
        <v>#REF!</v>
      </c>
      <c r="IP103" t="str">
        <f>AND(#REF!,"AAAAAGCN//k=")</f>
        <v>#REF!</v>
      </c>
      <c r="IQ103" t="str">
        <f>AND(#REF!,"AAAAAGCN//o=")</f>
        <v>#REF!</v>
      </c>
      <c r="IR103" t="str">
        <f>AND(#REF!,"AAAAAGCN//s=")</f>
        <v>#REF!</v>
      </c>
      <c r="IS103" t="str">
        <f>AND(#REF!,"AAAAAGCN//w=")</f>
        <v>#REF!</v>
      </c>
      <c r="IT103" t="str">
        <f>AND(#REF!,"AAAAAGCN//0=")</f>
        <v>#REF!</v>
      </c>
      <c r="IU103" t="str">
        <f>AND(#REF!,"AAAAAGCN//4=")</f>
        <v>#REF!</v>
      </c>
      <c r="IV103" t="str">
        <f>AND(#REF!,"AAAAAGCN//8=")</f>
        <v>#REF!</v>
      </c>
    </row>
    <row r="104" ht="15.75" customHeight="1">
      <c r="A104" t="str">
        <f>AND(#REF!,"AAAAADX/ewA=")</f>
        <v>#REF!</v>
      </c>
      <c r="B104" t="str">
        <f>AND(#REF!,"AAAAADX/ewE=")</f>
        <v>#REF!</v>
      </c>
      <c r="C104" t="str">
        <f>AND(#REF!,"AAAAADX/ewI=")</f>
        <v>#REF!</v>
      </c>
      <c r="D104" t="str">
        <f>AND(#REF!,"AAAAADX/ewM=")</f>
        <v>#REF!</v>
      </c>
      <c r="E104" t="str">
        <f>AND(#REF!,"AAAAADX/ewQ=")</f>
        <v>#REF!</v>
      </c>
      <c r="F104" t="str">
        <f>AND(#REF!,"AAAAADX/ewU=")</f>
        <v>#REF!</v>
      </c>
      <c r="G104" t="str">
        <f>AND(#REF!,"AAAAADX/ewY=")</f>
        <v>#REF!</v>
      </c>
      <c r="H104" t="str">
        <f>AND(#REF!,"AAAAADX/ewc=")</f>
        <v>#REF!</v>
      </c>
      <c r="I104" t="str">
        <f>AND(#REF!,"AAAAADX/ewg=")</f>
        <v>#REF!</v>
      </c>
      <c r="J104" t="str">
        <f>AND(#REF!,"AAAAADX/ewk=")</f>
        <v>#REF!</v>
      </c>
      <c r="K104" t="str">
        <f>AND(#REF!,"AAAAADX/ewo=")</f>
        <v>#REF!</v>
      </c>
      <c r="L104" t="str">
        <f>AND(#REF!,"AAAAADX/ews=")</f>
        <v>#REF!</v>
      </c>
      <c r="M104" t="str">
        <f>AND(#REF!,"AAAAADX/eww=")</f>
        <v>#REF!</v>
      </c>
      <c r="N104" t="str">
        <f>AND(#REF!,"AAAAADX/ew0=")</f>
        <v>#REF!</v>
      </c>
      <c r="O104" t="str">
        <f>AND(#REF!,"AAAAADX/ew4=")</f>
        <v>#REF!</v>
      </c>
      <c r="P104" t="str">
        <f>AND(#REF!,"AAAAADX/ew8=")</f>
        <v>#REF!</v>
      </c>
      <c r="Q104" t="str">
        <f>AND(#REF!,"AAAAADX/exA=")</f>
        <v>#REF!</v>
      </c>
      <c r="R104" t="str">
        <f>AND(#REF!,"AAAAADX/exE=")</f>
        <v>#REF!</v>
      </c>
      <c r="S104" t="str">
        <f>AND(#REF!,"AAAAADX/exI=")</f>
        <v>#REF!</v>
      </c>
      <c r="T104" t="str">
        <f>AND(#REF!,"AAAAADX/exM=")</f>
        <v>#REF!</v>
      </c>
      <c r="U104" t="str">
        <f>AND(#REF!,"AAAAADX/exQ=")</f>
        <v>#REF!</v>
      </c>
      <c r="V104" t="str">
        <f>AND(#REF!,"AAAAADX/exU=")</f>
        <v>#REF!</v>
      </c>
      <c r="W104" t="str">
        <f>AND(#REF!,"AAAAADX/exY=")</f>
        <v>#REF!</v>
      </c>
      <c r="X104" t="str">
        <f>IF(#REF!,"AAAAADX/exc=",0)</f>
        <v>#REF!</v>
      </c>
      <c r="Y104" t="str">
        <f>AND(#REF!,"AAAAADX/exg=")</f>
        <v>#REF!</v>
      </c>
      <c r="Z104" t="str">
        <f>AND(#REF!,"AAAAADX/exk=")</f>
        <v>#REF!</v>
      </c>
      <c r="AA104" t="str">
        <f>AND(#REF!,"AAAAADX/exo=")</f>
        <v>#REF!</v>
      </c>
      <c r="AB104" t="str">
        <f>AND(#REF!,"AAAAADX/exs=")</f>
        <v>#REF!</v>
      </c>
      <c r="AC104" t="str">
        <f>AND(#REF!,"AAAAADX/exw=")</f>
        <v>#REF!</v>
      </c>
      <c r="AD104" t="str">
        <f>AND(#REF!,"AAAAADX/ex0=")</f>
        <v>#REF!</v>
      </c>
      <c r="AE104" t="str">
        <f>AND(#REF!,"AAAAADX/ex4=")</f>
        <v>#REF!</v>
      </c>
      <c r="AF104" t="str">
        <f>AND(#REF!,"AAAAADX/ex8=")</f>
        <v>#REF!</v>
      </c>
      <c r="AG104" t="str">
        <f>AND(#REF!,"AAAAADX/eyA=")</f>
        <v>#REF!</v>
      </c>
      <c r="AH104" t="str">
        <f>AND(#REF!,"AAAAADX/eyE=")</f>
        <v>#REF!</v>
      </c>
      <c r="AI104" t="str">
        <f>AND(#REF!,"AAAAADX/eyI=")</f>
        <v>#REF!</v>
      </c>
      <c r="AJ104" t="str">
        <f>AND(#REF!,"AAAAADX/eyM=")</f>
        <v>#REF!</v>
      </c>
      <c r="AK104" t="str">
        <f>AND(#REF!,"AAAAADX/eyQ=")</f>
        <v>#REF!</v>
      </c>
      <c r="AL104" t="str">
        <f>AND(#REF!,"AAAAADX/eyU=")</f>
        <v>#REF!</v>
      </c>
      <c r="AM104" t="str">
        <f>AND(#REF!,"AAAAADX/eyY=")</f>
        <v>#REF!</v>
      </c>
      <c r="AN104" t="str">
        <f>AND(#REF!,"AAAAADX/eyc=")</f>
        <v>#REF!</v>
      </c>
      <c r="AO104" t="str">
        <f>AND(#REF!,"AAAAADX/eyg=")</f>
        <v>#REF!</v>
      </c>
      <c r="AP104" t="str">
        <f>AND(#REF!,"AAAAADX/eyk=")</f>
        <v>#REF!</v>
      </c>
      <c r="AQ104" t="str">
        <f>AND(#REF!,"AAAAADX/eyo=")</f>
        <v>#REF!</v>
      </c>
      <c r="AR104" t="str">
        <f>AND(#REF!,"AAAAADX/eys=")</f>
        <v>#REF!</v>
      </c>
      <c r="AS104" t="str">
        <f>AND(#REF!,"AAAAADX/eyw=")</f>
        <v>#REF!</v>
      </c>
      <c r="AT104" t="str">
        <f>AND(#REF!,"AAAAADX/ey0=")</f>
        <v>#REF!</v>
      </c>
      <c r="AU104" t="str">
        <f>AND(#REF!,"AAAAADX/ey4=")</f>
        <v>#REF!</v>
      </c>
      <c r="AV104" t="str">
        <f>AND(#REF!,"AAAAADX/ey8=")</f>
        <v>#REF!</v>
      </c>
      <c r="AW104" t="str">
        <f>AND(#REF!,"AAAAADX/ezA=")</f>
        <v>#REF!</v>
      </c>
      <c r="AX104" t="str">
        <f>AND(#REF!,"AAAAADX/ezE=")</f>
        <v>#REF!</v>
      </c>
      <c r="AY104" t="str">
        <f>AND(#REF!,"AAAAADX/ezI=")</f>
        <v>#REF!</v>
      </c>
      <c r="AZ104" t="str">
        <f>AND(#REF!,"AAAAADX/ezM=")</f>
        <v>#REF!</v>
      </c>
      <c r="BA104" t="str">
        <f>AND(#REF!,"AAAAADX/ezQ=")</f>
        <v>#REF!</v>
      </c>
      <c r="BB104" t="str">
        <f>AND(#REF!,"AAAAADX/ezU=")</f>
        <v>#REF!</v>
      </c>
      <c r="BC104" t="str">
        <f>AND(#REF!,"AAAAADX/ezY=")</f>
        <v>#REF!</v>
      </c>
      <c r="BD104" t="str">
        <f>AND(#REF!,"AAAAADX/ezc=")</f>
        <v>#REF!</v>
      </c>
      <c r="BE104" t="str">
        <f>AND(#REF!,"AAAAADX/ezg=")</f>
        <v>#REF!</v>
      </c>
      <c r="BF104" t="str">
        <f>AND(#REF!,"AAAAADX/ezk=")</f>
        <v>#REF!</v>
      </c>
      <c r="BG104" t="str">
        <f>AND(#REF!,"AAAAADX/ezo=")</f>
        <v>#REF!</v>
      </c>
      <c r="BH104" t="str">
        <f>AND(#REF!,"AAAAADX/ezs=")</f>
        <v>#REF!</v>
      </c>
      <c r="BI104" t="str">
        <f>AND(#REF!,"AAAAADX/ezw=")</f>
        <v>#REF!</v>
      </c>
      <c r="BJ104" t="str">
        <f>AND(#REF!,"AAAAADX/ez0=")</f>
        <v>#REF!</v>
      </c>
      <c r="BK104" t="str">
        <f>AND(#REF!,"AAAAADX/ez4=")</f>
        <v>#REF!</v>
      </c>
      <c r="BL104" t="str">
        <f>AND(#REF!,"AAAAADX/ez8=")</f>
        <v>#REF!</v>
      </c>
      <c r="BM104" t="str">
        <f>AND(#REF!,"AAAAADX/e0A=")</f>
        <v>#REF!</v>
      </c>
      <c r="BN104" t="str">
        <f>AND(#REF!,"AAAAADX/e0E=")</f>
        <v>#REF!</v>
      </c>
      <c r="BO104" t="str">
        <f>AND(#REF!,"AAAAADX/e0I=")</f>
        <v>#REF!</v>
      </c>
      <c r="BP104" t="str">
        <f>AND(#REF!,"AAAAADX/e0M=")</f>
        <v>#REF!</v>
      </c>
      <c r="BQ104" t="str">
        <f>AND(#REF!,"AAAAADX/e0Q=")</f>
        <v>#REF!</v>
      </c>
      <c r="BR104" t="str">
        <f>AND(#REF!,"AAAAADX/e0U=")</f>
        <v>#REF!</v>
      </c>
      <c r="BS104" t="str">
        <f>AND(#REF!,"AAAAADX/e0Y=")</f>
        <v>#REF!</v>
      </c>
      <c r="BT104" t="str">
        <f>AND(#REF!,"AAAAADX/e0c=")</f>
        <v>#REF!</v>
      </c>
      <c r="BU104" t="str">
        <f>AND(#REF!,"AAAAADX/e0g=")</f>
        <v>#REF!</v>
      </c>
      <c r="BV104" t="str">
        <f>AND(#REF!,"AAAAADX/e0k=")</f>
        <v>#REF!</v>
      </c>
      <c r="BW104" t="str">
        <f>AND(#REF!,"AAAAADX/e0o=")</f>
        <v>#REF!</v>
      </c>
      <c r="BX104" t="str">
        <f>AND(#REF!,"AAAAADX/e0s=")</f>
        <v>#REF!</v>
      </c>
      <c r="BY104" t="str">
        <f>AND(#REF!,"AAAAADX/e0w=")</f>
        <v>#REF!</v>
      </c>
      <c r="BZ104" t="str">
        <f>AND(#REF!,"AAAAADX/e00=")</f>
        <v>#REF!</v>
      </c>
      <c r="CA104" t="str">
        <f>AND(#REF!,"AAAAADX/e04=")</f>
        <v>#REF!</v>
      </c>
      <c r="CB104" t="str">
        <f>AND(#REF!,"AAAAADX/e08=")</f>
        <v>#REF!</v>
      </c>
      <c r="CC104" t="str">
        <f>AND(#REF!,"AAAAADX/e1A=")</f>
        <v>#REF!</v>
      </c>
      <c r="CD104" t="str">
        <f>AND(#REF!,"AAAAADX/e1E=")</f>
        <v>#REF!</v>
      </c>
      <c r="CE104" t="str">
        <f>AND(#REF!,"AAAAADX/e1I=")</f>
        <v>#REF!</v>
      </c>
      <c r="CF104" t="str">
        <f>AND(#REF!,"AAAAADX/e1M=")</f>
        <v>#REF!</v>
      </c>
      <c r="CG104" t="str">
        <f>AND(#REF!,"AAAAADX/e1Q=")</f>
        <v>#REF!</v>
      </c>
      <c r="CH104" t="str">
        <f>AND(#REF!,"AAAAADX/e1U=")</f>
        <v>#REF!</v>
      </c>
      <c r="CI104" t="str">
        <f>AND(#REF!,"AAAAADX/e1Y=")</f>
        <v>#REF!</v>
      </c>
      <c r="CJ104" t="str">
        <f>AND(#REF!,"AAAAADX/e1c=")</f>
        <v>#REF!</v>
      </c>
      <c r="CK104" t="str">
        <f>AND(#REF!,"AAAAADX/e1g=")</f>
        <v>#REF!</v>
      </c>
      <c r="CL104" t="str">
        <f>AND(#REF!,"AAAAADX/e1k=")</f>
        <v>#REF!</v>
      </c>
      <c r="CM104" t="str">
        <f>AND(#REF!,"AAAAADX/e1o=")</f>
        <v>#REF!</v>
      </c>
      <c r="CN104" t="str">
        <f>AND(#REF!,"AAAAADX/e1s=")</f>
        <v>#REF!</v>
      </c>
      <c r="CO104" t="str">
        <f>AND(#REF!,"AAAAADX/e1w=")</f>
        <v>#REF!</v>
      </c>
      <c r="CP104" t="str">
        <f>AND(#REF!,"AAAAADX/e10=")</f>
        <v>#REF!</v>
      </c>
      <c r="CQ104" t="str">
        <f>AND(#REF!,"AAAAADX/e14=")</f>
        <v>#REF!</v>
      </c>
      <c r="CR104" t="str">
        <f>AND(#REF!,"AAAAADX/e18=")</f>
        <v>#REF!</v>
      </c>
      <c r="CS104" t="str">
        <f>AND(#REF!,"AAAAADX/e2A=")</f>
        <v>#REF!</v>
      </c>
      <c r="CT104" t="str">
        <f>AND(#REF!,"AAAAADX/e2E=")</f>
        <v>#REF!</v>
      </c>
      <c r="CU104" t="str">
        <f>AND(#REF!,"AAAAADX/e2I=")</f>
        <v>#REF!</v>
      </c>
      <c r="CV104" t="str">
        <f>IF(#REF!,"AAAAADX/e2M=",0)</f>
        <v>#REF!</v>
      </c>
      <c r="CW104" t="str">
        <f>AND(#REF!,"AAAAADX/e2Q=")</f>
        <v>#REF!</v>
      </c>
      <c r="CX104" t="str">
        <f>AND(#REF!,"AAAAADX/e2U=")</f>
        <v>#REF!</v>
      </c>
      <c r="CY104" t="str">
        <f>AND(#REF!,"AAAAADX/e2Y=")</f>
        <v>#REF!</v>
      </c>
      <c r="CZ104" t="str">
        <f>AND(#REF!,"AAAAADX/e2c=")</f>
        <v>#REF!</v>
      </c>
      <c r="DA104" t="str">
        <f>AND(#REF!,"AAAAADX/e2g=")</f>
        <v>#REF!</v>
      </c>
      <c r="DB104" t="str">
        <f>AND(#REF!,"AAAAADX/e2k=")</f>
        <v>#REF!</v>
      </c>
      <c r="DC104" t="str">
        <f>AND(#REF!,"AAAAADX/e2o=")</f>
        <v>#REF!</v>
      </c>
      <c r="DD104" t="str">
        <f>AND(#REF!,"AAAAADX/e2s=")</f>
        <v>#REF!</v>
      </c>
      <c r="DE104" t="str">
        <f>AND(#REF!,"AAAAADX/e2w=")</f>
        <v>#REF!</v>
      </c>
      <c r="DF104" t="str">
        <f>AND(#REF!,"AAAAADX/e20=")</f>
        <v>#REF!</v>
      </c>
      <c r="DG104" t="str">
        <f>AND(#REF!,"AAAAADX/e24=")</f>
        <v>#REF!</v>
      </c>
      <c r="DH104" t="str">
        <f>AND(#REF!,"AAAAADX/e28=")</f>
        <v>#REF!</v>
      </c>
      <c r="DI104" t="str">
        <f>AND(#REF!,"AAAAADX/e3A=")</f>
        <v>#REF!</v>
      </c>
      <c r="DJ104" t="str">
        <f>AND(#REF!,"AAAAADX/e3E=")</f>
        <v>#REF!</v>
      </c>
      <c r="DK104" t="str">
        <f>AND(#REF!,"AAAAADX/e3I=")</f>
        <v>#REF!</v>
      </c>
      <c r="DL104" t="str">
        <f>AND(#REF!,"AAAAADX/e3M=")</f>
        <v>#REF!</v>
      </c>
      <c r="DM104" t="str">
        <f>AND(#REF!,"AAAAADX/e3Q=")</f>
        <v>#REF!</v>
      </c>
      <c r="DN104" t="str">
        <f>AND(#REF!,"AAAAADX/e3U=")</f>
        <v>#REF!</v>
      </c>
      <c r="DO104" t="str">
        <f>AND(#REF!,"AAAAADX/e3Y=")</f>
        <v>#REF!</v>
      </c>
      <c r="DP104" t="str">
        <f>AND(#REF!,"AAAAADX/e3c=")</f>
        <v>#REF!</v>
      </c>
      <c r="DQ104" t="str">
        <f>AND(#REF!,"AAAAADX/e3g=")</f>
        <v>#REF!</v>
      </c>
      <c r="DR104" t="str">
        <f>AND(#REF!,"AAAAADX/e3k=")</f>
        <v>#REF!</v>
      </c>
      <c r="DS104" t="str">
        <f>AND(#REF!,"AAAAADX/e3o=")</f>
        <v>#REF!</v>
      </c>
      <c r="DT104" t="str">
        <f>AND(#REF!,"AAAAADX/e3s=")</f>
        <v>#REF!</v>
      </c>
      <c r="DU104" t="str">
        <f>AND(#REF!,"AAAAADX/e3w=")</f>
        <v>#REF!</v>
      </c>
      <c r="DV104" t="str">
        <f>AND(#REF!,"AAAAADX/e30=")</f>
        <v>#REF!</v>
      </c>
      <c r="DW104" t="str">
        <f>AND(#REF!,"AAAAADX/e34=")</f>
        <v>#REF!</v>
      </c>
      <c r="DX104" t="str">
        <f>AND(#REF!,"AAAAADX/e38=")</f>
        <v>#REF!</v>
      </c>
      <c r="DY104" t="str">
        <f>AND(#REF!,"AAAAADX/e4A=")</f>
        <v>#REF!</v>
      </c>
      <c r="DZ104" t="str">
        <f>AND(#REF!,"AAAAADX/e4E=")</f>
        <v>#REF!</v>
      </c>
      <c r="EA104" t="str">
        <f>AND(#REF!,"AAAAADX/e4I=")</f>
        <v>#REF!</v>
      </c>
      <c r="EB104" t="str">
        <f>AND(#REF!,"AAAAADX/e4M=")</f>
        <v>#REF!</v>
      </c>
      <c r="EC104" t="str">
        <f>AND(#REF!,"AAAAADX/e4Q=")</f>
        <v>#REF!</v>
      </c>
      <c r="ED104" t="str">
        <f>AND(#REF!,"AAAAADX/e4U=")</f>
        <v>#REF!</v>
      </c>
      <c r="EE104" t="str">
        <f>AND(#REF!,"AAAAADX/e4Y=")</f>
        <v>#REF!</v>
      </c>
      <c r="EF104" t="str">
        <f>AND(#REF!,"AAAAADX/e4c=")</f>
        <v>#REF!</v>
      </c>
      <c r="EG104" t="str">
        <f>AND(#REF!,"AAAAADX/e4g=")</f>
        <v>#REF!</v>
      </c>
      <c r="EH104" t="str">
        <f>AND(#REF!,"AAAAADX/e4k=")</f>
        <v>#REF!</v>
      </c>
      <c r="EI104" t="str">
        <f>AND(#REF!,"AAAAADX/e4o=")</f>
        <v>#REF!</v>
      </c>
      <c r="EJ104" t="str">
        <f>AND(#REF!,"AAAAADX/e4s=")</f>
        <v>#REF!</v>
      </c>
      <c r="EK104" t="str">
        <f>AND(#REF!,"AAAAADX/e4w=")</f>
        <v>#REF!</v>
      </c>
      <c r="EL104" t="str">
        <f>AND(#REF!,"AAAAADX/e40=")</f>
        <v>#REF!</v>
      </c>
      <c r="EM104" t="str">
        <f>AND(#REF!,"AAAAADX/e44=")</f>
        <v>#REF!</v>
      </c>
      <c r="EN104" t="str">
        <f>AND(#REF!,"AAAAADX/e48=")</f>
        <v>#REF!</v>
      </c>
      <c r="EO104" t="str">
        <f>AND(#REF!,"AAAAADX/e5A=")</f>
        <v>#REF!</v>
      </c>
      <c r="EP104" t="str">
        <f>AND(#REF!,"AAAAADX/e5E=")</f>
        <v>#REF!</v>
      </c>
      <c r="EQ104" t="str">
        <f>AND(#REF!,"AAAAADX/e5I=")</f>
        <v>#REF!</v>
      </c>
      <c r="ER104" t="str">
        <f>AND(#REF!,"AAAAADX/e5M=")</f>
        <v>#REF!</v>
      </c>
      <c r="ES104" t="str">
        <f>AND(#REF!,"AAAAADX/e5Q=")</f>
        <v>#REF!</v>
      </c>
      <c r="ET104" t="str">
        <f>AND(#REF!,"AAAAADX/e5U=")</f>
        <v>#REF!</v>
      </c>
      <c r="EU104" t="str">
        <f>AND(#REF!,"AAAAADX/e5Y=")</f>
        <v>#REF!</v>
      </c>
      <c r="EV104" t="str">
        <f>AND(#REF!,"AAAAADX/e5c=")</f>
        <v>#REF!</v>
      </c>
      <c r="EW104" t="str">
        <f>AND(#REF!,"AAAAADX/e5g=")</f>
        <v>#REF!</v>
      </c>
      <c r="EX104" t="str">
        <f>AND(#REF!,"AAAAADX/e5k=")</f>
        <v>#REF!</v>
      </c>
      <c r="EY104" t="str">
        <f>AND(#REF!,"AAAAADX/e5o=")</f>
        <v>#REF!</v>
      </c>
      <c r="EZ104" t="str">
        <f>AND(#REF!,"AAAAADX/e5s=")</f>
        <v>#REF!</v>
      </c>
      <c r="FA104" t="str">
        <f>AND(#REF!,"AAAAADX/e5w=")</f>
        <v>#REF!</v>
      </c>
      <c r="FB104" t="str">
        <f>AND(#REF!,"AAAAADX/e50=")</f>
        <v>#REF!</v>
      </c>
      <c r="FC104" t="str">
        <f>AND(#REF!,"AAAAADX/e54=")</f>
        <v>#REF!</v>
      </c>
      <c r="FD104" t="str">
        <f>AND(#REF!,"AAAAADX/e58=")</f>
        <v>#REF!</v>
      </c>
      <c r="FE104" t="str">
        <f>AND(#REF!,"AAAAADX/e6A=")</f>
        <v>#REF!</v>
      </c>
      <c r="FF104" t="str">
        <f>AND(#REF!,"AAAAADX/e6E=")</f>
        <v>#REF!</v>
      </c>
      <c r="FG104" t="str">
        <f>AND(#REF!,"AAAAADX/e6I=")</f>
        <v>#REF!</v>
      </c>
      <c r="FH104" t="str">
        <f>AND(#REF!,"AAAAADX/e6M=")</f>
        <v>#REF!</v>
      </c>
      <c r="FI104" t="str">
        <f>AND(#REF!,"AAAAADX/e6Q=")</f>
        <v>#REF!</v>
      </c>
      <c r="FJ104" t="str">
        <f>AND(#REF!,"AAAAADX/e6U=")</f>
        <v>#REF!</v>
      </c>
      <c r="FK104" t="str">
        <f>AND(#REF!,"AAAAADX/e6Y=")</f>
        <v>#REF!</v>
      </c>
      <c r="FL104" t="str">
        <f>AND(#REF!,"AAAAADX/e6c=")</f>
        <v>#REF!</v>
      </c>
      <c r="FM104" t="str">
        <f>AND(#REF!,"AAAAADX/e6g=")</f>
        <v>#REF!</v>
      </c>
      <c r="FN104" t="str">
        <f>AND(#REF!,"AAAAADX/e6k=")</f>
        <v>#REF!</v>
      </c>
      <c r="FO104" t="str">
        <f>AND(#REF!,"AAAAADX/e6o=")</f>
        <v>#REF!</v>
      </c>
      <c r="FP104" t="str">
        <f>AND(#REF!,"AAAAADX/e6s=")</f>
        <v>#REF!</v>
      </c>
      <c r="FQ104" t="str">
        <f>AND(#REF!,"AAAAADX/e6w=")</f>
        <v>#REF!</v>
      </c>
      <c r="FR104" t="str">
        <f>AND(#REF!,"AAAAADX/e60=")</f>
        <v>#REF!</v>
      </c>
      <c r="FS104" t="str">
        <f>AND(#REF!,"AAAAADX/e64=")</f>
        <v>#REF!</v>
      </c>
      <c r="FT104" t="str">
        <f>IF(#REF!,"AAAAADX/e68=",0)</f>
        <v>#REF!</v>
      </c>
      <c r="FU104" t="str">
        <f>AND(#REF!,"AAAAADX/e7A=")</f>
        <v>#REF!</v>
      </c>
      <c r="FV104" t="str">
        <f>AND(#REF!,"AAAAADX/e7E=")</f>
        <v>#REF!</v>
      </c>
      <c r="FW104" t="str">
        <f>AND(#REF!,"AAAAADX/e7I=")</f>
        <v>#REF!</v>
      </c>
      <c r="FX104" t="str">
        <f>AND(#REF!,"AAAAADX/e7M=")</f>
        <v>#REF!</v>
      </c>
      <c r="FY104" t="str">
        <f>AND(#REF!,"AAAAADX/e7Q=")</f>
        <v>#REF!</v>
      </c>
      <c r="FZ104" t="str">
        <f>AND(#REF!,"AAAAADX/e7U=")</f>
        <v>#REF!</v>
      </c>
      <c r="GA104" t="str">
        <f>AND(#REF!,"AAAAADX/e7Y=")</f>
        <v>#REF!</v>
      </c>
      <c r="GB104" t="str">
        <f>AND(#REF!,"AAAAADX/e7c=")</f>
        <v>#REF!</v>
      </c>
      <c r="GC104" t="str">
        <f>AND(#REF!,"AAAAADX/e7g=")</f>
        <v>#REF!</v>
      </c>
      <c r="GD104" t="str">
        <f>AND(#REF!,"AAAAADX/e7k=")</f>
        <v>#REF!</v>
      </c>
      <c r="GE104" t="str">
        <f>AND(#REF!,"AAAAADX/e7o=")</f>
        <v>#REF!</v>
      </c>
      <c r="GF104" t="str">
        <f>AND(#REF!,"AAAAADX/e7s=")</f>
        <v>#REF!</v>
      </c>
      <c r="GG104" t="str">
        <f>AND(#REF!,"AAAAADX/e7w=")</f>
        <v>#REF!</v>
      </c>
      <c r="GH104" t="str">
        <f>AND(#REF!,"AAAAADX/e70=")</f>
        <v>#REF!</v>
      </c>
      <c r="GI104" t="str">
        <f>AND(#REF!,"AAAAADX/e74=")</f>
        <v>#REF!</v>
      </c>
      <c r="GJ104" t="str">
        <f>AND(#REF!,"AAAAADX/e78=")</f>
        <v>#REF!</v>
      </c>
      <c r="GK104" t="str">
        <f>AND(#REF!,"AAAAADX/e8A=")</f>
        <v>#REF!</v>
      </c>
      <c r="GL104" t="str">
        <f>AND(#REF!,"AAAAADX/e8E=")</f>
        <v>#REF!</v>
      </c>
      <c r="GM104" t="str">
        <f>AND(#REF!,"AAAAADX/e8I=")</f>
        <v>#REF!</v>
      </c>
      <c r="GN104" t="str">
        <f>AND(#REF!,"AAAAADX/e8M=")</f>
        <v>#REF!</v>
      </c>
      <c r="GO104" t="str">
        <f>AND(#REF!,"AAAAADX/e8Q=")</f>
        <v>#REF!</v>
      </c>
      <c r="GP104" t="str">
        <f>AND(#REF!,"AAAAADX/e8U=")</f>
        <v>#REF!</v>
      </c>
      <c r="GQ104" t="str">
        <f>AND(#REF!,"AAAAADX/e8Y=")</f>
        <v>#REF!</v>
      </c>
      <c r="GR104" t="str">
        <f>AND(#REF!,"AAAAADX/e8c=")</f>
        <v>#REF!</v>
      </c>
      <c r="GS104" t="str">
        <f>AND(#REF!,"AAAAADX/e8g=")</f>
        <v>#REF!</v>
      </c>
      <c r="GT104" t="str">
        <f>AND(#REF!,"AAAAADX/e8k=")</f>
        <v>#REF!</v>
      </c>
      <c r="GU104" t="str">
        <f>AND(#REF!,"AAAAADX/e8o=")</f>
        <v>#REF!</v>
      </c>
      <c r="GV104" t="str">
        <f>AND(#REF!,"AAAAADX/e8s=")</f>
        <v>#REF!</v>
      </c>
      <c r="GW104" t="str">
        <f>AND(#REF!,"AAAAADX/e8w=")</f>
        <v>#REF!</v>
      </c>
      <c r="GX104" t="str">
        <f>AND(#REF!,"AAAAADX/e80=")</f>
        <v>#REF!</v>
      </c>
      <c r="GY104" t="str">
        <f>AND(#REF!,"AAAAADX/e84=")</f>
        <v>#REF!</v>
      </c>
      <c r="GZ104" t="str">
        <f>AND(#REF!,"AAAAADX/e88=")</f>
        <v>#REF!</v>
      </c>
      <c r="HA104" t="str">
        <f>AND(#REF!,"AAAAADX/e9A=")</f>
        <v>#REF!</v>
      </c>
      <c r="HB104" t="str">
        <f>AND(#REF!,"AAAAADX/e9E=")</f>
        <v>#REF!</v>
      </c>
      <c r="HC104" t="str">
        <f>AND(#REF!,"AAAAADX/e9I=")</f>
        <v>#REF!</v>
      </c>
      <c r="HD104" t="str">
        <f>AND(#REF!,"AAAAADX/e9M=")</f>
        <v>#REF!</v>
      </c>
      <c r="HE104" t="str">
        <f>AND(#REF!,"AAAAADX/e9Q=")</f>
        <v>#REF!</v>
      </c>
      <c r="HF104" t="str">
        <f>AND(#REF!,"AAAAADX/e9U=")</f>
        <v>#REF!</v>
      </c>
      <c r="HG104" t="str">
        <f>AND(#REF!,"AAAAADX/e9Y=")</f>
        <v>#REF!</v>
      </c>
      <c r="HH104" t="str">
        <f>AND(#REF!,"AAAAADX/e9c=")</f>
        <v>#REF!</v>
      </c>
      <c r="HI104" t="str">
        <f>AND(#REF!,"AAAAADX/e9g=")</f>
        <v>#REF!</v>
      </c>
      <c r="HJ104" t="str">
        <f>AND(#REF!,"AAAAADX/e9k=")</f>
        <v>#REF!</v>
      </c>
      <c r="HK104" t="str">
        <f>AND(#REF!,"AAAAADX/e9o=")</f>
        <v>#REF!</v>
      </c>
      <c r="HL104" t="str">
        <f>AND(#REF!,"AAAAADX/e9s=")</f>
        <v>#REF!</v>
      </c>
      <c r="HM104" t="str">
        <f>AND(#REF!,"AAAAADX/e9w=")</f>
        <v>#REF!</v>
      </c>
      <c r="HN104" t="str">
        <f>AND(#REF!,"AAAAADX/e90=")</f>
        <v>#REF!</v>
      </c>
      <c r="HO104" t="str">
        <f>AND(#REF!,"AAAAADX/e94=")</f>
        <v>#REF!</v>
      </c>
      <c r="HP104" t="str">
        <f>AND(#REF!,"AAAAADX/e98=")</f>
        <v>#REF!</v>
      </c>
      <c r="HQ104" t="str">
        <f>AND(#REF!,"AAAAADX/e+A=")</f>
        <v>#REF!</v>
      </c>
      <c r="HR104" t="str">
        <f>AND(#REF!,"AAAAADX/e+E=")</f>
        <v>#REF!</v>
      </c>
      <c r="HS104" t="str">
        <f>AND(#REF!,"AAAAADX/e+I=")</f>
        <v>#REF!</v>
      </c>
      <c r="HT104" t="str">
        <f>AND(#REF!,"AAAAADX/e+M=")</f>
        <v>#REF!</v>
      </c>
      <c r="HU104" t="str">
        <f>AND(#REF!,"AAAAADX/e+Q=")</f>
        <v>#REF!</v>
      </c>
      <c r="HV104" t="str">
        <f>AND(#REF!,"AAAAADX/e+U=")</f>
        <v>#REF!</v>
      </c>
      <c r="HW104" t="str">
        <f>AND(#REF!,"AAAAADX/e+Y=")</f>
        <v>#REF!</v>
      </c>
      <c r="HX104" t="str">
        <f>AND(#REF!,"AAAAADX/e+c=")</f>
        <v>#REF!</v>
      </c>
      <c r="HY104" t="str">
        <f>AND(#REF!,"AAAAADX/e+g=")</f>
        <v>#REF!</v>
      </c>
      <c r="HZ104" t="str">
        <f>AND(#REF!,"AAAAADX/e+k=")</f>
        <v>#REF!</v>
      </c>
      <c r="IA104" t="str">
        <f>AND(#REF!,"AAAAADX/e+o=")</f>
        <v>#REF!</v>
      </c>
      <c r="IB104" t="str">
        <f>AND(#REF!,"AAAAADX/e+s=")</f>
        <v>#REF!</v>
      </c>
      <c r="IC104" t="str">
        <f>AND(#REF!,"AAAAADX/e+w=")</f>
        <v>#REF!</v>
      </c>
      <c r="ID104" t="str">
        <f>AND(#REF!,"AAAAADX/e+0=")</f>
        <v>#REF!</v>
      </c>
      <c r="IE104" t="str">
        <f>AND(#REF!,"AAAAADX/e+4=")</f>
        <v>#REF!</v>
      </c>
      <c r="IF104" t="str">
        <f>AND(#REF!,"AAAAADX/e+8=")</f>
        <v>#REF!</v>
      </c>
      <c r="IG104" t="str">
        <f>AND(#REF!,"AAAAADX/e/A=")</f>
        <v>#REF!</v>
      </c>
      <c r="IH104" t="str">
        <f>AND(#REF!,"AAAAADX/e/E=")</f>
        <v>#REF!</v>
      </c>
      <c r="II104" t="str">
        <f>AND(#REF!,"AAAAADX/e/I=")</f>
        <v>#REF!</v>
      </c>
      <c r="IJ104" t="str">
        <f>AND(#REF!,"AAAAADX/e/M=")</f>
        <v>#REF!</v>
      </c>
      <c r="IK104" t="str">
        <f>AND(#REF!,"AAAAADX/e/Q=")</f>
        <v>#REF!</v>
      </c>
      <c r="IL104" t="str">
        <f>AND(#REF!,"AAAAADX/e/U=")</f>
        <v>#REF!</v>
      </c>
      <c r="IM104" t="str">
        <f>AND(#REF!,"AAAAADX/e/Y=")</f>
        <v>#REF!</v>
      </c>
      <c r="IN104" t="str">
        <f>AND(#REF!,"AAAAADX/e/c=")</f>
        <v>#REF!</v>
      </c>
      <c r="IO104" t="str">
        <f>AND(#REF!,"AAAAADX/e/g=")</f>
        <v>#REF!</v>
      </c>
      <c r="IP104" t="str">
        <f>AND(#REF!,"AAAAADX/e/k=")</f>
        <v>#REF!</v>
      </c>
      <c r="IQ104" t="str">
        <f>AND(#REF!,"AAAAADX/e/o=")</f>
        <v>#REF!</v>
      </c>
      <c r="IR104" t="str">
        <f>IF(#REF!,"AAAAADX/e/s=",0)</f>
        <v>#REF!</v>
      </c>
      <c r="IS104" t="str">
        <f>AND(#REF!,"AAAAADX/e/w=")</f>
        <v>#REF!</v>
      </c>
      <c r="IT104" t="str">
        <f>AND(#REF!,"AAAAADX/e/0=")</f>
        <v>#REF!</v>
      </c>
      <c r="IU104" t="str">
        <f>AND(#REF!,"AAAAADX/e/4=")</f>
        <v>#REF!</v>
      </c>
      <c r="IV104" t="str">
        <f>AND(#REF!,"AAAAADX/e/8=")</f>
        <v>#REF!</v>
      </c>
    </row>
    <row r="105" ht="15.75" customHeight="1">
      <c r="A105" t="str">
        <f>AND(#REF!,"AAAAAF4fqQA=")</f>
        <v>#REF!</v>
      </c>
      <c r="B105" t="str">
        <f>AND(#REF!,"AAAAAF4fqQE=")</f>
        <v>#REF!</v>
      </c>
      <c r="C105" t="str">
        <f>AND(#REF!,"AAAAAF4fqQI=")</f>
        <v>#REF!</v>
      </c>
      <c r="D105" t="str">
        <f>AND(#REF!,"AAAAAF4fqQM=")</f>
        <v>#REF!</v>
      </c>
      <c r="E105" t="str">
        <f>AND(#REF!,"AAAAAF4fqQQ=")</f>
        <v>#REF!</v>
      </c>
      <c r="F105" t="str">
        <f>AND(#REF!,"AAAAAF4fqQU=")</f>
        <v>#REF!</v>
      </c>
      <c r="G105" t="str">
        <f>AND(#REF!,"AAAAAF4fqQY=")</f>
        <v>#REF!</v>
      </c>
      <c r="H105" t="str">
        <f>AND(#REF!,"AAAAAF4fqQc=")</f>
        <v>#REF!</v>
      </c>
      <c r="I105" t="str">
        <f>AND(#REF!,"AAAAAF4fqQg=")</f>
        <v>#REF!</v>
      </c>
      <c r="J105" t="str">
        <f>AND(#REF!,"AAAAAF4fqQk=")</f>
        <v>#REF!</v>
      </c>
      <c r="K105" t="str">
        <f>AND(#REF!,"AAAAAF4fqQo=")</f>
        <v>#REF!</v>
      </c>
      <c r="L105" t="str">
        <f>AND(#REF!,"AAAAAF4fqQs=")</f>
        <v>#REF!</v>
      </c>
      <c r="M105" t="str">
        <f>AND(#REF!,"AAAAAF4fqQw=")</f>
        <v>#REF!</v>
      </c>
      <c r="N105" t="str">
        <f>AND(#REF!,"AAAAAF4fqQ0=")</f>
        <v>#REF!</v>
      </c>
      <c r="O105" t="str">
        <f>AND(#REF!,"AAAAAF4fqQ4=")</f>
        <v>#REF!</v>
      </c>
      <c r="P105" t="str">
        <f>AND(#REF!,"AAAAAF4fqQ8=")</f>
        <v>#REF!</v>
      </c>
      <c r="Q105" t="str">
        <f>AND(#REF!,"AAAAAF4fqRA=")</f>
        <v>#REF!</v>
      </c>
      <c r="R105" t="str">
        <f>AND(#REF!,"AAAAAF4fqRE=")</f>
        <v>#REF!</v>
      </c>
      <c r="S105" t="str">
        <f>AND(#REF!,"AAAAAF4fqRI=")</f>
        <v>#REF!</v>
      </c>
      <c r="T105" t="str">
        <f>AND(#REF!,"AAAAAF4fqRM=")</f>
        <v>#REF!</v>
      </c>
      <c r="U105" t="str">
        <f>AND(#REF!,"AAAAAF4fqRQ=")</f>
        <v>#REF!</v>
      </c>
      <c r="V105" t="str">
        <f>AND(#REF!,"AAAAAF4fqRU=")</f>
        <v>#REF!</v>
      </c>
      <c r="W105" t="str">
        <f>AND(#REF!,"AAAAAF4fqRY=")</f>
        <v>#REF!</v>
      </c>
      <c r="X105" t="str">
        <f>AND(#REF!,"AAAAAF4fqRc=")</f>
        <v>#REF!</v>
      </c>
      <c r="Y105" t="str">
        <f>AND(#REF!,"AAAAAF4fqRg=")</f>
        <v>#REF!</v>
      </c>
      <c r="Z105" t="str">
        <f>AND(#REF!,"AAAAAF4fqRk=")</f>
        <v>#REF!</v>
      </c>
      <c r="AA105" t="str">
        <f>AND(#REF!,"AAAAAF4fqRo=")</f>
        <v>#REF!</v>
      </c>
      <c r="AB105" t="str">
        <f>AND(#REF!,"AAAAAF4fqRs=")</f>
        <v>#REF!</v>
      </c>
      <c r="AC105" t="str">
        <f>AND(#REF!,"AAAAAF4fqRw=")</f>
        <v>#REF!</v>
      </c>
      <c r="AD105" t="str">
        <f>AND(#REF!,"AAAAAF4fqR0=")</f>
        <v>#REF!</v>
      </c>
      <c r="AE105" t="str">
        <f>AND(#REF!,"AAAAAF4fqR4=")</f>
        <v>#REF!</v>
      </c>
      <c r="AF105" t="str">
        <f>AND(#REF!,"AAAAAF4fqR8=")</f>
        <v>#REF!</v>
      </c>
      <c r="AG105" t="str">
        <f>AND(#REF!,"AAAAAF4fqSA=")</f>
        <v>#REF!</v>
      </c>
      <c r="AH105" t="str">
        <f>AND(#REF!,"AAAAAF4fqSE=")</f>
        <v>#REF!</v>
      </c>
      <c r="AI105" t="str">
        <f>AND(#REF!,"AAAAAF4fqSI=")</f>
        <v>#REF!</v>
      </c>
      <c r="AJ105" t="str">
        <f>AND(#REF!,"AAAAAF4fqSM=")</f>
        <v>#REF!</v>
      </c>
      <c r="AK105" t="str">
        <f>AND(#REF!,"AAAAAF4fqSQ=")</f>
        <v>#REF!</v>
      </c>
      <c r="AL105" t="str">
        <f>AND(#REF!,"AAAAAF4fqSU=")</f>
        <v>#REF!</v>
      </c>
      <c r="AM105" t="str">
        <f>AND(#REF!,"AAAAAF4fqSY=")</f>
        <v>#REF!</v>
      </c>
      <c r="AN105" t="str">
        <f>AND(#REF!,"AAAAAF4fqSc=")</f>
        <v>#REF!</v>
      </c>
      <c r="AO105" t="str">
        <f>AND(#REF!,"AAAAAF4fqSg=")</f>
        <v>#REF!</v>
      </c>
      <c r="AP105" t="str">
        <f>AND(#REF!,"AAAAAF4fqSk=")</f>
        <v>#REF!</v>
      </c>
      <c r="AQ105" t="str">
        <f>AND(#REF!,"AAAAAF4fqSo=")</f>
        <v>#REF!</v>
      </c>
      <c r="AR105" t="str">
        <f>AND(#REF!,"AAAAAF4fqSs=")</f>
        <v>#REF!</v>
      </c>
      <c r="AS105" t="str">
        <f>AND(#REF!,"AAAAAF4fqSw=")</f>
        <v>#REF!</v>
      </c>
      <c r="AT105" t="str">
        <f>AND(#REF!,"AAAAAF4fqS0=")</f>
        <v>#REF!</v>
      </c>
      <c r="AU105" t="str">
        <f>AND(#REF!,"AAAAAF4fqS4=")</f>
        <v>#REF!</v>
      </c>
      <c r="AV105" t="str">
        <f>AND(#REF!,"AAAAAF4fqS8=")</f>
        <v>#REF!</v>
      </c>
      <c r="AW105" t="str">
        <f>AND(#REF!,"AAAAAF4fqTA=")</f>
        <v>#REF!</v>
      </c>
      <c r="AX105" t="str">
        <f>AND(#REF!,"AAAAAF4fqTE=")</f>
        <v>#REF!</v>
      </c>
      <c r="AY105" t="str">
        <f>AND(#REF!,"AAAAAF4fqTI=")</f>
        <v>#REF!</v>
      </c>
      <c r="AZ105" t="str">
        <f>AND(#REF!,"AAAAAF4fqTM=")</f>
        <v>#REF!</v>
      </c>
      <c r="BA105" t="str">
        <f>AND(#REF!,"AAAAAF4fqTQ=")</f>
        <v>#REF!</v>
      </c>
      <c r="BB105" t="str">
        <f>AND(#REF!,"AAAAAF4fqTU=")</f>
        <v>#REF!</v>
      </c>
      <c r="BC105" t="str">
        <f>AND(#REF!,"AAAAAF4fqTY=")</f>
        <v>#REF!</v>
      </c>
      <c r="BD105" t="str">
        <f>AND(#REF!,"AAAAAF4fqTc=")</f>
        <v>#REF!</v>
      </c>
      <c r="BE105" t="str">
        <f>AND(#REF!,"AAAAAF4fqTg=")</f>
        <v>#REF!</v>
      </c>
      <c r="BF105" t="str">
        <f>AND(#REF!,"AAAAAF4fqTk=")</f>
        <v>#REF!</v>
      </c>
      <c r="BG105" t="str">
        <f>AND(#REF!,"AAAAAF4fqTo=")</f>
        <v>#REF!</v>
      </c>
      <c r="BH105" t="str">
        <f>AND(#REF!,"AAAAAF4fqTs=")</f>
        <v>#REF!</v>
      </c>
      <c r="BI105" t="str">
        <f>AND(#REF!,"AAAAAF4fqTw=")</f>
        <v>#REF!</v>
      </c>
      <c r="BJ105" t="str">
        <f>AND(#REF!,"AAAAAF4fqT0=")</f>
        <v>#REF!</v>
      </c>
      <c r="BK105" t="str">
        <f>AND(#REF!,"AAAAAF4fqT4=")</f>
        <v>#REF!</v>
      </c>
      <c r="BL105" t="str">
        <f>AND(#REF!,"AAAAAF4fqT8=")</f>
        <v>#REF!</v>
      </c>
      <c r="BM105" t="str">
        <f>AND(#REF!,"AAAAAF4fqUA=")</f>
        <v>#REF!</v>
      </c>
      <c r="BN105" t="str">
        <f>AND(#REF!,"AAAAAF4fqUE=")</f>
        <v>#REF!</v>
      </c>
      <c r="BO105" t="str">
        <f>AND(#REF!,"AAAAAF4fqUI=")</f>
        <v>#REF!</v>
      </c>
      <c r="BP105" t="str">
        <f>AND(#REF!,"AAAAAF4fqUM=")</f>
        <v>#REF!</v>
      </c>
      <c r="BQ105" t="str">
        <f>AND(#REF!,"AAAAAF4fqUQ=")</f>
        <v>#REF!</v>
      </c>
      <c r="BR105" t="str">
        <f>AND(#REF!,"AAAAAF4fqUU=")</f>
        <v>#REF!</v>
      </c>
      <c r="BS105" t="str">
        <f>AND(#REF!,"AAAAAF4fqUY=")</f>
        <v>#REF!</v>
      </c>
      <c r="BT105" t="str">
        <f>IF(#REF!,"AAAAAF4fqUc=",0)</f>
        <v>#REF!</v>
      </c>
      <c r="BU105" t="str">
        <f>AND(#REF!,"AAAAAF4fqUg=")</f>
        <v>#REF!</v>
      </c>
      <c r="BV105" t="str">
        <f>AND(#REF!,"AAAAAF4fqUk=")</f>
        <v>#REF!</v>
      </c>
      <c r="BW105" t="str">
        <f>AND(#REF!,"AAAAAF4fqUo=")</f>
        <v>#REF!</v>
      </c>
      <c r="BX105" t="str">
        <f>AND(#REF!,"AAAAAF4fqUs=")</f>
        <v>#REF!</v>
      </c>
      <c r="BY105" t="str">
        <f>AND(#REF!,"AAAAAF4fqUw=")</f>
        <v>#REF!</v>
      </c>
      <c r="BZ105" t="str">
        <f>AND(#REF!,"AAAAAF4fqU0=")</f>
        <v>#REF!</v>
      </c>
      <c r="CA105" t="str">
        <f>AND(#REF!,"AAAAAF4fqU4=")</f>
        <v>#REF!</v>
      </c>
      <c r="CB105" t="str">
        <f>AND(#REF!,"AAAAAF4fqU8=")</f>
        <v>#REF!</v>
      </c>
      <c r="CC105" t="str">
        <f>AND(#REF!,"AAAAAF4fqVA=")</f>
        <v>#REF!</v>
      </c>
      <c r="CD105" t="str">
        <f>AND(#REF!,"AAAAAF4fqVE=")</f>
        <v>#REF!</v>
      </c>
      <c r="CE105" t="str">
        <f>AND(#REF!,"AAAAAF4fqVI=")</f>
        <v>#REF!</v>
      </c>
      <c r="CF105" t="str">
        <f>AND(#REF!,"AAAAAF4fqVM=")</f>
        <v>#REF!</v>
      </c>
      <c r="CG105" t="str">
        <f>AND(#REF!,"AAAAAF4fqVQ=")</f>
        <v>#REF!</v>
      </c>
      <c r="CH105" t="str">
        <f>AND(#REF!,"AAAAAF4fqVU=")</f>
        <v>#REF!</v>
      </c>
      <c r="CI105" t="str">
        <f>AND(#REF!,"AAAAAF4fqVY=")</f>
        <v>#REF!</v>
      </c>
      <c r="CJ105" t="str">
        <f>AND(#REF!,"AAAAAF4fqVc=")</f>
        <v>#REF!</v>
      </c>
      <c r="CK105" t="str">
        <f>AND(#REF!,"AAAAAF4fqVg=")</f>
        <v>#REF!</v>
      </c>
      <c r="CL105" t="str">
        <f>AND(#REF!,"AAAAAF4fqVk=")</f>
        <v>#REF!</v>
      </c>
      <c r="CM105" t="str">
        <f>AND(#REF!,"AAAAAF4fqVo=")</f>
        <v>#REF!</v>
      </c>
      <c r="CN105" t="str">
        <f>AND(#REF!,"AAAAAF4fqVs=")</f>
        <v>#REF!</v>
      </c>
      <c r="CO105" t="str">
        <f>AND(#REF!,"AAAAAF4fqVw=")</f>
        <v>#REF!</v>
      </c>
      <c r="CP105" t="str">
        <f>AND(#REF!,"AAAAAF4fqV0=")</f>
        <v>#REF!</v>
      </c>
      <c r="CQ105" t="str">
        <f>AND(#REF!,"AAAAAF4fqV4=")</f>
        <v>#REF!</v>
      </c>
      <c r="CR105" t="str">
        <f>AND(#REF!,"AAAAAF4fqV8=")</f>
        <v>#REF!</v>
      </c>
      <c r="CS105" t="str">
        <f>AND(#REF!,"AAAAAF4fqWA=")</f>
        <v>#REF!</v>
      </c>
      <c r="CT105" t="str">
        <f>AND(#REF!,"AAAAAF4fqWE=")</f>
        <v>#REF!</v>
      </c>
      <c r="CU105" t="str">
        <f>AND(#REF!,"AAAAAF4fqWI=")</f>
        <v>#REF!</v>
      </c>
      <c r="CV105" t="str">
        <f>AND(#REF!,"AAAAAF4fqWM=")</f>
        <v>#REF!</v>
      </c>
      <c r="CW105" t="str">
        <f>AND(#REF!,"AAAAAF4fqWQ=")</f>
        <v>#REF!</v>
      </c>
      <c r="CX105" t="str">
        <f>AND(#REF!,"AAAAAF4fqWU=")</f>
        <v>#REF!</v>
      </c>
      <c r="CY105" t="str">
        <f>AND(#REF!,"AAAAAF4fqWY=")</f>
        <v>#REF!</v>
      </c>
      <c r="CZ105" t="str">
        <f>AND(#REF!,"AAAAAF4fqWc=")</f>
        <v>#REF!</v>
      </c>
      <c r="DA105" t="str">
        <f>AND(#REF!,"AAAAAF4fqWg=")</f>
        <v>#REF!</v>
      </c>
      <c r="DB105" t="str">
        <f>AND(#REF!,"AAAAAF4fqWk=")</f>
        <v>#REF!</v>
      </c>
      <c r="DC105" t="str">
        <f>AND(#REF!,"AAAAAF4fqWo=")</f>
        <v>#REF!</v>
      </c>
      <c r="DD105" t="str">
        <f>AND(#REF!,"AAAAAF4fqWs=")</f>
        <v>#REF!</v>
      </c>
      <c r="DE105" t="str">
        <f>AND(#REF!,"AAAAAF4fqWw=")</f>
        <v>#REF!</v>
      </c>
      <c r="DF105" t="str">
        <f>AND(#REF!,"AAAAAF4fqW0=")</f>
        <v>#REF!</v>
      </c>
      <c r="DG105" t="str">
        <f>AND(#REF!,"AAAAAF4fqW4=")</f>
        <v>#REF!</v>
      </c>
      <c r="DH105" t="str">
        <f>AND(#REF!,"AAAAAF4fqW8=")</f>
        <v>#REF!</v>
      </c>
      <c r="DI105" t="str">
        <f>AND(#REF!,"AAAAAF4fqXA=")</f>
        <v>#REF!</v>
      </c>
      <c r="DJ105" t="str">
        <f>AND(#REF!,"AAAAAF4fqXE=")</f>
        <v>#REF!</v>
      </c>
      <c r="DK105" t="str">
        <f>AND(#REF!,"AAAAAF4fqXI=")</f>
        <v>#REF!</v>
      </c>
      <c r="DL105" t="str">
        <f>AND(#REF!,"AAAAAF4fqXM=")</f>
        <v>#REF!</v>
      </c>
      <c r="DM105" t="str">
        <f>AND(#REF!,"AAAAAF4fqXQ=")</f>
        <v>#REF!</v>
      </c>
      <c r="DN105" t="str">
        <f>AND(#REF!,"AAAAAF4fqXU=")</f>
        <v>#REF!</v>
      </c>
      <c r="DO105" t="str">
        <f>AND(#REF!,"AAAAAF4fqXY=")</f>
        <v>#REF!</v>
      </c>
      <c r="DP105" t="str">
        <f>AND(#REF!,"AAAAAF4fqXc=")</f>
        <v>#REF!</v>
      </c>
      <c r="DQ105" t="str">
        <f>AND(#REF!,"AAAAAF4fqXg=")</f>
        <v>#REF!</v>
      </c>
      <c r="DR105" t="str">
        <f>AND(#REF!,"AAAAAF4fqXk=")</f>
        <v>#REF!</v>
      </c>
      <c r="DS105" t="str">
        <f>AND(#REF!,"AAAAAF4fqXo=")</f>
        <v>#REF!</v>
      </c>
      <c r="DT105" t="str">
        <f>AND(#REF!,"AAAAAF4fqXs=")</f>
        <v>#REF!</v>
      </c>
      <c r="DU105" t="str">
        <f>AND(#REF!,"AAAAAF4fqXw=")</f>
        <v>#REF!</v>
      </c>
      <c r="DV105" t="str">
        <f>AND(#REF!,"AAAAAF4fqX0=")</f>
        <v>#REF!</v>
      </c>
      <c r="DW105" t="str">
        <f>AND(#REF!,"AAAAAF4fqX4=")</f>
        <v>#REF!</v>
      </c>
      <c r="DX105" t="str">
        <f>AND(#REF!,"AAAAAF4fqX8=")</f>
        <v>#REF!</v>
      </c>
      <c r="DY105" t="str">
        <f>AND(#REF!,"AAAAAF4fqYA=")</f>
        <v>#REF!</v>
      </c>
      <c r="DZ105" t="str">
        <f>AND(#REF!,"AAAAAF4fqYE=")</f>
        <v>#REF!</v>
      </c>
      <c r="EA105" t="str">
        <f>AND(#REF!,"AAAAAF4fqYI=")</f>
        <v>#REF!</v>
      </c>
      <c r="EB105" t="str">
        <f>AND(#REF!,"AAAAAF4fqYM=")</f>
        <v>#REF!</v>
      </c>
      <c r="EC105" t="str">
        <f>AND(#REF!,"AAAAAF4fqYQ=")</f>
        <v>#REF!</v>
      </c>
      <c r="ED105" t="str">
        <f>AND(#REF!,"AAAAAF4fqYU=")</f>
        <v>#REF!</v>
      </c>
      <c r="EE105" t="str">
        <f>AND(#REF!,"AAAAAF4fqYY=")</f>
        <v>#REF!</v>
      </c>
      <c r="EF105" t="str">
        <f>AND(#REF!,"AAAAAF4fqYc=")</f>
        <v>#REF!</v>
      </c>
      <c r="EG105" t="str">
        <f>AND(#REF!,"AAAAAF4fqYg=")</f>
        <v>#REF!</v>
      </c>
      <c r="EH105" t="str">
        <f>AND(#REF!,"AAAAAF4fqYk=")</f>
        <v>#REF!</v>
      </c>
      <c r="EI105" t="str">
        <f>AND(#REF!,"AAAAAF4fqYo=")</f>
        <v>#REF!</v>
      </c>
      <c r="EJ105" t="str">
        <f>AND(#REF!,"AAAAAF4fqYs=")</f>
        <v>#REF!</v>
      </c>
      <c r="EK105" t="str">
        <f>AND(#REF!,"AAAAAF4fqYw=")</f>
        <v>#REF!</v>
      </c>
      <c r="EL105" t="str">
        <f>AND(#REF!,"AAAAAF4fqY0=")</f>
        <v>#REF!</v>
      </c>
      <c r="EM105" t="str">
        <f>AND(#REF!,"AAAAAF4fqY4=")</f>
        <v>#REF!</v>
      </c>
      <c r="EN105" t="str">
        <f>AND(#REF!,"AAAAAF4fqY8=")</f>
        <v>#REF!</v>
      </c>
      <c r="EO105" t="str">
        <f>AND(#REF!,"AAAAAF4fqZA=")</f>
        <v>#REF!</v>
      </c>
      <c r="EP105" t="str">
        <f>AND(#REF!,"AAAAAF4fqZE=")</f>
        <v>#REF!</v>
      </c>
      <c r="EQ105" t="str">
        <f>AND(#REF!,"AAAAAF4fqZI=")</f>
        <v>#REF!</v>
      </c>
      <c r="ER105" t="str">
        <f>IF(#REF!,"AAAAAF4fqZM=",0)</f>
        <v>#REF!</v>
      </c>
      <c r="ES105" t="str">
        <f>AND(#REF!,"AAAAAF4fqZQ=")</f>
        <v>#REF!</v>
      </c>
      <c r="ET105" t="str">
        <f>AND(#REF!,"AAAAAF4fqZU=")</f>
        <v>#REF!</v>
      </c>
      <c r="EU105" t="str">
        <f>AND(#REF!,"AAAAAF4fqZY=")</f>
        <v>#REF!</v>
      </c>
      <c r="EV105" t="str">
        <f>AND(#REF!,"AAAAAF4fqZc=")</f>
        <v>#REF!</v>
      </c>
      <c r="EW105" t="str">
        <f>AND(#REF!,"AAAAAF4fqZg=")</f>
        <v>#REF!</v>
      </c>
      <c r="EX105" t="str">
        <f>AND(#REF!,"AAAAAF4fqZk=")</f>
        <v>#REF!</v>
      </c>
      <c r="EY105" t="str">
        <f>AND(#REF!,"AAAAAF4fqZo=")</f>
        <v>#REF!</v>
      </c>
      <c r="EZ105" t="str">
        <f>AND(#REF!,"AAAAAF4fqZs=")</f>
        <v>#REF!</v>
      </c>
      <c r="FA105" t="str">
        <f>AND(#REF!,"AAAAAF4fqZw=")</f>
        <v>#REF!</v>
      </c>
      <c r="FB105" t="str">
        <f>AND(#REF!,"AAAAAF4fqZ0=")</f>
        <v>#REF!</v>
      </c>
      <c r="FC105" t="str">
        <f>AND(#REF!,"AAAAAF4fqZ4=")</f>
        <v>#REF!</v>
      </c>
      <c r="FD105" t="str">
        <f>AND(#REF!,"AAAAAF4fqZ8=")</f>
        <v>#REF!</v>
      </c>
      <c r="FE105" t="str">
        <f>AND(#REF!,"AAAAAF4fqaA=")</f>
        <v>#REF!</v>
      </c>
      <c r="FF105" t="str">
        <f>AND(#REF!,"AAAAAF4fqaE=")</f>
        <v>#REF!</v>
      </c>
      <c r="FG105" t="str">
        <f>AND(#REF!,"AAAAAF4fqaI=")</f>
        <v>#REF!</v>
      </c>
      <c r="FH105" t="str">
        <f>AND(#REF!,"AAAAAF4fqaM=")</f>
        <v>#REF!</v>
      </c>
      <c r="FI105" t="str">
        <f>AND(#REF!,"AAAAAF4fqaQ=")</f>
        <v>#REF!</v>
      </c>
      <c r="FJ105" t="str">
        <f>AND(#REF!,"AAAAAF4fqaU=")</f>
        <v>#REF!</v>
      </c>
      <c r="FK105" t="str">
        <f>AND(#REF!,"AAAAAF4fqaY=")</f>
        <v>#REF!</v>
      </c>
      <c r="FL105" t="str">
        <f>AND(#REF!,"AAAAAF4fqac=")</f>
        <v>#REF!</v>
      </c>
      <c r="FM105" t="str">
        <f>AND(#REF!,"AAAAAF4fqag=")</f>
        <v>#REF!</v>
      </c>
      <c r="FN105" t="str">
        <f>AND(#REF!,"AAAAAF4fqak=")</f>
        <v>#REF!</v>
      </c>
      <c r="FO105" t="str">
        <f>AND(#REF!,"AAAAAF4fqao=")</f>
        <v>#REF!</v>
      </c>
      <c r="FP105" t="str">
        <f>AND(#REF!,"AAAAAF4fqas=")</f>
        <v>#REF!</v>
      </c>
      <c r="FQ105" t="str">
        <f>AND(#REF!,"AAAAAF4fqaw=")</f>
        <v>#REF!</v>
      </c>
      <c r="FR105" t="str">
        <f>AND(#REF!,"AAAAAF4fqa0=")</f>
        <v>#REF!</v>
      </c>
      <c r="FS105" t="str">
        <f>AND(#REF!,"AAAAAF4fqa4=")</f>
        <v>#REF!</v>
      </c>
      <c r="FT105" t="str">
        <f>AND(#REF!,"AAAAAF4fqa8=")</f>
        <v>#REF!</v>
      </c>
      <c r="FU105" t="str">
        <f>AND(#REF!,"AAAAAF4fqbA=")</f>
        <v>#REF!</v>
      </c>
      <c r="FV105" t="str">
        <f>AND(#REF!,"AAAAAF4fqbE=")</f>
        <v>#REF!</v>
      </c>
      <c r="FW105" t="str">
        <f>AND(#REF!,"AAAAAF4fqbI=")</f>
        <v>#REF!</v>
      </c>
      <c r="FX105" t="str">
        <f>AND(#REF!,"AAAAAF4fqbM=")</f>
        <v>#REF!</v>
      </c>
      <c r="FY105" t="str">
        <f>AND(#REF!,"AAAAAF4fqbQ=")</f>
        <v>#REF!</v>
      </c>
      <c r="FZ105" t="str">
        <f>AND(#REF!,"AAAAAF4fqbU=")</f>
        <v>#REF!</v>
      </c>
      <c r="GA105" t="str">
        <f>AND(#REF!,"AAAAAF4fqbY=")</f>
        <v>#REF!</v>
      </c>
      <c r="GB105" t="str">
        <f>AND(#REF!,"AAAAAF4fqbc=")</f>
        <v>#REF!</v>
      </c>
      <c r="GC105" t="str">
        <f>AND(#REF!,"AAAAAF4fqbg=")</f>
        <v>#REF!</v>
      </c>
      <c r="GD105" t="str">
        <f>AND(#REF!,"AAAAAF4fqbk=")</f>
        <v>#REF!</v>
      </c>
      <c r="GE105" t="str">
        <f>AND(#REF!,"AAAAAF4fqbo=")</f>
        <v>#REF!</v>
      </c>
      <c r="GF105" t="str">
        <f>AND(#REF!,"AAAAAF4fqbs=")</f>
        <v>#REF!</v>
      </c>
      <c r="GG105" t="str">
        <f>AND(#REF!,"AAAAAF4fqbw=")</f>
        <v>#REF!</v>
      </c>
      <c r="GH105" t="str">
        <f>AND(#REF!,"AAAAAF4fqb0=")</f>
        <v>#REF!</v>
      </c>
      <c r="GI105" t="str">
        <f>AND(#REF!,"AAAAAF4fqb4=")</f>
        <v>#REF!</v>
      </c>
      <c r="GJ105" t="str">
        <f>AND(#REF!,"AAAAAF4fqb8=")</f>
        <v>#REF!</v>
      </c>
      <c r="GK105" t="str">
        <f>AND(#REF!,"AAAAAF4fqcA=")</f>
        <v>#REF!</v>
      </c>
      <c r="GL105" t="str">
        <f>AND(#REF!,"AAAAAF4fqcE=")</f>
        <v>#REF!</v>
      </c>
      <c r="GM105" t="str">
        <f>AND(#REF!,"AAAAAF4fqcI=")</f>
        <v>#REF!</v>
      </c>
      <c r="GN105" t="str">
        <f>AND(#REF!,"AAAAAF4fqcM=")</f>
        <v>#REF!</v>
      </c>
      <c r="GO105" t="str">
        <f>AND(#REF!,"AAAAAF4fqcQ=")</f>
        <v>#REF!</v>
      </c>
      <c r="GP105" t="str">
        <f>AND(#REF!,"AAAAAF4fqcU=")</f>
        <v>#REF!</v>
      </c>
      <c r="GQ105" t="str">
        <f>AND(#REF!,"AAAAAF4fqcY=")</f>
        <v>#REF!</v>
      </c>
      <c r="GR105" t="str">
        <f>AND(#REF!,"AAAAAF4fqcc=")</f>
        <v>#REF!</v>
      </c>
      <c r="GS105" t="str">
        <f>AND(#REF!,"AAAAAF4fqcg=")</f>
        <v>#REF!</v>
      </c>
      <c r="GT105" t="str">
        <f>AND(#REF!,"AAAAAF4fqck=")</f>
        <v>#REF!</v>
      </c>
      <c r="GU105" t="str">
        <f>AND(#REF!,"AAAAAF4fqco=")</f>
        <v>#REF!</v>
      </c>
      <c r="GV105" t="str">
        <f>AND(#REF!,"AAAAAF4fqcs=")</f>
        <v>#REF!</v>
      </c>
      <c r="GW105" t="str">
        <f>AND(#REF!,"AAAAAF4fqcw=")</f>
        <v>#REF!</v>
      </c>
      <c r="GX105" t="str">
        <f>AND(#REF!,"AAAAAF4fqc0=")</f>
        <v>#REF!</v>
      </c>
      <c r="GY105" t="str">
        <f>AND(#REF!,"AAAAAF4fqc4=")</f>
        <v>#REF!</v>
      </c>
      <c r="GZ105" t="str">
        <f>AND(#REF!,"AAAAAF4fqc8=")</f>
        <v>#REF!</v>
      </c>
      <c r="HA105" t="str">
        <f>AND(#REF!,"AAAAAF4fqdA=")</f>
        <v>#REF!</v>
      </c>
      <c r="HB105" t="str">
        <f>AND(#REF!,"AAAAAF4fqdE=")</f>
        <v>#REF!</v>
      </c>
      <c r="HC105" t="str">
        <f>AND(#REF!,"AAAAAF4fqdI=")</f>
        <v>#REF!</v>
      </c>
      <c r="HD105" t="str">
        <f>AND(#REF!,"AAAAAF4fqdM=")</f>
        <v>#REF!</v>
      </c>
      <c r="HE105" t="str">
        <f>AND(#REF!,"AAAAAF4fqdQ=")</f>
        <v>#REF!</v>
      </c>
      <c r="HF105" t="str">
        <f>AND(#REF!,"AAAAAF4fqdU=")</f>
        <v>#REF!</v>
      </c>
      <c r="HG105" t="str">
        <f>AND(#REF!,"AAAAAF4fqdY=")</f>
        <v>#REF!</v>
      </c>
      <c r="HH105" t="str">
        <f>AND(#REF!,"AAAAAF4fqdc=")</f>
        <v>#REF!</v>
      </c>
      <c r="HI105" t="str">
        <f>AND(#REF!,"AAAAAF4fqdg=")</f>
        <v>#REF!</v>
      </c>
      <c r="HJ105" t="str">
        <f>AND(#REF!,"AAAAAF4fqdk=")</f>
        <v>#REF!</v>
      </c>
      <c r="HK105" t="str">
        <f>AND(#REF!,"AAAAAF4fqdo=")</f>
        <v>#REF!</v>
      </c>
      <c r="HL105" t="str">
        <f>AND(#REF!,"AAAAAF4fqds=")</f>
        <v>#REF!</v>
      </c>
      <c r="HM105" t="str">
        <f>AND(#REF!,"AAAAAF4fqdw=")</f>
        <v>#REF!</v>
      </c>
      <c r="HN105" t="str">
        <f>AND(#REF!,"AAAAAF4fqd0=")</f>
        <v>#REF!</v>
      </c>
      <c r="HO105" t="str">
        <f>AND(#REF!,"AAAAAF4fqd4=")</f>
        <v>#REF!</v>
      </c>
      <c r="HP105" t="str">
        <f>IF(#REF!,"AAAAAF4fqd8=",0)</f>
        <v>#REF!</v>
      </c>
      <c r="HQ105" t="str">
        <f>AND(#REF!,"AAAAAF4fqeA=")</f>
        <v>#REF!</v>
      </c>
      <c r="HR105" t="str">
        <f>AND(#REF!,"AAAAAF4fqeE=")</f>
        <v>#REF!</v>
      </c>
      <c r="HS105" t="str">
        <f>AND(#REF!,"AAAAAF4fqeI=")</f>
        <v>#REF!</v>
      </c>
      <c r="HT105" t="str">
        <f>AND(#REF!,"AAAAAF4fqeM=")</f>
        <v>#REF!</v>
      </c>
      <c r="HU105" t="str">
        <f>AND(#REF!,"AAAAAF4fqeQ=")</f>
        <v>#REF!</v>
      </c>
      <c r="HV105" t="str">
        <f>AND(#REF!,"AAAAAF4fqeU=")</f>
        <v>#REF!</v>
      </c>
      <c r="HW105" t="str">
        <f>AND(#REF!,"AAAAAF4fqeY=")</f>
        <v>#REF!</v>
      </c>
      <c r="HX105" t="str">
        <f>AND(#REF!,"AAAAAF4fqec=")</f>
        <v>#REF!</v>
      </c>
      <c r="HY105" t="str">
        <f>AND(#REF!,"AAAAAF4fqeg=")</f>
        <v>#REF!</v>
      </c>
      <c r="HZ105" t="str">
        <f>AND(#REF!,"AAAAAF4fqek=")</f>
        <v>#REF!</v>
      </c>
      <c r="IA105" t="str">
        <f>AND(#REF!,"AAAAAF4fqeo=")</f>
        <v>#REF!</v>
      </c>
      <c r="IB105" t="str">
        <f>AND(#REF!,"AAAAAF4fqes=")</f>
        <v>#REF!</v>
      </c>
      <c r="IC105" t="str">
        <f>AND(#REF!,"AAAAAF4fqew=")</f>
        <v>#REF!</v>
      </c>
      <c r="ID105" t="str">
        <f>AND(#REF!,"AAAAAF4fqe0=")</f>
        <v>#REF!</v>
      </c>
      <c r="IE105" t="str">
        <f>AND(#REF!,"AAAAAF4fqe4=")</f>
        <v>#REF!</v>
      </c>
      <c r="IF105" t="str">
        <f>AND(#REF!,"AAAAAF4fqe8=")</f>
        <v>#REF!</v>
      </c>
      <c r="IG105" t="str">
        <f>AND(#REF!,"AAAAAF4fqfA=")</f>
        <v>#REF!</v>
      </c>
      <c r="IH105" t="str">
        <f>AND(#REF!,"AAAAAF4fqfE=")</f>
        <v>#REF!</v>
      </c>
      <c r="II105" t="str">
        <f>AND(#REF!,"AAAAAF4fqfI=")</f>
        <v>#REF!</v>
      </c>
      <c r="IJ105" t="str">
        <f>AND(#REF!,"AAAAAF4fqfM=")</f>
        <v>#REF!</v>
      </c>
      <c r="IK105" t="str">
        <f>AND(#REF!,"AAAAAF4fqfQ=")</f>
        <v>#REF!</v>
      </c>
      <c r="IL105" t="str">
        <f>AND(#REF!,"AAAAAF4fqfU=")</f>
        <v>#REF!</v>
      </c>
      <c r="IM105" t="str">
        <f>AND(#REF!,"AAAAAF4fqfY=")</f>
        <v>#REF!</v>
      </c>
      <c r="IN105" t="str">
        <f>AND(#REF!,"AAAAAF4fqfc=")</f>
        <v>#REF!</v>
      </c>
      <c r="IO105" t="str">
        <f>AND(#REF!,"AAAAAF4fqfg=")</f>
        <v>#REF!</v>
      </c>
      <c r="IP105" t="str">
        <f>AND(#REF!,"AAAAAF4fqfk=")</f>
        <v>#REF!</v>
      </c>
      <c r="IQ105" t="str">
        <f>AND(#REF!,"AAAAAF4fqfo=")</f>
        <v>#REF!</v>
      </c>
      <c r="IR105" t="str">
        <f>AND(#REF!,"AAAAAF4fqfs=")</f>
        <v>#REF!</v>
      </c>
      <c r="IS105" t="str">
        <f>AND(#REF!,"AAAAAF4fqfw=")</f>
        <v>#REF!</v>
      </c>
      <c r="IT105" t="str">
        <f>AND(#REF!,"AAAAAF4fqf0=")</f>
        <v>#REF!</v>
      </c>
      <c r="IU105" t="str">
        <f>AND(#REF!,"AAAAAF4fqf4=")</f>
        <v>#REF!</v>
      </c>
      <c r="IV105" t="str">
        <f>AND(#REF!,"AAAAAF4fqf8=")</f>
        <v>#REF!</v>
      </c>
    </row>
    <row r="106" ht="15.75" customHeight="1">
      <c r="A106" t="str">
        <f>AND(#REF!,"AAAAAG/zegA=")</f>
        <v>#REF!</v>
      </c>
      <c r="B106" t="str">
        <f>AND(#REF!,"AAAAAG/zegE=")</f>
        <v>#REF!</v>
      </c>
      <c r="C106" t="str">
        <f>AND(#REF!,"AAAAAG/zegI=")</f>
        <v>#REF!</v>
      </c>
      <c r="D106" t="str">
        <f>AND(#REF!,"AAAAAG/zegM=")</f>
        <v>#REF!</v>
      </c>
      <c r="E106" t="str">
        <f>AND(#REF!,"AAAAAG/zegQ=")</f>
        <v>#REF!</v>
      </c>
      <c r="F106" t="str">
        <f>AND(#REF!,"AAAAAG/zegU=")</f>
        <v>#REF!</v>
      </c>
      <c r="G106" t="str">
        <f>AND(#REF!,"AAAAAG/zegY=")</f>
        <v>#REF!</v>
      </c>
      <c r="H106" t="str">
        <f>AND(#REF!,"AAAAAG/zegc=")</f>
        <v>#REF!</v>
      </c>
      <c r="I106" t="str">
        <f>AND(#REF!,"AAAAAG/zegg=")</f>
        <v>#REF!</v>
      </c>
      <c r="J106" t="str">
        <f>AND(#REF!,"AAAAAG/zegk=")</f>
        <v>#REF!</v>
      </c>
      <c r="K106" t="str">
        <f>AND(#REF!,"AAAAAG/zego=")</f>
        <v>#REF!</v>
      </c>
      <c r="L106" t="str">
        <f>AND(#REF!,"AAAAAG/zegs=")</f>
        <v>#REF!</v>
      </c>
      <c r="M106" t="str">
        <f>AND(#REF!,"AAAAAG/zegw=")</f>
        <v>#REF!</v>
      </c>
      <c r="N106" t="str">
        <f>AND(#REF!,"AAAAAG/zeg0=")</f>
        <v>#REF!</v>
      </c>
      <c r="O106" t="str">
        <f>AND(#REF!,"AAAAAG/zeg4=")</f>
        <v>#REF!</v>
      </c>
      <c r="P106" t="str">
        <f>AND(#REF!,"AAAAAG/zeg8=")</f>
        <v>#REF!</v>
      </c>
      <c r="Q106" t="str">
        <f>AND(#REF!,"AAAAAG/zehA=")</f>
        <v>#REF!</v>
      </c>
      <c r="R106" t="str">
        <f>AND(#REF!,"AAAAAG/zehE=")</f>
        <v>#REF!</v>
      </c>
      <c r="S106" t="str">
        <f>AND(#REF!,"AAAAAG/zehI=")</f>
        <v>#REF!</v>
      </c>
      <c r="T106" t="str">
        <f>AND(#REF!,"AAAAAG/zehM=")</f>
        <v>#REF!</v>
      </c>
      <c r="U106" t="str">
        <f>AND(#REF!,"AAAAAG/zehQ=")</f>
        <v>#REF!</v>
      </c>
      <c r="V106" t="str">
        <f>AND(#REF!,"AAAAAG/zehU=")</f>
        <v>#REF!</v>
      </c>
      <c r="W106" t="str">
        <f>AND(#REF!,"AAAAAG/zehY=")</f>
        <v>#REF!</v>
      </c>
      <c r="X106" t="str">
        <f>AND(#REF!,"AAAAAG/zehc=")</f>
        <v>#REF!</v>
      </c>
      <c r="Y106" t="str">
        <f>AND(#REF!,"AAAAAG/zehg=")</f>
        <v>#REF!</v>
      </c>
      <c r="Z106" t="str">
        <f>AND(#REF!,"AAAAAG/zehk=")</f>
        <v>#REF!</v>
      </c>
      <c r="AA106" t="str">
        <f>AND(#REF!,"AAAAAG/zeho=")</f>
        <v>#REF!</v>
      </c>
      <c r="AB106" t="str">
        <f>AND(#REF!,"AAAAAG/zehs=")</f>
        <v>#REF!</v>
      </c>
      <c r="AC106" t="str">
        <f>AND(#REF!,"AAAAAG/zehw=")</f>
        <v>#REF!</v>
      </c>
      <c r="AD106" t="str">
        <f>AND(#REF!,"AAAAAG/zeh0=")</f>
        <v>#REF!</v>
      </c>
      <c r="AE106" t="str">
        <f>AND(#REF!,"AAAAAG/zeh4=")</f>
        <v>#REF!</v>
      </c>
      <c r="AF106" t="str">
        <f>AND(#REF!,"AAAAAG/zeh8=")</f>
        <v>#REF!</v>
      </c>
      <c r="AG106" t="str">
        <f>AND(#REF!,"AAAAAG/zeiA=")</f>
        <v>#REF!</v>
      </c>
      <c r="AH106" t="str">
        <f>AND(#REF!,"AAAAAG/zeiE=")</f>
        <v>#REF!</v>
      </c>
      <c r="AI106" t="str">
        <f>AND(#REF!,"AAAAAG/zeiI=")</f>
        <v>#REF!</v>
      </c>
      <c r="AJ106" t="str">
        <f>AND(#REF!,"AAAAAG/zeiM=")</f>
        <v>#REF!</v>
      </c>
      <c r="AK106" t="str">
        <f>AND(#REF!,"AAAAAG/zeiQ=")</f>
        <v>#REF!</v>
      </c>
      <c r="AL106" t="str">
        <f>AND(#REF!,"AAAAAG/zeiU=")</f>
        <v>#REF!</v>
      </c>
      <c r="AM106" t="str">
        <f>AND(#REF!,"AAAAAG/zeiY=")</f>
        <v>#REF!</v>
      </c>
      <c r="AN106" t="str">
        <f>AND(#REF!,"AAAAAG/zeic=")</f>
        <v>#REF!</v>
      </c>
      <c r="AO106" t="str">
        <f>AND(#REF!,"AAAAAG/zeig=")</f>
        <v>#REF!</v>
      </c>
      <c r="AP106" t="str">
        <f>AND(#REF!,"AAAAAG/zeik=")</f>
        <v>#REF!</v>
      </c>
      <c r="AQ106" t="str">
        <f>AND(#REF!,"AAAAAG/zeio=")</f>
        <v>#REF!</v>
      </c>
      <c r="AR106" t="str">
        <f>IF(#REF!,"AAAAAG/zeis=",0)</f>
        <v>#REF!</v>
      </c>
      <c r="AS106" t="str">
        <f>AND(#REF!,"AAAAAG/zeiw=")</f>
        <v>#REF!</v>
      </c>
      <c r="AT106" t="str">
        <f>AND(#REF!,"AAAAAG/zei0=")</f>
        <v>#REF!</v>
      </c>
      <c r="AU106" t="str">
        <f>AND(#REF!,"AAAAAG/zei4=")</f>
        <v>#REF!</v>
      </c>
      <c r="AV106" t="str">
        <f>AND(#REF!,"AAAAAG/zei8=")</f>
        <v>#REF!</v>
      </c>
      <c r="AW106" t="str">
        <f>AND(#REF!,"AAAAAG/zejA=")</f>
        <v>#REF!</v>
      </c>
      <c r="AX106" t="str">
        <f>AND(#REF!,"AAAAAG/zejE=")</f>
        <v>#REF!</v>
      </c>
      <c r="AY106" t="str">
        <f>AND(#REF!,"AAAAAG/zejI=")</f>
        <v>#REF!</v>
      </c>
      <c r="AZ106" t="str">
        <f>AND(#REF!,"AAAAAG/zejM=")</f>
        <v>#REF!</v>
      </c>
      <c r="BA106" t="str">
        <f>AND(#REF!,"AAAAAG/zejQ=")</f>
        <v>#REF!</v>
      </c>
      <c r="BB106" t="str">
        <f>AND(#REF!,"AAAAAG/zejU=")</f>
        <v>#REF!</v>
      </c>
      <c r="BC106" t="str">
        <f>AND(#REF!,"AAAAAG/zejY=")</f>
        <v>#REF!</v>
      </c>
      <c r="BD106" t="str">
        <f>AND(#REF!,"AAAAAG/zejc=")</f>
        <v>#REF!</v>
      </c>
      <c r="BE106" t="str">
        <f>AND(#REF!,"AAAAAG/zejg=")</f>
        <v>#REF!</v>
      </c>
      <c r="BF106" t="str">
        <f>AND(#REF!,"AAAAAG/zejk=")</f>
        <v>#REF!</v>
      </c>
      <c r="BG106" t="str">
        <f>AND(#REF!,"AAAAAG/zejo=")</f>
        <v>#REF!</v>
      </c>
      <c r="BH106" t="str">
        <f>AND(#REF!,"AAAAAG/zejs=")</f>
        <v>#REF!</v>
      </c>
      <c r="BI106" t="str">
        <f>AND(#REF!,"AAAAAG/zejw=")</f>
        <v>#REF!</v>
      </c>
      <c r="BJ106" t="str">
        <f>AND(#REF!,"AAAAAG/zej0=")</f>
        <v>#REF!</v>
      </c>
      <c r="BK106" t="str">
        <f>AND(#REF!,"AAAAAG/zej4=")</f>
        <v>#REF!</v>
      </c>
      <c r="BL106" t="str">
        <f>AND(#REF!,"AAAAAG/zej8=")</f>
        <v>#REF!</v>
      </c>
      <c r="BM106" t="str">
        <f>AND(#REF!,"AAAAAG/zekA=")</f>
        <v>#REF!</v>
      </c>
      <c r="BN106" t="str">
        <f>AND(#REF!,"AAAAAG/zekE=")</f>
        <v>#REF!</v>
      </c>
      <c r="BO106" t="str">
        <f>AND(#REF!,"AAAAAG/zekI=")</f>
        <v>#REF!</v>
      </c>
      <c r="BP106" t="str">
        <f>AND(#REF!,"AAAAAG/zekM=")</f>
        <v>#REF!</v>
      </c>
      <c r="BQ106" t="str">
        <f>AND(#REF!,"AAAAAG/zekQ=")</f>
        <v>#REF!</v>
      </c>
      <c r="BR106" t="str">
        <f>AND(#REF!,"AAAAAG/zekU=")</f>
        <v>#REF!</v>
      </c>
      <c r="BS106" t="str">
        <f>AND(#REF!,"AAAAAG/zekY=")</f>
        <v>#REF!</v>
      </c>
      <c r="BT106" t="str">
        <f>AND(#REF!,"AAAAAG/zekc=")</f>
        <v>#REF!</v>
      </c>
      <c r="BU106" t="str">
        <f>AND(#REF!,"AAAAAG/zekg=")</f>
        <v>#REF!</v>
      </c>
      <c r="BV106" t="str">
        <f>AND(#REF!,"AAAAAG/zekk=")</f>
        <v>#REF!</v>
      </c>
      <c r="BW106" t="str">
        <f>AND(#REF!,"AAAAAG/zeko=")</f>
        <v>#REF!</v>
      </c>
      <c r="BX106" t="str">
        <f>AND(#REF!,"AAAAAG/zeks=")</f>
        <v>#REF!</v>
      </c>
      <c r="BY106" t="str">
        <f>AND(#REF!,"AAAAAG/zekw=")</f>
        <v>#REF!</v>
      </c>
      <c r="BZ106" t="str">
        <f>AND(#REF!,"AAAAAG/zek0=")</f>
        <v>#REF!</v>
      </c>
      <c r="CA106" t="str">
        <f>AND(#REF!,"AAAAAG/zek4=")</f>
        <v>#REF!</v>
      </c>
      <c r="CB106" t="str">
        <f>AND(#REF!,"AAAAAG/zek8=")</f>
        <v>#REF!</v>
      </c>
      <c r="CC106" t="str">
        <f>AND(#REF!,"AAAAAG/zelA=")</f>
        <v>#REF!</v>
      </c>
      <c r="CD106" t="str">
        <f>AND(#REF!,"AAAAAG/zelE=")</f>
        <v>#REF!</v>
      </c>
      <c r="CE106" t="str">
        <f>AND(#REF!,"AAAAAG/zelI=")</f>
        <v>#REF!</v>
      </c>
      <c r="CF106" t="str">
        <f>AND(#REF!,"AAAAAG/zelM=")</f>
        <v>#REF!</v>
      </c>
      <c r="CG106" t="str">
        <f>AND(#REF!,"AAAAAG/zelQ=")</f>
        <v>#REF!</v>
      </c>
      <c r="CH106" t="str">
        <f>AND(#REF!,"AAAAAG/zelU=")</f>
        <v>#REF!</v>
      </c>
      <c r="CI106" t="str">
        <f>AND(#REF!,"AAAAAG/zelY=")</f>
        <v>#REF!</v>
      </c>
      <c r="CJ106" t="str">
        <f>AND(#REF!,"AAAAAG/zelc=")</f>
        <v>#REF!</v>
      </c>
      <c r="CK106" t="str">
        <f>AND(#REF!,"AAAAAG/zelg=")</f>
        <v>#REF!</v>
      </c>
      <c r="CL106" t="str">
        <f>AND(#REF!,"AAAAAG/zelk=")</f>
        <v>#REF!</v>
      </c>
      <c r="CM106" t="str">
        <f>AND(#REF!,"AAAAAG/zelo=")</f>
        <v>#REF!</v>
      </c>
      <c r="CN106" t="str">
        <f>AND(#REF!,"AAAAAG/zels=")</f>
        <v>#REF!</v>
      </c>
      <c r="CO106" t="str">
        <f>AND(#REF!,"AAAAAG/zelw=")</f>
        <v>#REF!</v>
      </c>
      <c r="CP106" t="str">
        <f>AND(#REF!,"AAAAAG/zel0=")</f>
        <v>#REF!</v>
      </c>
      <c r="CQ106" t="str">
        <f>AND(#REF!,"AAAAAG/zel4=")</f>
        <v>#REF!</v>
      </c>
      <c r="CR106" t="str">
        <f>AND(#REF!,"AAAAAG/zel8=")</f>
        <v>#REF!</v>
      </c>
      <c r="CS106" t="str">
        <f>AND(#REF!,"AAAAAG/zemA=")</f>
        <v>#REF!</v>
      </c>
      <c r="CT106" t="str">
        <f>AND(#REF!,"AAAAAG/zemE=")</f>
        <v>#REF!</v>
      </c>
      <c r="CU106" t="str">
        <f>AND(#REF!,"AAAAAG/zemI=")</f>
        <v>#REF!</v>
      </c>
      <c r="CV106" t="str">
        <f>AND(#REF!,"AAAAAG/zemM=")</f>
        <v>#REF!</v>
      </c>
      <c r="CW106" t="str">
        <f>AND(#REF!,"AAAAAG/zemQ=")</f>
        <v>#REF!</v>
      </c>
      <c r="CX106" t="str">
        <f>AND(#REF!,"AAAAAG/zemU=")</f>
        <v>#REF!</v>
      </c>
      <c r="CY106" t="str">
        <f>AND(#REF!,"AAAAAG/zemY=")</f>
        <v>#REF!</v>
      </c>
      <c r="CZ106" t="str">
        <f>AND(#REF!,"AAAAAG/zemc=")</f>
        <v>#REF!</v>
      </c>
      <c r="DA106" t="str">
        <f>AND(#REF!,"AAAAAG/zemg=")</f>
        <v>#REF!</v>
      </c>
      <c r="DB106" t="str">
        <f>AND(#REF!,"AAAAAG/zemk=")</f>
        <v>#REF!</v>
      </c>
      <c r="DC106" t="str">
        <f>AND(#REF!,"AAAAAG/zemo=")</f>
        <v>#REF!</v>
      </c>
      <c r="DD106" t="str">
        <f>AND(#REF!,"AAAAAG/zems=")</f>
        <v>#REF!</v>
      </c>
      <c r="DE106" t="str">
        <f>AND(#REF!,"AAAAAG/zemw=")</f>
        <v>#REF!</v>
      </c>
      <c r="DF106" t="str">
        <f>AND(#REF!,"AAAAAG/zem0=")</f>
        <v>#REF!</v>
      </c>
      <c r="DG106" t="str">
        <f>AND(#REF!,"AAAAAG/zem4=")</f>
        <v>#REF!</v>
      </c>
      <c r="DH106" t="str">
        <f>AND(#REF!,"AAAAAG/zem8=")</f>
        <v>#REF!</v>
      </c>
      <c r="DI106" t="str">
        <f>AND(#REF!,"AAAAAG/zenA=")</f>
        <v>#REF!</v>
      </c>
      <c r="DJ106" t="str">
        <f>AND(#REF!,"AAAAAG/zenE=")</f>
        <v>#REF!</v>
      </c>
      <c r="DK106" t="str">
        <f>AND(#REF!,"AAAAAG/zenI=")</f>
        <v>#REF!</v>
      </c>
      <c r="DL106" t="str">
        <f>AND(#REF!,"AAAAAG/zenM=")</f>
        <v>#REF!</v>
      </c>
      <c r="DM106" t="str">
        <f>AND(#REF!,"AAAAAG/zenQ=")</f>
        <v>#REF!</v>
      </c>
      <c r="DN106" t="str">
        <f>AND(#REF!,"AAAAAG/zenU=")</f>
        <v>#REF!</v>
      </c>
      <c r="DO106" t="str">
        <f>AND(#REF!,"AAAAAG/zenY=")</f>
        <v>#REF!</v>
      </c>
      <c r="DP106" t="str">
        <f>IF(#REF!,"AAAAAG/zenc=",0)</f>
        <v>#REF!</v>
      </c>
      <c r="DQ106" t="str">
        <f>AND(#REF!,"AAAAAG/zeng=")</f>
        <v>#REF!</v>
      </c>
      <c r="DR106" t="str">
        <f>AND(#REF!,"AAAAAG/zenk=")</f>
        <v>#REF!</v>
      </c>
      <c r="DS106" t="str">
        <f>AND(#REF!,"AAAAAG/zeno=")</f>
        <v>#REF!</v>
      </c>
      <c r="DT106" t="str">
        <f>AND(#REF!,"AAAAAG/zens=")</f>
        <v>#REF!</v>
      </c>
      <c r="DU106" t="str">
        <f>AND(#REF!,"AAAAAG/zenw=")</f>
        <v>#REF!</v>
      </c>
      <c r="DV106" t="str">
        <f>AND(#REF!,"AAAAAG/zen0=")</f>
        <v>#REF!</v>
      </c>
      <c r="DW106" t="str">
        <f>AND(#REF!,"AAAAAG/zen4=")</f>
        <v>#REF!</v>
      </c>
      <c r="DX106" t="str">
        <f>AND(#REF!,"AAAAAG/zen8=")</f>
        <v>#REF!</v>
      </c>
      <c r="DY106" t="str">
        <f>AND(#REF!,"AAAAAG/zeoA=")</f>
        <v>#REF!</v>
      </c>
      <c r="DZ106" t="str">
        <f>AND(#REF!,"AAAAAG/zeoE=")</f>
        <v>#REF!</v>
      </c>
      <c r="EA106" t="str">
        <f>AND(#REF!,"AAAAAG/zeoI=")</f>
        <v>#REF!</v>
      </c>
      <c r="EB106" t="str">
        <f>AND(#REF!,"AAAAAG/zeoM=")</f>
        <v>#REF!</v>
      </c>
      <c r="EC106" t="str">
        <f>AND(#REF!,"AAAAAG/zeoQ=")</f>
        <v>#REF!</v>
      </c>
      <c r="ED106" t="str">
        <f>AND(#REF!,"AAAAAG/zeoU=")</f>
        <v>#REF!</v>
      </c>
      <c r="EE106" t="str">
        <f>AND(#REF!,"AAAAAG/zeoY=")</f>
        <v>#REF!</v>
      </c>
      <c r="EF106" t="str">
        <f>AND(#REF!,"AAAAAG/zeoc=")</f>
        <v>#REF!</v>
      </c>
      <c r="EG106" t="str">
        <f>AND(#REF!,"AAAAAG/zeog=")</f>
        <v>#REF!</v>
      </c>
      <c r="EH106" t="str">
        <f>AND(#REF!,"AAAAAG/zeok=")</f>
        <v>#REF!</v>
      </c>
      <c r="EI106" t="str">
        <f>AND(#REF!,"AAAAAG/zeoo=")</f>
        <v>#REF!</v>
      </c>
      <c r="EJ106" t="str">
        <f>AND(#REF!,"AAAAAG/zeos=")</f>
        <v>#REF!</v>
      </c>
      <c r="EK106" t="str">
        <f>AND(#REF!,"AAAAAG/zeow=")</f>
        <v>#REF!</v>
      </c>
      <c r="EL106" t="str">
        <f>AND(#REF!,"AAAAAG/zeo0=")</f>
        <v>#REF!</v>
      </c>
      <c r="EM106" t="str">
        <f>AND(#REF!,"AAAAAG/zeo4=")</f>
        <v>#REF!</v>
      </c>
      <c r="EN106" t="str">
        <f>AND(#REF!,"AAAAAG/zeo8=")</f>
        <v>#REF!</v>
      </c>
      <c r="EO106" t="str">
        <f>AND(#REF!,"AAAAAG/zepA=")</f>
        <v>#REF!</v>
      </c>
      <c r="EP106" t="str">
        <f>AND(#REF!,"AAAAAG/zepE=")</f>
        <v>#REF!</v>
      </c>
      <c r="EQ106" t="str">
        <f>AND(#REF!,"AAAAAG/zepI=")</f>
        <v>#REF!</v>
      </c>
      <c r="ER106" t="str">
        <f>AND(#REF!,"AAAAAG/zepM=")</f>
        <v>#REF!</v>
      </c>
      <c r="ES106" t="str">
        <f>AND(#REF!,"AAAAAG/zepQ=")</f>
        <v>#REF!</v>
      </c>
      <c r="ET106" t="str">
        <f>AND(#REF!,"AAAAAG/zepU=")</f>
        <v>#REF!</v>
      </c>
      <c r="EU106" t="str">
        <f>AND(#REF!,"AAAAAG/zepY=")</f>
        <v>#REF!</v>
      </c>
      <c r="EV106" t="str">
        <f>AND(#REF!,"AAAAAG/zepc=")</f>
        <v>#REF!</v>
      </c>
      <c r="EW106" t="str">
        <f>AND(#REF!,"AAAAAG/zepg=")</f>
        <v>#REF!</v>
      </c>
      <c r="EX106" t="str">
        <f>AND(#REF!,"AAAAAG/zepk=")</f>
        <v>#REF!</v>
      </c>
      <c r="EY106" t="str">
        <f>AND(#REF!,"AAAAAG/zepo=")</f>
        <v>#REF!</v>
      </c>
      <c r="EZ106" t="str">
        <f>AND(#REF!,"AAAAAG/zeps=")</f>
        <v>#REF!</v>
      </c>
      <c r="FA106" t="str">
        <f>AND(#REF!,"AAAAAG/zepw=")</f>
        <v>#REF!</v>
      </c>
      <c r="FB106" t="str">
        <f>AND(#REF!,"AAAAAG/zep0=")</f>
        <v>#REF!</v>
      </c>
      <c r="FC106" t="str">
        <f>AND(#REF!,"AAAAAG/zep4=")</f>
        <v>#REF!</v>
      </c>
      <c r="FD106" t="str">
        <f>AND(#REF!,"AAAAAG/zep8=")</f>
        <v>#REF!</v>
      </c>
      <c r="FE106" t="str">
        <f>AND(#REF!,"AAAAAG/zeqA=")</f>
        <v>#REF!</v>
      </c>
      <c r="FF106" t="str">
        <f>AND(#REF!,"AAAAAG/zeqE=")</f>
        <v>#REF!</v>
      </c>
      <c r="FG106" t="str">
        <f>AND(#REF!,"AAAAAG/zeqI=")</f>
        <v>#REF!</v>
      </c>
      <c r="FH106" t="str">
        <f>AND(#REF!,"AAAAAG/zeqM=")</f>
        <v>#REF!</v>
      </c>
      <c r="FI106" t="str">
        <f>AND(#REF!,"AAAAAG/zeqQ=")</f>
        <v>#REF!</v>
      </c>
      <c r="FJ106" t="str">
        <f>AND(#REF!,"AAAAAG/zeqU=")</f>
        <v>#REF!</v>
      </c>
      <c r="FK106" t="str">
        <f>AND(#REF!,"AAAAAG/zeqY=")</f>
        <v>#REF!</v>
      </c>
      <c r="FL106" t="str">
        <f>AND(#REF!,"AAAAAG/zeqc=")</f>
        <v>#REF!</v>
      </c>
      <c r="FM106" t="str">
        <f>AND(#REF!,"AAAAAG/zeqg=")</f>
        <v>#REF!</v>
      </c>
      <c r="FN106" t="str">
        <f>AND(#REF!,"AAAAAG/zeqk=")</f>
        <v>#REF!</v>
      </c>
      <c r="FO106" t="str">
        <f>AND(#REF!,"AAAAAG/zeqo=")</f>
        <v>#REF!</v>
      </c>
      <c r="FP106" t="str">
        <f>AND(#REF!,"AAAAAG/zeqs=")</f>
        <v>#REF!</v>
      </c>
      <c r="FQ106" t="str">
        <f>AND(#REF!,"AAAAAG/zeqw=")</f>
        <v>#REF!</v>
      </c>
      <c r="FR106" t="str">
        <f>AND(#REF!,"AAAAAG/zeq0=")</f>
        <v>#REF!</v>
      </c>
      <c r="FS106" t="str">
        <f>AND(#REF!,"AAAAAG/zeq4=")</f>
        <v>#REF!</v>
      </c>
      <c r="FT106" t="str">
        <f>AND(#REF!,"AAAAAG/zeq8=")</f>
        <v>#REF!</v>
      </c>
      <c r="FU106" t="str">
        <f>AND(#REF!,"AAAAAG/zerA=")</f>
        <v>#REF!</v>
      </c>
      <c r="FV106" t="str">
        <f>AND(#REF!,"AAAAAG/zerE=")</f>
        <v>#REF!</v>
      </c>
      <c r="FW106" t="str">
        <f>AND(#REF!,"AAAAAG/zerI=")</f>
        <v>#REF!</v>
      </c>
      <c r="FX106" t="str">
        <f>AND(#REF!,"AAAAAG/zerM=")</f>
        <v>#REF!</v>
      </c>
      <c r="FY106" t="str">
        <f>AND(#REF!,"AAAAAG/zerQ=")</f>
        <v>#REF!</v>
      </c>
      <c r="FZ106" t="str">
        <f>AND(#REF!,"AAAAAG/zerU=")</f>
        <v>#REF!</v>
      </c>
      <c r="GA106" t="str">
        <f>AND(#REF!,"AAAAAG/zerY=")</f>
        <v>#REF!</v>
      </c>
      <c r="GB106" t="str">
        <f>AND(#REF!,"AAAAAG/zerc=")</f>
        <v>#REF!</v>
      </c>
      <c r="GC106" t="str">
        <f>AND(#REF!,"AAAAAG/zerg=")</f>
        <v>#REF!</v>
      </c>
      <c r="GD106" t="str">
        <f>AND(#REF!,"AAAAAG/zerk=")</f>
        <v>#REF!</v>
      </c>
      <c r="GE106" t="str">
        <f>AND(#REF!,"AAAAAG/zero=")</f>
        <v>#REF!</v>
      </c>
      <c r="GF106" t="str">
        <f>AND(#REF!,"AAAAAG/zers=")</f>
        <v>#REF!</v>
      </c>
      <c r="GG106" t="str">
        <f>AND(#REF!,"AAAAAG/zerw=")</f>
        <v>#REF!</v>
      </c>
      <c r="GH106" t="str">
        <f>AND(#REF!,"AAAAAG/zer0=")</f>
        <v>#REF!</v>
      </c>
      <c r="GI106" t="str">
        <f>AND(#REF!,"AAAAAG/zer4=")</f>
        <v>#REF!</v>
      </c>
      <c r="GJ106" t="str">
        <f>AND(#REF!,"AAAAAG/zer8=")</f>
        <v>#REF!</v>
      </c>
      <c r="GK106" t="str">
        <f>AND(#REF!,"AAAAAG/zesA=")</f>
        <v>#REF!</v>
      </c>
      <c r="GL106" t="str">
        <f>AND(#REF!,"AAAAAG/zesE=")</f>
        <v>#REF!</v>
      </c>
      <c r="GM106" t="str">
        <f>AND(#REF!,"AAAAAG/zesI=")</f>
        <v>#REF!</v>
      </c>
      <c r="GN106" t="str">
        <f>IF(#REF!,"AAAAAG/zesM=",0)</f>
        <v>#REF!</v>
      </c>
      <c r="GO106" t="str">
        <f>AND(#REF!,"AAAAAG/zesQ=")</f>
        <v>#REF!</v>
      </c>
      <c r="GP106" t="str">
        <f>AND(#REF!,"AAAAAG/zesU=")</f>
        <v>#REF!</v>
      </c>
      <c r="GQ106" t="str">
        <f>AND(#REF!,"AAAAAG/zesY=")</f>
        <v>#REF!</v>
      </c>
      <c r="GR106" t="str">
        <f>AND(#REF!,"AAAAAG/zesc=")</f>
        <v>#REF!</v>
      </c>
      <c r="GS106" t="str">
        <f>AND(#REF!,"AAAAAG/zesg=")</f>
        <v>#REF!</v>
      </c>
      <c r="GT106" t="str">
        <f>AND(#REF!,"AAAAAG/zesk=")</f>
        <v>#REF!</v>
      </c>
      <c r="GU106" t="str">
        <f>AND(#REF!,"AAAAAG/zeso=")</f>
        <v>#REF!</v>
      </c>
      <c r="GV106" t="str">
        <f>AND(#REF!,"AAAAAG/zess=")</f>
        <v>#REF!</v>
      </c>
      <c r="GW106" t="str">
        <f>AND(#REF!,"AAAAAG/zesw=")</f>
        <v>#REF!</v>
      </c>
      <c r="GX106" t="str">
        <f>AND(#REF!,"AAAAAG/zes0=")</f>
        <v>#REF!</v>
      </c>
      <c r="GY106" t="str">
        <f>AND(#REF!,"AAAAAG/zes4=")</f>
        <v>#REF!</v>
      </c>
      <c r="GZ106" t="str">
        <f>AND(#REF!,"AAAAAG/zes8=")</f>
        <v>#REF!</v>
      </c>
      <c r="HA106" t="str">
        <f>AND(#REF!,"AAAAAG/zetA=")</f>
        <v>#REF!</v>
      </c>
      <c r="HB106" t="str">
        <f>AND(#REF!,"AAAAAG/zetE=")</f>
        <v>#REF!</v>
      </c>
      <c r="HC106" t="str">
        <f>AND(#REF!,"AAAAAG/zetI=")</f>
        <v>#REF!</v>
      </c>
      <c r="HD106" t="str">
        <f>AND(#REF!,"AAAAAG/zetM=")</f>
        <v>#REF!</v>
      </c>
      <c r="HE106" t="str">
        <f>AND(#REF!,"AAAAAG/zetQ=")</f>
        <v>#REF!</v>
      </c>
      <c r="HF106" t="str">
        <f>AND(#REF!,"AAAAAG/zetU=")</f>
        <v>#REF!</v>
      </c>
      <c r="HG106" t="str">
        <f>AND(#REF!,"AAAAAG/zetY=")</f>
        <v>#REF!</v>
      </c>
      <c r="HH106" t="str">
        <f>AND(#REF!,"AAAAAG/zetc=")</f>
        <v>#REF!</v>
      </c>
      <c r="HI106" t="str">
        <f>AND(#REF!,"AAAAAG/zetg=")</f>
        <v>#REF!</v>
      </c>
      <c r="HJ106" t="str">
        <f>AND(#REF!,"AAAAAG/zetk=")</f>
        <v>#REF!</v>
      </c>
      <c r="HK106" t="str">
        <f>AND(#REF!,"AAAAAG/zeto=")</f>
        <v>#REF!</v>
      </c>
      <c r="HL106" t="str">
        <f>AND(#REF!,"AAAAAG/zets=")</f>
        <v>#REF!</v>
      </c>
      <c r="HM106" t="str">
        <f>AND(#REF!,"AAAAAG/zetw=")</f>
        <v>#REF!</v>
      </c>
      <c r="HN106" t="str">
        <f>AND(#REF!,"AAAAAG/zet0=")</f>
        <v>#REF!</v>
      </c>
      <c r="HO106" t="str">
        <f>AND(#REF!,"AAAAAG/zet4=")</f>
        <v>#REF!</v>
      </c>
      <c r="HP106" t="str">
        <f>AND(#REF!,"AAAAAG/zet8=")</f>
        <v>#REF!</v>
      </c>
      <c r="HQ106" t="str">
        <f>AND(#REF!,"AAAAAG/zeuA=")</f>
        <v>#REF!</v>
      </c>
      <c r="HR106" t="str">
        <f>AND(#REF!,"AAAAAG/zeuE=")</f>
        <v>#REF!</v>
      </c>
      <c r="HS106" t="str">
        <f>AND(#REF!,"AAAAAG/zeuI=")</f>
        <v>#REF!</v>
      </c>
      <c r="HT106" t="str">
        <f>AND(#REF!,"AAAAAG/zeuM=")</f>
        <v>#REF!</v>
      </c>
      <c r="HU106" t="str">
        <f>AND(#REF!,"AAAAAG/zeuQ=")</f>
        <v>#REF!</v>
      </c>
      <c r="HV106" t="str">
        <f>AND(#REF!,"AAAAAG/zeuU=")</f>
        <v>#REF!</v>
      </c>
      <c r="HW106" t="str">
        <f>AND(#REF!,"AAAAAG/zeuY=")</f>
        <v>#REF!</v>
      </c>
      <c r="HX106" t="str">
        <f>AND(#REF!,"AAAAAG/zeuc=")</f>
        <v>#REF!</v>
      </c>
      <c r="HY106" t="str">
        <f>AND(#REF!,"AAAAAG/zeug=")</f>
        <v>#REF!</v>
      </c>
      <c r="HZ106" t="str">
        <f>AND(#REF!,"AAAAAG/zeuk=")</f>
        <v>#REF!</v>
      </c>
      <c r="IA106" t="str">
        <f>AND(#REF!,"AAAAAG/zeuo=")</f>
        <v>#REF!</v>
      </c>
      <c r="IB106" t="str">
        <f>AND(#REF!,"AAAAAG/zeus=")</f>
        <v>#REF!</v>
      </c>
      <c r="IC106" t="str">
        <f>AND(#REF!,"AAAAAG/zeuw=")</f>
        <v>#REF!</v>
      </c>
      <c r="ID106" t="str">
        <f>AND(#REF!,"AAAAAG/zeu0=")</f>
        <v>#REF!</v>
      </c>
      <c r="IE106" t="str">
        <f>AND(#REF!,"AAAAAG/zeu4=")</f>
        <v>#REF!</v>
      </c>
      <c r="IF106" t="str">
        <f>AND(#REF!,"AAAAAG/zeu8=")</f>
        <v>#REF!</v>
      </c>
      <c r="IG106" t="str">
        <f>AND(#REF!,"AAAAAG/zevA=")</f>
        <v>#REF!</v>
      </c>
      <c r="IH106" t="str">
        <f>AND(#REF!,"AAAAAG/zevE=")</f>
        <v>#REF!</v>
      </c>
      <c r="II106" t="str">
        <f>AND(#REF!,"AAAAAG/zevI=")</f>
        <v>#REF!</v>
      </c>
      <c r="IJ106" t="str">
        <f>AND(#REF!,"AAAAAG/zevM=")</f>
        <v>#REF!</v>
      </c>
      <c r="IK106" t="str">
        <f>AND(#REF!,"AAAAAG/zevQ=")</f>
        <v>#REF!</v>
      </c>
      <c r="IL106" t="str">
        <f>AND(#REF!,"AAAAAG/zevU=")</f>
        <v>#REF!</v>
      </c>
      <c r="IM106" t="str">
        <f>AND(#REF!,"AAAAAG/zevY=")</f>
        <v>#REF!</v>
      </c>
      <c r="IN106" t="str">
        <f>AND(#REF!,"AAAAAG/zevc=")</f>
        <v>#REF!</v>
      </c>
      <c r="IO106" t="str">
        <f>AND(#REF!,"AAAAAG/zevg=")</f>
        <v>#REF!</v>
      </c>
      <c r="IP106" t="str">
        <f>AND(#REF!,"AAAAAG/zevk=")</f>
        <v>#REF!</v>
      </c>
      <c r="IQ106" t="str">
        <f>AND(#REF!,"AAAAAG/zevo=")</f>
        <v>#REF!</v>
      </c>
      <c r="IR106" t="str">
        <f>AND(#REF!,"AAAAAG/zevs=")</f>
        <v>#REF!</v>
      </c>
      <c r="IS106" t="str">
        <f>AND(#REF!,"AAAAAG/zevw=")</f>
        <v>#REF!</v>
      </c>
      <c r="IT106" t="str">
        <f>AND(#REF!,"AAAAAG/zev0=")</f>
        <v>#REF!</v>
      </c>
      <c r="IU106" t="str">
        <f>AND(#REF!,"AAAAAG/zev4=")</f>
        <v>#REF!</v>
      </c>
      <c r="IV106" t="str">
        <f>AND(#REF!,"AAAAAG/zev8=")</f>
        <v>#REF!</v>
      </c>
    </row>
    <row r="107" ht="15.75" customHeight="1">
      <c r="A107" t="str">
        <f>AND(#REF!,"AAAAAC///QA=")</f>
        <v>#REF!</v>
      </c>
      <c r="B107" t="str">
        <f>AND(#REF!,"AAAAAC///QE=")</f>
        <v>#REF!</v>
      </c>
      <c r="C107" t="str">
        <f>AND(#REF!,"AAAAAC///QI=")</f>
        <v>#REF!</v>
      </c>
      <c r="D107" t="str">
        <f>AND(#REF!,"AAAAAC///QM=")</f>
        <v>#REF!</v>
      </c>
      <c r="E107" t="str">
        <f>AND(#REF!,"AAAAAC///QQ=")</f>
        <v>#REF!</v>
      </c>
      <c r="F107" t="str">
        <f>AND(#REF!,"AAAAAC///QU=")</f>
        <v>#REF!</v>
      </c>
      <c r="G107" t="str">
        <f>AND(#REF!,"AAAAAC///QY=")</f>
        <v>#REF!</v>
      </c>
      <c r="H107" t="str">
        <f>AND(#REF!,"AAAAAC///Qc=")</f>
        <v>#REF!</v>
      </c>
      <c r="I107" t="str">
        <f>AND(#REF!,"AAAAAC///Qg=")</f>
        <v>#REF!</v>
      </c>
      <c r="J107" t="str">
        <f>AND(#REF!,"AAAAAC///Qk=")</f>
        <v>#REF!</v>
      </c>
      <c r="K107" t="str">
        <f>AND(#REF!,"AAAAAC///Qo=")</f>
        <v>#REF!</v>
      </c>
      <c r="L107" t="str">
        <f>AND(#REF!,"AAAAAC///Qs=")</f>
        <v>#REF!</v>
      </c>
      <c r="M107" t="str">
        <f>AND(#REF!,"AAAAAC///Qw=")</f>
        <v>#REF!</v>
      </c>
      <c r="N107" t="str">
        <f>AND(#REF!,"AAAAAC///Q0=")</f>
        <v>#REF!</v>
      </c>
      <c r="O107" t="str">
        <f>AND(#REF!,"AAAAAC///Q4=")</f>
        <v>#REF!</v>
      </c>
      <c r="P107" t="str">
        <f>IF(#REF!,"AAAAAC///Q8=",0)</f>
        <v>#REF!</v>
      </c>
      <c r="Q107" t="str">
        <f>AND(#REF!,"AAAAAC///RA=")</f>
        <v>#REF!</v>
      </c>
      <c r="R107" t="str">
        <f>AND(#REF!,"AAAAAC///RE=")</f>
        <v>#REF!</v>
      </c>
      <c r="S107" t="str">
        <f>AND(#REF!,"AAAAAC///RI=")</f>
        <v>#REF!</v>
      </c>
      <c r="T107" t="str">
        <f>AND(#REF!,"AAAAAC///RM=")</f>
        <v>#REF!</v>
      </c>
      <c r="U107" t="str">
        <f>AND(#REF!,"AAAAAC///RQ=")</f>
        <v>#REF!</v>
      </c>
      <c r="V107" t="str">
        <f>AND(#REF!,"AAAAAC///RU=")</f>
        <v>#REF!</v>
      </c>
      <c r="W107" t="str">
        <f>AND(#REF!,"AAAAAC///RY=")</f>
        <v>#REF!</v>
      </c>
      <c r="X107" t="str">
        <f>AND(#REF!,"AAAAAC///Rc=")</f>
        <v>#REF!</v>
      </c>
      <c r="Y107" t="str">
        <f>AND(#REF!,"AAAAAC///Rg=")</f>
        <v>#REF!</v>
      </c>
      <c r="Z107" t="str">
        <f>AND(#REF!,"AAAAAC///Rk=")</f>
        <v>#REF!</v>
      </c>
      <c r="AA107" t="str">
        <f>AND(#REF!,"AAAAAC///Ro=")</f>
        <v>#REF!</v>
      </c>
      <c r="AB107" t="str">
        <f>AND(#REF!,"AAAAAC///Rs=")</f>
        <v>#REF!</v>
      </c>
      <c r="AC107" t="str">
        <f>AND(#REF!,"AAAAAC///Rw=")</f>
        <v>#REF!</v>
      </c>
      <c r="AD107" t="str">
        <f>AND(#REF!,"AAAAAC///R0=")</f>
        <v>#REF!</v>
      </c>
      <c r="AE107" t="str">
        <f>AND(#REF!,"AAAAAC///R4=")</f>
        <v>#REF!</v>
      </c>
      <c r="AF107" t="str">
        <f>AND(#REF!,"AAAAAC///R8=")</f>
        <v>#REF!</v>
      </c>
      <c r="AG107" t="str">
        <f>AND(#REF!,"AAAAAC///SA=")</f>
        <v>#REF!</v>
      </c>
      <c r="AH107" t="str">
        <f>AND(#REF!,"AAAAAC///SE=")</f>
        <v>#REF!</v>
      </c>
      <c r="AI107" t="str">
        <f>AND(#REF!,"AAAAAC///SI=")</f>
        <v>#REF!</v>
      </c>
      <c r="AJ107" t="str">
        <f>AND(#REF!,"AAAAAC///SM=")</f>
        <v>#REF!</v>
      </c>
      <c r="AK107" t="str">
        <f>AND(#REF!,"AAAAAC///SQ=")</f>
        <v>#REF!</v>
      </c>
      <c r="AL107" t="str">
        <f>AND(#REF!,"AAAAAC///SU=")</f>
        <v>#REF!</v>
      </c>
      <c r="AM107" t="str">
        <f>AND(#REF!,"AAAAAC///SY=")</f>
        <v>#REF!</v>
      </c>
      <c r="AN107" t="str">
        <f>AND(#REF!,"AAAAAC///Sc=")</f>
        <v>#REF!</v>
      </c>
      <c r="AO107" t="str">
        <f>AND(#REF!,"AAAAAC///Sg=")</f>
        <v>#REF!</v>
      </c>
      <c r="AP107" t="str">
        <f>AND(#REF!,"AAAAAC///Sk=")</f>
        <v>#REF!</v>
      </c>
      <c r="AQ107" t="str">
        <f>AND(#REF!,"AAAAAC///So=")</f>
        <v>#REF!</v>
      </c>
      <c r="AR107" t="str">
        <f>AND(#REF!,"AAAAAC///Ss=")</f>
        <v>#REF!</v>
      </c>
      <c r="AS107" t="str">
        <f>AND(#REF!,"AAAAAC///Sw=")</f>
        <v>#REF!</v>
      </c>
      <c r="AT107" t="str">
        <f>AND(#REF!,"AAAAAC///S0=")</f>
        <v>#REF!</v>
      </c>
      <c r="AU107" t="str">
        <f>AND(#REF!,"AAAAAC///S4=")</f>
        <v>#REF!</v>
      </c>
      <c r="AV107" t="str">
        <f>AND(#REF!,"AAAAAC///S8=")</f>
        <v>#REF!</v>
      </c>
      <c r="AW107" t="str">
        <f>AND(#REF!,"AAAAAC///TA=")</f>
        <v>#REF!</v>
      </c>
      <c r="AX107" t="str">
        <f>AND(#REF!,"AAAAAC///TE=")</f>
        <v>#REF!</v>
      </c>
      <c r="AY107" t="str">
        <f>AND(#REF!,"AAAAAC///TI=")</f>
        <v>#REF!</v>
      </c>
      <c r="AZ107" t="str">
        <f>AND(#REF!,"AAAAAC///TM=")</f>
        <v>#REF!</v>
      </c>
      <c r="BA107" t="str">
        <f>AND(#REF!,"AAAAAC///TQ=")</f>
        <v>#REF!</v>
      </c>
      <c r="BB107" t="str">
        <f>AND(#REF!,"AAAAAC///TU=")</f>
        <v>#REF!</v>
      </c>
      <c r="BC107" t="str">
        <f>AND(#REF!,"AAAAAC///TY=")</f>
        <v>#REF!</v>
      </c>
      <c r="BD107" t="str">
        <f>AND(#REF!,"AAAAAC///Tc=")</f>
        <v>#REF!</v>
      </c>
      <c r="BE107" t="str">
        <f>AND(#REF!,"AAAAAC///Tg=")</f>
        <v>#REF!</v>
      </c>
      <c r="BF107" t="str">
        <f>AND(#REF!,"AAAAAC///Tk=")</f>
        <v>#REF!</v>
      </c>
      <c r="BG107" t="str">
        <f>AND(#REF!,"AAAAAC///To=")</f>
        <v>#REF!</v>
      </c>
      <c r="BH107" t="str">
        <f>AND(#REF!,"AAAAAC///Ts=")</f>
        <v>#REF!</v>
      </c>
      <c r="BI107" t="str">
        <f>AND(#REF!,"AAAAAC///Tw=")</f>
        <v>#REF!</v>
      </c>
      <c r="BJ107" t="str">
        <f>AND(#REF!,"AAAAAC///T0=")</f>
        <v>#REF!</v>
      </c>
      <c r="BK107" t="str">
        <f>AND(#REF!,"AAAAAC///T4=")</f>
        <v>#REF!</v>
      </c>
      <c r="BL107" t="str">
        <f>AND(#REF!,"AAAAAC///T8=")</f>
        <v>#REF!</v>
      </c>
      <c r="BM107" t="str">
        <f>AND(#REF!,"AAAAAC///UA=")</f>
        <v>#REF!</v>
      </c>
      <c r="BN107" t="str">
        <f>AND(#REF!,"AAAAAC///UE=")</f>
        <v>#REF!</v>
      </c>
      <c r="BO107" t="str">
        <f>AND(#REF!,"AAAAAC///UI=")</f>
        <v>#REF!</v>
      </c>
      <c r="BP107" t="str">
        <f>AND(#REF!,"AAAAAC///UM=")</f>
        <v>#REF!</v>
      </c>
      <c r="BQ107" t="str">
        <f>AND(#REF!,"AAAAAC///UQ=")</f>
        <v>#REF!</v>
      </c>
      <c r="BR107" t="str">
        <f>AND(#REF!,"AAAAAC///UU=")</f>
        <v>#REF!</v>
      </c>
      <c r="BS107" t="str">
        <f>AND(#REF!,"AAAAAC///UY=")</f>
        <v>#REF!</v>
      </c>
      <c r="BT107" t="str">
        <f>AND(#REF!,"AAAAAC///Uc=")</f>
        <v>#REF!</v>
      </c>
      <c r="BU107" t="str">
        <f>AND(#REF!,"AAAAAC///Ug=")</f>
        <v>#REF!</v>
      </c>
      <c r="BV107" t="str">
        <f>AND(#REF!,"AAAAAC///Uk=")</f>
        <v>#REF!</v>
      </c>
      <c r="BW107" t="str">
        <f>AND(#REF!,"AAAAAC///Uo=")</f>
        <v>#REF!</v>
      </c>
      <c r="BX107" t="str">
        <f>AND(#REF!,"AAAAAC///Us=")</f>
        <v>#REF!</v>
      </c>
      <c r="BY107" t="str">
        <f>AND(#REF!,"AAAAAC///Uw=")</f>
        <v>#REF!</v>
      </c>
      <c r="BZ107" t="str">
        <f>AND(#REF!,"AAAAAC///U0=")</f>
        <v>#REF!</v>
      </c>
      <c r="CA107" t="str">
        <f>AND(#REF!,"AAAAAC///U4=")</f>
        <v>#REF!</v>
      </c>
      <c r="CB107" t="str">
        <f>AND(#REF!,"AAAAAC///U8=")</f>
        <v>#REF!</v>
      </c>
      <c r="CC107" t="str">
        <f>AND(#REF!,"AAAAAC///VA=")</f>
        <v>#REF!</v>
      </c>
      <c r="CD107" t="str">
        <f>AND(#REF!,"AAAAAC///VE=")</f>
        <v>#REF!</v>
      </c>
      <c r="CE107" t="str">
        <f>AND(#REF!,"AAAAAC///VI=")</f>
        <v>#REF!</v>
      </c>
      <c r="CF107" t="str">
        <f>AND(#REF!,"AAAAAC///VM=")</f>
        <v>#REF!</v>
      </c>
      <c r="CG107" t="str">
        <f>AND(#REF!,"AAAAAC///VQ=")</f>
        <v>#REF!</v>
      </c>
      <c r="CH107" t="str">
        <f>AND(#REF!,"AAAAAC///VU=")</f>
        <v>#REF!</v>
      </c>
      <c r="CI107" t="str">
        <f>AND(#REF!,"AAAAAC///VY=")</f>
        <v>#REF!</v>
      </c>
      <c r="CJ107" t="str">
        <f>AND(#REF!,"AAAAAC///Vc=")</f>
        <v>#REF!</v>
      </c>
      <c r="CK107" t="str">
        <f>AND(#REF!,"AAAAAC///Vg=")</f>
        <v>#REF!</v>
      </c>
      <c r="CL107" t="str">
        <f>AND(#REF!,"AAAAAC///Vk=")</f>
        <v>#REF!</v>
      </c>
      <c r="CM107" t="str">
        <f>AND(#REF!,"AAAAAC///Vo=")</f>
        <v>#REF!</v>
      </c>
      <c r="CN107" t="str">
        <f>IF(#REF!,"AAAAAC///Vs=",0)</f>
        <v>#REF!</v>
      </c>
      <c r="CO107" t="str">
        <f>AND(#REF!,"AAAAAC///Vw=")</f>
        <v>#REF!</v>
      </c>
      <c r="CP107" t="str">
        <f>AND(#REF!,"AAAAAC///V0=")</f>
        <v>#REF!</v>
      </c>
      <c r="CQ107" t="str">
        <f>AND(#REF!,"AAAAAC///V4=")</f>
        <v>#REF!</v>
      </c>
      <c r="CR107" t="str">
        <f>AND(#REF!,"AAAAAC///V8=")</f>
        <v>#REF!</v>
      </c>
      <c r="CS107" t="str">
        <f>AND(#REF!,"AAAAAC///WA=")</f>
        <v>#REF!</v>
      </c>
      <c r="CT107" t="str">
        <f>AND(#REF!,"AAAAAC///WE=")</f>
        <v>#REF!</v>
      </c>
      <c r="CU107" t="str">
        <f>AND(#REF!,"AAAAAC///WI=")</f>
        <v>#REF!</v>
      </c>
      <c r="CV107" t="str">
        <f>AND(#REF!,"AAAAAC///WM=")</f>
        <v>#REF!</v>
      </c>
      <c r="CW107" t="str">
        <f>AND(#REF!,"AAAAAC///WQ=")</f>
        <v>#REF!</v>
      </c>
      <c r="CX107" t="str">
        <f>AND(#REF!,"AAAAAC///WU=")</f>
        <v>#REF!</v>
      </c>
      <c r="CY107" t="str">
        <f>AND(#REF!,"AAAAAC///WY=")</f>
        <v>#REF!</v>
      </c>
      <c r="CZ107" t="str">
        <f>AND(#REF!,"AAAAAC///Wc=")</f>
        <v>#REF!</v>
      </c>
      <c r="DA107" t="str">
        <f>AND(#REF!,"AAAAAC///Wg=")</f>
        <v>#REF!</v>
      </c>
      <c r="DB107" t="str">
        <f>AND(#REF!,"AAAAAC///Wk=")</f>
        <v>#REF!</v>
      </c>
      <c r="DC107" t="str">
        <f>AND(#REF!,"AAAAAC///Wo=")</f>
        <v>#REF!</v>
      </c>
      <c r="DD107" t="str">
        <f>AND(#REF!,"AAAAAC///Ws=")</f>
        <v>#REF!</v>
      </c>
      <c r="DE107" t="str">
        <f>AND(#REF!,"AAAAAC///Ww=")</f>
        <v>#REF!</v>
      </c>
      <c r="DF107" t="str">
        <f>AND(#REF!,"AAAAAC///W0=")</f>
        <v>#REF!</v>
      </c>
      <c r="DG107" t="str">
        <f>AND(#REF!,"AAAAAC///W4=")</f>
        <v>#REF!</v>
      </c>
      <c r="DH107" t="str">
        <f>AND(#REF!,"AAAAAC///W8=")</f>
        <v>#REF!</v>
      </c>
      <c r="DI107" t="str">
        <f>AND(#REF!,"AAAAAC///XA=")</f>
        <v>#REF!</v>
      </c>
      <c r="DJ107" t="str">
        <f>AND(#REF!,"AAAAAC///XE=")</f>
        <v>#REF!</v>
      </c>
      <c r="DK107" t="str">
        <f>AND(#REF!,"AAAAAC///XI=")</f>
        <v>#REF!</v>
      </c>
      <c r="DL107" t="str">
        <f>AND(#REF!,"AAAAAC///XM=")</f>
        <v>#REF!</v>
      </c>
      <c r="DM107" t="str">
        <f>AND(#REF!,"AAAAAC///XQ=")</f>
        <v>#REF!</v>
      </c>
      <c r="DN107" t="str">
        <f>AND(#REF!,"AAAAAC///XU=")</f>
        <v>#REF!</v>
      </c>
      <c r="DO107" t="str">
        <f>AND(#REF!,"AAAAAC///XY=")</f>
        <v>#REF!</v>
      </c>
      <c r="DP107" t="str">
        <f>AND(#REF!,"AAAAAC///Xc=")</f>
        <v>#REF!</v>
      </c>
      <c r="DQ107" t="str">
        <f>AND(#REF!,"AAAAAC///Xg=")</f>
        <v>#REF!</v>
      </c>
      <c r="DR107" t="str">
        <f>AND(#REF!,"AAAAAC///Xk=")</f>
        <v>#REF!</v>
      </c>
      <c r="DS107" t="str">
        <f>AND(#REF!,"AAAAAC///Xo=")</f>
        <v>#REF!</v>
      </c>
      <c r="DT107" t="str">
        <f>AND(#REF!,"AAAAAC///Xs=")</f>
        <v>#REF!</v>
      </c>
      <c r="DU107" t="str">
        <f>AND(#REF!,"AAAAAC///Xw=")</f>
        <v>#REF!</v>
      </c>
      <c r="DV107" t="str">
        <f>AND(#REF!,"AAAAAC///X0=")</f>
        <v>#REF!</v>
      </c>
      <c r="DW107" t="str">
        <f>AND(#REF!,"AAAAAC///X4=")</f>
        <v>#REF!</v>
      </c>
      <c r="DX107" t="str">
        <f>AND(#REF!,"AAAAAC///X8=")</f>
        <v>#REF!</v>
      </c>
      <c r="DY107" t="str">
        <f>AND(#REF!,"AAAAAC///YA=")</f>
        <v>#REF!</v>
      </c>
      <c r="DZ107" t="str">
        <f>AND(#REF!,"AAAAAC///YE=")</f>
        <v>#REF!</v>
      </c>
      <c r="EA107" t="str">
        <f>AND(#REF!,"AAAAAC///YI=")</f>
        <v>#REF!</v>
      </c>
      <c r="EB107" t="str">
        <f>AND(#REF!,"AAAAAC///YM=")</f>
        <v>#REF!</v>
      </c>
      <c r="EC107" t="str">
        <f>AND(#REF!,"AAAAAC///YQ=")</f>
        <v>#REF!</v>
      </c>
      <c r="ED107" t="str">
        <f>AND(#REF!,"AAAAAC///YU=")</f>
        <v>#REF!</v>
      </c>
      <c r="EE107" t="str">
        <f>AND(#REF!,"AAAAAC///YY=")</f>
        <v>#REF!</v>
      </c>
      <c r="EF107" t="str">
        <f>AND(#REF!,"AAAAAC///Yc=")</f>
        <v>#REF!</v>
      </c>
      <c r="EG107" t="str">
        <f>AND(#REF!,"AAAAAC///Yg=")</f>
        <v>#REF!</v>
      </c>
      <c r="EH107" t="str">
        <f>AND(#REF!,"AAAAAC///Yk=")</f>
        <v>#REF!</v>
      </c>
      <c r="EI107" t="str">
        <f>AND(#REF!,"AAAAAC///Yo=")</f>
        <v>#REF!</v>
      </c>
      <c r="EJ107" t="str">
        <f>AND(#REF!,"AAAAAC///Ys=")</f>
        <v>#REF!</v>
      </c>
      <c r="EK107" t="str">
        <f>AND(#REF!,"AAAAAC///Yw=")</f>
        <v>#REF!</v>
      </c>
      <c r="EL107" t="str">
        <f>AND(#REF!,"AAAAAC///Y0=")</f>
        <v>#REF!</v>
      </c>
      <c r="EM107" t="str">
        <f>AND(#REF!,"AAAAAC///Y4=")</f>
        <v>#REF!</v>
      </c>
      <c r="EN107" t="str">
        <f>AND(#REF!,"AAAAAC///Y8=")</f>
        <v>#REF!</v>
      </c>
      <c r="EO107" t="str">
        <f>AND(#REF!,"AAAAAC///ZA=")</f>
        <v>#REF!</v>
      </c>
      <c r="EP107" t="str">
        <f>AND(#REF!,"AAAAAC///ZE=")</f>
        <v>#REF!</v>
      </c>
      <c r="EQ107" t="str">
        <f>AND(#REF!,"AAAAAC///ZI=")</f>
        <v>#REF!</v>
      </c>
      <c r="ER107" t="str">
        <f>AND(#REF!,"AAAAAC///ZM=")</f>
        <v>#REF!</v>
      </c>
      <c r="ES107" t="str">
        <f>AND(#REF!,"AAAAAC///ZQ=")</f>
        <v>#REF!</v>
      </c>
      <c r="ET107" t="str">
        <f>AND(#REF!,"AAAAAC///ZU=")</f>
        <v>#REF!</v>
      </c>
      <c r="EU107" t="str">
        <f>AND(#REF!,"AAAAAC///ZY=")</f>
        <v>#REF!</v>
      </c>
      <c r="EV107" t="str">
        <f>AND(#REF!,"AAAAAC///Zc=")</f>
        <v>#REF!</v>
      </c>
      <c r="EW107" t="str">
        <f>AND(#REF!,"AAAAAC///Zg=")</f>
        <v>#REF!</v>
      </c>
      <c r="EX107" t="str">
        <f>AND(#REF!,"AAAAAC///Zk=")</f>
        <v>#REF!</v>
      </c>
      <c r="EY107" t="str">
        <f>AND(#REF!,"AAAAAC///Zo=")</f>
        <v>#REF!</v>
      </c>
      <c r="EZ107" t="str">
        <f>AND(#REF!,"AAAAAC///Zs=")</f>
        <v>#REF!</v>
      </c>
      <c r="FA107" t="str">
        <f>AND(#REF!,"AAAAAC///Zw=")</f>
        <v>#REF!</v>
      </c>
      <c r="FB107" t="str">
        <f>AND(#REF!,"AAAAAC///Z0=")</f>
        <v>#REF!</v>
      </c>
      <c r="FC107" t="str">
        <f>AND(#REF!,"AAAAAC///Z4=")</f>
        <v>#REF!</v>
      </c>
      <c r="FD107" t="str">
        <f>AND(#REF!,"AAAAAC///Z8=")</f>
        <v>#REF!</v>
      </c>
      <c r="FE107" t="str">
        <f>AND(#REF!,"AAAAAC///aA=")</f>
        <v>#REF!</v>
      </c>
      <c r="FF107" t="str">
        <f>AND(#REF!,"AAAAAC///aE=")</f>
        <v>#REF!</v>
      </c>
      <c r="FG107" t="str">
        <f>AND(#REF!,"AAAAAC///aI=")</f>
        <v>#REF!</v>
      </c>
      <c r="FH107" t="str">
        <f>AND(#REF!,"AAAAAC///aM=")</f>
        <v>#REF!</v>
      </c>
      <c r="FI107" t="str">
        <f>AND(#REF!,"AAAAAC///aQ=")</f>
        <v>#REF!</v>
      </c>
      <c r="FJ107" t="str">
        <f>AND(#REF!,"AAAAAC///aU=")</f>
        <v>#REF!</v>
      </c>
      <c r="FK107" t="str">
        <f>AND(#REF!,"AAAAAC///aY=")</f>
        <v>#REF!</v>
      </c>
      <c r="FL107" t="str">
        <f>IF(#REF!,"AAAAAC///ac=",0)</f>
        <v>#REF!</v>
      </c>
      <c r="FM107" t="str">
        <f>AND(#REF!,"AAAAAC///ag=")</f>
        <v>#REF!</v>
      </c>
      <c r="FN107" t="str">
        <f>AND(#REF!,"AAAAAC///ak=")</f>
        <v>#REF!</v>
      </c>
      <c r="FO107" t="str">
        <f>AND(#REF!,"AAAAAC///ao=")</f>
        <v>#REF!</v>
      </c>
      <c r="FP107" t="str">
        <f>AND(#REF!,"AAAAAC///as=")</f>
        <v>#REF!</v>
      </c>
      <c r="FQ107" t="str">
        <f>AND(#REF!,"AAAAAC///aw=")</f>
        <v>#REF!</v>
      </c>
      <c r="FR107" t="str">
        <f>AND(#REF!,"AAAAAC///a0=")</f>
        <v>#REF!</v>
      </c>
      <c r="FS107" t="str">
        <f>AND(#REF!,"AAAAAC///a4=")</f>
        <v>#REF!</v>
      </c>
      <c r="FT107" t="str">
        <f>AND(#REF!,"AAAAAC///a8=")</f>
        <v>#REF!</v>
      </c>
      <c r="FU107" t="str">
        <f>AND(#REF!,"AAAAAC///bA=")</f>
        <v>#REF!</v>
      </c>
      <c r="FV107" t="str">
        <f>AND(#REF!,"AAAAAC///bE=")</f>
        <v>#REF!</v>
      </c>
      <c r="FW107" t="str">
        <f>AND(#REF!,"AAAAAC///bI=")</f>
        <v>#REF!</v>
      </c>
      <c r="FX107" t="str">
        <f>AND(#REF!,"AAAAAC///bM=")</f>
        <v>#REF!</v>
      </c>
      <c r="FY107" t="str">
        <f>AND(#REF!,"AAAAAC///bQ=")</f>
        <v>#REF!</v>
      </c>
      <c r="FZ107" t="str">
        <f>AND(#REF!,"AAAAAC///bU=")</f>
        <v>#REF!</v>
      </c>
      <c r="GA107" t="str">
        <f>AND(#REF!,"AAAAAC///bY=")</f>
        <v>#REF!</v>
      </c>
      <c r="GB107" t="str">
        <f>AND(#REF!,"AAAAAC///bc=")</f>
        <v>#REF!</v>
      </c>
      <c r="GC107" t="str">
        <f>AND(#REF!,"AAAAAC///bg=")</f>
        <v>#REF!</v>
      </c>
      <c r="GD107" t="str">
        <f>AND(#REF!,"AAAAAC///bk=")</f>
        <v>#REF!</v>
      </c>
      <c r="GE107" t="str">
        <f>AND(#REF!,"AAAAAC///bo=")</f>
        <v>#REF!</v>
      </c>
      <c r="GF107" t="str">
        <f>AND(#REF!,"AAAAAC///bs=")</f>
        <v>#REF!</v>
      </c>
      <c r="GG107" t="str">
        <f>AND(#REF!,"AAAAAC///bw=")</f>
        <v>#REF!</v>
      </c>
      <c r="GH107" t="str">
        <f>AND(#REF!,"AAAAAC///b0=")</f>
        <v>#REF!</v>
      </c>
      <c r="GI107" t="str">
        <f>AND(#REF!,"AAAAAC///b4=")</f>
        <v>#REF!</v>
      </c>
      <c r="GJ107" t="str">
        <f>AND(#REF!,"AAAAAC///b8=")</f>
        <v>#REF!</v>
      </c>
      <c r="GK107" t="str">
        <f>AND(#REF!,"AAAAAC///cA=")</f>
        <v>#REF!</v>
      </c>
      <c r="GL107" t="str">
        <f>AND(#REF!,"AAAAAC///cE=")</f>
        <v>#REF!</v>
      </c>
      <c r="GM107" t="str">
        <f>AND(#REF!,"AAAAAC///cI=")</f>
        <v>#REF!</v>
      </c>
      <c r="GN107" t="str">
        <f>AND(#REF!,"AAAAAC///cM=")</f>
        <v>#REF!</v>
      </c>
      <c r="GO107" t="str">
        <f>AND(#REF!,"AAAAAC///cQ=")</f>
        <v>#REF!</v>
      </c>
      <c r="GP107" t="str">
        <f>AND(#REF!,"AAAAAC///cU=")</f>
        <v>#REF!</v>
      </c>
      <c r="GQ107" t="str">
        <f>AND(#REF!,"AAAAAC///cY=")</f>
        <v>#REF!</v>
      </c>
      <c r="GR107" t="str">
        <f>AND(#REF!,"AAAAAC///cc=")</f>
        <v>#REF!</v>
      </c>
      <c r="GS107" t="str">
        <f>AND(#REF!,"AAAAAC///cg=")</f>
        <v>#REF!</v>
      </c>
      <c r="GT107" t="str">
        <f>AND(#REF!,"AAAAAC///ck=")</f>
        <v>#REF!</v>
      </c>
      <c r="GU107" t="str">
        <f>AND(#REF!,"AAAAAC///co=")</f>
        <v>#REF!</v>
      </c>
      <c r="GV107" t="str">
        <f>AND(#REF!,"AAAAAC///cs=")</f>
        <v>#REF!</v>
      </c>
      <c r="GW107" t="str">
        <f>AND(#REF!,"AAAAAC///cw=")</f>
        <v>#REF!</v>
      </c>
      <c r="GX107" t="str">
        <f>AND(#REF!,"AAAAAC///c0=")</f>
        <v>#REF!</v>
      </c>
      <c r="GY107" t="str">
        <f>AND(#REF!,"AAAAAC///c4=")</f>
        <v>#REF!</v>
      </c>
      <c r="GZ107" t="str">
        <f>AND(#REF!,"AAAAAC///c8=")</f>
        <v>#REF!</v>
      </c>
      <c r="HA107" t="str">
        <f>AND(#REF!,"AAAAAC///dA=")</f>
        <v>#REF!</v>
      </c>
      <c r="HB107" t="str">
        <f>AND(#REF!,"AAAAAC///dE=")</f>
        <v>#REF!</v>
      </c>
      <c r="HC107" t="str">
        <f>AND(#REF!,"AAAAAC///dI=")</f>
        <v>#REF!</v>
      </c>
      <c r="HD107" t="str">
        <f>AND(#REF!,"AAAAAC///dM=")</f>
        <v>#REF!</v>
      </c>
      <c r="HE107" t="str">
        <f>AND(#REF!,"AAAAAC///dQ=")</f>
        <v>#REF!</v>
      </c>
      <c r="HF107" t="str">
        <f>AND(#REF!,"AAAAAC///dU=")</f>
        <v>#REF!</v>
      </c>
      <c r="HG107" t="str">
        <f>AND(#REF!,"AAAAAC///dY=")</f>
        <v>#REF!</v>
      </c>
      <c r="HH107" t="str">
        <f>AND(#REF!,"AAAAAC///dc=")</f>
        <v>#REF!</v>
      </c>
      <c r="HI107" t="str">
        <f>AND(#REF!,"AAAAAC///dg=")</f>
        <v>#REF!</v>
      </c>
      <c r="HJ107" t="str">
        <f>AND(#REF!,"AAAAAC///dk=")</f>
        <v>#REF!</v>
      </c>
      <c r="HK107" t="str">
        <f>AND(#REF!,"AAAAAC///do=")</f>
        <v>#REF!</v>
      </c>
      <c r="HL107" t="str">
        <f>AND(#REF!,"AAAAAC///ds=")</f>
        <v>#REF!</v>
      </c>
      <c r="HM107" t="str">
        <f>AND(#REF!,"AAAAAC///dw=")</f>
        <v>#REF!</v>
      </c>
      <c r="HN107" t="str">
        <f>AND(#REF!,"AAAAAC///d0=")</f>
        <v>#REF!</v>
      </c>
      <c r="HO107" t="str">
        <f>AND(#REF!,"AAAAAC///d4=")</f>
        <v>#REF!</v>
      </c>
      <c r="HP107" t="str">
        <f>AND(#REF!,"AAAAAC///d8=")</f>
        <v>#REF!</v>
      </c>
      <c r="HQ107" t="str">
        <f>AND(#REF!,"AAAAAC///eA=")</f>
        <v>#REF!</v>
      </c>
      <c r="HR107" t="str">
        <f>AND(#REF!,"AAAAAC///eE=")</f>
        <v>#REF!</v>
      </c>
      <c r="HS107" t="str">
        <f>AND(#REF!,"AAAAAC///eI=")</f>
        <v>#REF!</v>
      </c>
      <c r="HT107" t="str">
        <f>AND(#REF!,"AAAAAC///eM=")</f>
        <v>#REF!</v>
      </c>
      <c r="HU107" t="str">
        <f>AND(#REF!,"AAAAAC///eQ=")</f>
        <v>#REF!</v>
      </c>
      <c r="HV107" t="str">
        <f>AND(#REF!,"AAAAAC///eU=")</f>
        <v>#REF!</v>
      </c>
      <c r="HW107" t="str">
        <f>AND(#REF!,"AAAAAC///eY=")</f>
        <v>#REF!</v>
      </c>
      <c r="HX107" t="str">
        <f>AND(#REF!,"AAAAAC///ec=")</f>
        <v>#REF!</v>
      </c>
      <c r="HY107" t="str">
        <f>AND(#REF!,"AAAAAC///eg=")</f>
        <v>#REF!</v>
      </c>
      <c r="HZ107" t="str">
        <f>AND(#REF!,"AAAAAC///ek=")</f>
        <v>#REF!</v>
      </c>
      <c r="IA107" t="str">
        <f>AND(#REF!,"AAAAAC///eo=")</f>
        <v>#REF!</v>
      </c>
      <c r="IB107" t="str">
        <f>AND(#REF!,"AAAAAC///es=")</f>
        <v>#REF!</v>
      </c>
      <c r="IC107" t="str">
        <f>AND(#REF!,"AAAAAC///ew=")</f>
        <v>#REF!</v>
      </c>
      <c r="ID107" t="str">
        <f>AND(#REF!,"AAAAAC///e0=")</f>
        <v>#REF!</v>
      </c>
      <c r="IE107" t="str">
        <f>AND(#REF!,"AAAAAC///e4=")</f>
        <v>#REF!</v>
      </c>
      <c r="IF107" t="str">
        <f>AND(#REF!,"AAAAAC///e8=")</f>
        <v>#REF!</v>
      </c>
      <c r="IG107" t="str">
        <f>AND(#REF!,"AAAAAC///fA=")</f>
        <v>#REF!</v>
      </c>
      <c r="IH107" t="str">
        <f>AND(#REF!,"AAAAAC///fE=")</f>
        <v>#REF!</v>
      </c>
      <c r="II107" t="str">
        <f>AND(#REF!,"AAAAAC///fI=")</f>
        <v>#REF!</v>
      </c>
      <c r="IJ107" t="str">
        <f>IF(#REF!,"AAAAAC///fM=",0)</f>
        <v>#REF!</v>
      </c>
      <c r="IK107" t="str">
        <f>AND(#REF!,"AAAAAC///fQ=")</f>
        <v>#REF!</v>
      </c>
      <c r="IL107" t="str">
        <f>AND(#REF!,"AAAAAC///fU=")</f>
        <v>#REF!</v>
      </c>
      <c r="IM107" t="str">
        <f>AND(#REF!,"AAAAAC///fY=")</f>
        <v>#REF!</v>
      </c>
      <c r="IN107" t="str">
        <f>AND(#REF!,"AAAAAC///fc=")</f>
        <v>#REF!</v>
      </c>
      <c r="IO107" t="str">
        <f>AND(#REF!,"AAAAAC///fg=")</f>
        <v>#REF!</v>
      </c>
      <c r="IP107" t="str">
        <f>AND(#REF!,"AAAAAC///fk=")</f>
        <v>#REF!</v>
      </c>
      <c r="IQ107" t="str">
        <f>AND(#REF!,"AAAAAC///fo=")</f>
        <v>#REF!</v>
      </c>
      <c r="IR107" t="str">
        <f>AND(#REF!,"AAAAAC///fs=")</f>
        <v>#REF!</v>
      </c>
      <c r="IS107" t="str">
        <f>AND(#REF!,"AAAAAC///fw=")</f>
        <v>#REF!</v>
      </c>
      <c r="IT107" t="str">
        <f>AND(#REF!,"AAAAAC///f0=")</f>
        <v>#REF!</v>
      </c>
      <c r="IU107" t="str">
        <f>AND(#REF!,"AAAAAC///f4=")</f>
        <v>#REF!</v>
      </c>
      <c r="IV107" t="str">
        <f>AND(#REF!,"AAAAAC///f8=")</f>
        <v>#REF!</v>
      </c>
    </row>
    <row r="108" ht="15.75" customHeight="1">
      <c r="A108" t="str">
        <f>AND(#REF!,"AAAAADt/twA=")</f>
        <v>#REF!</v>
      </c>
      <c r="B108" t="str">
        <f>AND(#REF!,"AAAAADt/twE=")</f>
        <v>#REF!</v>
      </c>
      <c r="C108" t="str">
        <f>AND(#REF!,"AAAAADt/twI=")</f>
        <v>#REF!</v>
      </c>
      <c r="D108" t="str">
        <f>AND(#REF!,"AAAAADt/twM=")</f>
        <v>#REF!</v>
      </c>
      <c r="E108" t="str">
        <f>AND(#REF!,"AAAAADt/twQ=")</f>
        <v>#REF!</v>
      </c>
      <c r="F108" t="str">
        <f>AND(#REF!,"AAAAADt/twU=")</f>
        <v>#REF!</v>
      </c>
      <c r="G108" t="str">
        <f>AND(#REF!,"AAAAADt/twY=")</f>
        <v>#REF!</v>
      </c>
      <c r="H108" t="str">
        <f>AND(#REF!,"AAAAADt/twc=")</f>
        <v>#REF!</v>
      </c>
      <c r="I108" t="str">
        <f>AND(#REF!,"AAAAADt/twg=")</f>
        <v>#REF!</v>
      </c>
      <c r="J108" t="str">
        <f>AND(#REF!,"AAAAADt/twk=")</f>
        <v>#REF!</v>
      </c>
      <c r="K108" t="str">
        <f>AND(#REF!,"AAAAADt/two=")</f>
        <v>#REF!</v>
      </c>
      <c r="L108" t="str">
        <f>AND(#REF!,"AAAAADt/tws=")</f>
        <v>#REF!</v>
      </c>
      <c r="M108" t="str">
        <f>AND(#REF!,"AAAAADt/tww=")</f>
        <v>#REF!</v>
      </c>
      <c r="N108" t="str">
        <f>AND(#REF!,"AAAAADt/tw0=")</f>
        <v>#REF!</v>
      </c>
      <c r="O108" t="str">
        <f>AND(#REF!,"AAAAADt/tw4=")</f>
        <v>#REF!</v>
      </c>
      <c r="P108" t="str">
        <f>AND(#REF!,"AAAAADt/tw8=")</f>
        <v>#REF!</v>
      </c>
      <c r="Q108" t="str">
        <f>AND(#REF!,"AAAAADt/txA=")</f>
        <v>#REF!</v>
      </c>
      <c r="R108" t="str">
        <f>AND(#REF!,"AAAAADt/txE=")</f>
        <v>#REF!</v>
      </c>
      <c r="S108" t="str">
        <f>AND(#REF!,"AAAAADt/txI=")</f>
        <v>#REF!</v>
      </c>
      <c r="T108" t="str">
        <f>AND(#REF!,"AAAAADt/txM=")</f>
        <v>#REF!</v>
      </c>
      <c r="U108" t="str">
        <f>AND(#REF!,"AAAAADt/txQ=")</f>
        <v>#REF!</v>
      </c>
      <c r="V108" t="str">
        <f>AND(#REF!,"AAAAADt/txU=")</f>
        <v>#REF!</v>
      </c>
      <c r="W108" t="str">
        <f>AND(#REF!,"AAAAADt/txY=")</f>
        <v>#REF!</v>
      </c>
      <c r="X108" t="str">
        <f>AND(#REF!,"AAAAADt/txc=")</f>
        <v>#REF!</v>
      </c>
      <c r="Y108" t="str">
        <f>AND(#REF!,"AAAAADt/txg=")</f>
        <v>#REF!</v>
      </c>
      <c r="Z108" t="str">
        <f>AND(#REF!,"AAAAADt/txk=")</f>
        <v>#REF!</v>
      </c>
      <c r="AA108" t="str">
        <f>AND(#REF!,"AAAAADt/txo=")</f>
        <v>#REF!</v>
      </c>
      <c r="AB108" t="str">
        <f>AND(#REF!,"AAAAADt/txs=")</f>
        <v>#REF!</v>
      </c>
      <c r="AC108" t="str">
        <f>AND(#REF!,"AAAAADt/txw=")</f>
        <v>#REF!</v>
      </c>
      <c r="AD108" t="str">
        <f>AND(#REF!,"AAAAADt/tx0=")</f>
        <v>#REF!</v>
      </c>
      <c r="AE108" t="str">
        <f>AND(#REF!,"AAAAADt/tx4=")</f>
        <v>#REF!</v>
      </c>
      <c r="AF108" t="str">
        <f>AND(#REF!,"AAAAADt/tx8=")</f>
        <v>#REF!</v>
      </c>
      <c r="AG108" t="str">
        <f>AND(#REF!,"AAAAADt/tyA=")</f>
        <v>#REF!</v>
      </c>
      <c r="AH108" t="str">
        <f>AND(#REF!,"AAAAADt/tyE=")</f>
        <v>#REF!</v>
      </c>
      <c r="AI108" t="str">
        <f>AND(#REF!,"AAAAADt/tyI=")</f>
        <v>#REF!</v>
      </c>
      <c r="AJ108" t="str">
        <f>AND(#REF!,"AAAAADt/tyM=")</f>
        <v>#REF!</v>
      </c>
      <c r="AK108" t="str">
        <f>AND(#REF!,"AAAAADt/tyQ=")</f>
        <v>#REF!</v>
      </c>
      <c r="AL108" t="str">
        <f>AND(#REF!,"AAAAADt/tyU=")</f>
        <v>#REF!</v>
      </c>
      <c r="AM108" t="str">
        <f>AND(#REF!,"AAAAADt/tyY=")</f>
        <v>#REF!</v>
      </c>
      <c r="AN108" t="str">
        <f>AND(#REF!,"AAAAADt/tyc=")</f>
        <v>#REF!</v>
      </c>
      <c r="AO108" t="str">
        <f>AND(#REF!,"AAAAADt/tyg=")</f>
        <v>#REF!</v>
      </c>
      <c r="AP108" t="str">
        <f>AND(#REF!,"AAAAADt/tyk=")</f>
        <v>#REF!</v>
      </c>
      <c r="AQ108" t="str">
        <f>AND(#REF!,"AAAAADt/tyo=")</f>
        <v>#REF!</v>
      </c>
      <c r="AR108" t="str">
        <f>AND(#REF!,"AAAAADt/tys=")</f>
        <v>#REF!</v>
      </c>
      <c r="AS108" t="str">
        <f>AND(#REF!,"AAAAADt/tyw=")</f>
        <v>#REF!</v>
      </c>
      <c r="AT108" t="str">
        <f>AND(#REF!,"AAAAADt/ty0=")</f>
        <v>#REF!</v>
      </c>
      <c r="AU108" t="str">
        <f>AND(#REF!,"AAAAADt/ty4=")</f>
        <v>#REF!</v>
      </c>
      <c r="AV108" t="str">
        <f>AND(#REF!,"AAAAADt/ty8=")</f>
        <v>#REF!</v>
      </c>
      <c r="AW108" t="str">
        <f>AND(#REF!,"AAAAADt/tzA=")</f>
        <v>#REF!</v>
      </c>
      <c r="AX108" t="str">
        <f>AND(#REF!,"AAAAADt/tzE=")</f>
        <v>#REF!</v>
      </c>
      <c r="AY108" t="str">
        <f>AND(#REF!,"AAAAADt/tzI=")</f>
        <v>#REF!</v>
      </c>
      <c r="AZ108" t="str">
        <f>AND(#REF!,"AAAAADt/tzM=")</f>
        <v>#REF!</v>
      </c>
      <c r="BA108" t="str">
        <f>AND(#REF!,"AAAAADt/tzQ=")</f>
        <v>#REF!</v>
      </c>
      <c r="BB108" t="str">
        <f>AND(#REF!,"AAAAADt/tzU=")</f>
        <v>#REF!</v>
      </c>
      <c r="BC108" t="str">
        <f>AND(#REF!,"AAAAADt/tzY=")</f>
        <v>#REF!</v>
      </c>
      <c r="BD108" t="str">
        <f>AND(#REF!,"AAAAADt/tzc=")</f>
        <v>#REF!</v>
      </c>
      <c r="BE108" t="str">
        <f>AND(#REF!,"AAAAADt/tzg=")</f>
        <v>#REF!</v>
      </c>
      <c r="BF108" t="str">
        <f>AND(#REF!,"AAAAADt/tzk=")</f>
        <v>#REF!</v>
      </c>
      <c r="BG108" t="str">
        <f>AND(#REF!,"AAAAADt/tzo=")</f>
        <v>#REF!</v>
      </c>
      <c r="BH108" t="str">
        <f>AND(#REF!,"AAAAADt/tzs=")</f>
        <v>#REF!</v>
      </c>
      <c r="BI108" t="str">
        <f>AND(#REF!,"AAAAADt/tzw=")</f>
        <v>#REF!</v>
      </c>
      <c r="BJ108" t="str">
        <f>AND(#REF!,"AAAAADt/tz0=")</f>
        <v>#REF!</v>
      </c>
      <c r="BK108" t="str">
        <f>AND(#REF!,"AAAAADt/tz4=")</f>
        <v>#REF!</v>
      </c>
      <c r="BL108" t="str">
        <f>IF(#REF!,"AAAAADt/tz8=",0)</f>
        <v>#REF!</v>
      </c>
      <c r="BM108" t="str">
        <f>AND(#REF!,"AAAAADt/t0A=")</f>
        <v>#REF!</v>
      </c>
      <c r="BN108" t="str">
        <f>AND(#REF!,"AAAAADt/t0E=")</f>
        <v>#REF!</v>
      </c>
      <c r="BO108" t="str">
        <f>AND(#REF!,"AAAAADt/t0I=")</f>
        <v>#REF!</v>
      </c>
      <c r="BP108" t="str">
        <f>AND(#REF!,"AAAAADt/t0M=")</f>
        <v>#REF!</v>
      </c>
      <c r="BQ108" t="str">
        <f>AND(#REF!,"AAAAADt/t0Q=")</f>
        <v>#REF!</v>
      </c>
      <c r="BR108" t="str">
        <f>AND(#REF!,"AAAAADt/t0U=")</f>
        <v>#REF!</v>
      </c>
      <c r="BS108" t="str">
        <f>AND(#REF!,"AAAAADt/t0Y=")</f>
        <v>#REF!</v>
      </c>
      <c r="BT108" t="str">
        <f>AND(#REF!,"AAAAADt/t0c=")</f>
        <v>#REF!</v>
      </c>
      <c r="BU108" t="str">
        <f>AND(#REF!,"AAAAADt/t0g=")</f>
        <v>#REF!</v>
      </c>
      <c r="BV108" t="str">
        <f>AND(#REF!,"AAAAADt/t0k=")</f>
        <v>#REF!</v>
      </c>
      <c r="BW108" t="str">
        <f>AND(#REF!,"AAAAADt/t0o=")</f>
        <v>#REF!</v>
      </c>
      <c r="BX108" t="str">
        <f>AND(#REF!,"AAAAADt/t0s=")</f>
        <v>#REF!</v>
      </c>
      <c r="BY108" t="str">
        <f>AND(#REF!,"AAAAADt/t0w=")</f>
        <v>#REF!</v>
      </c>
      <c r="BZ108" t="str">
        <f>AND(#REF!,"AAAAADt/t00=")</f>
        <v>#REF!</v>
      </c>
      <c r="CA108" t="str">
        <f>AND(#REF!,"AAAAADt/t04=")</f>
        <v>#REF!</v>
      </c>
      <c r="CB108" t="str">
        <f>AND(#REF!,"AAAAADt/t08=")</f>
        <v>#REF!</v>
      </c>
      <c r="CC108" t="str">
        <f>AND(#REF!,"AAAAADt/t1A=")</f>
        <v>#REF!</v>
      </c>
      <c r="CD108" t="str">
        <f>AND(#REF!,"AAAAADt/t1E=")</f>
        <v>#REF!</v>
      </c>
      <c r="CE108" t="str">
        <f>AND(#REF!,"AAAAADt/t1I=")</f>
        <v>#REF!</v>
      </c>
      <c r="CF108" t="str">
        <f>AND(#REF!,"AAAAADt/t1M=")</f>
        <v>#REF!</v>
      </c>
      <c r="CG108" t="str">
        <f>AND(#REF!,"AAAAADt/t1Q=")</f>
        <v>#REF!</v>
      </c>
      <c r="CH108" t="str">
        <f>AND(#REF!,"AAAAADt/t1U=")</f>
        <v>#REF!</v>
      </c>
      <c r="CI108" t="str">
        <f>AND(#REF!,"AAAAADt/t1Y=")</f>
        <v>#REF!</v>
      </c>
      <c r="CJ108" t="str">
        <f>AND(#REF!,"AAAAADt/t1c=")</f>
        <v>#REF!</v>
      </c>
      <c r="CK108" t="str">
        <f>AND(#REF!,"AAAAADt/t1g=")</f>
        <v>#REF!</v>
      </c>
      <c r="CL108" t="str">
        <f>AND(#REF!,"AAAAADt/t1k=")</f>
        <v>#REF!</v>
      </c>
      <c r="CM108" t="str">
        <f>AND(#REF!,"AAAAADt/t1o=")</f>
        <v>#REF!</v>
      </c>
      <c r="CN108" t="str">
        <f>AND(#REF!,"AAAAADt/t1s=")</f>
        <v>#REF!</v>
      </c>
      <c r="CO108" t="str">
        <f>AND(#REF!,"AAAAADt/t1w=")</f>
        <v>#REF!</v>
      </c>
      <c r="CP108" t="str">
        <f>AND(#REF!,"AAAAADt/t10=")</f>
        <v>#REF!</v>
      </c>
      <c r="CQ108" t="str">
        <f>AND(#REF!,"AAAAADt/t14=")</f>
        <v>#REF!</v>
      </c>
      <c r="CR108" t="str">
        <f>AND(#REF!,"AAAAADt/t18=")</f>
        <v>#REF!</v>
      </c>
      <c r="CS108" t="str">
        <f>AND(#REF!,"AAAAADt/t2A=")</f>
        <v>#REF!</v>
      </c>
      <c r="CT108" t="str">
        <f>AND(#REF!,"AAAAADt/t2E=")</f>
        <v>#REF!</v>
      </c>
      <c r="CU108" t="str">
        <f>AND(#REF!,"AAAAADt/t2I=")</f>
        <v>#REF!</v>
      </c>
      <c r="CV108" t="str">
        <f>AND(#REF!,"AAAAADt/t2M=")</f>
        <v>#REF!</v>
      </c>
      <c r="CW108" t="str">
        <f>AND(#REF!,"AAAAADt/t2Q=")</f>
        <v>#REF!</v>
      </c>
      <c r="CX108" t="str">
        <f>AND(#REF!,"AAAAADt/t2U=")</f>
        <v>#REF!</v>
      </c>
      <c r="CY108" t="str">
        <f>AND(#REF!,"AAAAADt/t2Y=")</f>
        <v>#REF!</v>
      </c>
      <c r="CZ108" t="str">
        <f>AND(#REF!,"AAAAADt/t2c=")</f>
        <v>#REF!</v>
      </c>
      <c r="DA108" t="str">
        <f>AND(#REF!,"AAAAADt/t2g=")</f>
        <v>#REF!</v>
      </c>
      <c r="DB108" t="str">
        <f>AND(#REF!,"AAAAADt/t2k=")</f>
        <v>#REF!</v>
      </c>
      <c r="DC108" t="str">
        <f>AND(#REF!,"AAAAADt/t2o=")</f>
        <v>#REF!</v>
      </c>
      <c r="DD108" t="str">
        <f>AND(#REF!,"AAAAADt/t2s=")</f>
        <v>#REF!</v>
      </c>
      <c r="DE108" t="str">
        <f>AND(#REF!,"AAAAADt/t2w=")</f>
        <v>#REF!</v>
      </c>
      <c r="DF108" t="str">
        <f>AND(#REF!,"AAAAADt/t20=")</f>
        <v>#REF!</v>
      </c>
      <c r="DG108" t="str">
        <f>AND(#REF!,"AAAAADt/t24=")</f>
        <v>#REF!</v>
      </c>
      <c r="DH108" t="str">
        <f>AND(#REF!,"AAAAADt/t28=")</f>
        <v>#REF!</v>
      </c>
      <c r="DI108" t="str">
        <f>AND(#REF!,"AAAAADt/t3A=")</f>
        <v>#REF!</v>
      </c>
      <c r="DJ108" t="str">
        <f>AND(#REF!,"AAAAADt/t3E=")</f>
        <v>#REF!</v>
      </c>
      <c r="DK108" t="str">
        <f>AND(#REF!,"AAAAADt/t3I=")</f>
        <v>#REF!</v>
      </c>
      <c r="DL108" t="str">
        <f>AND(#REF!,"AAAAADt/t3M=")</f>
        <v>#REF!</v>
      </c>
      <c r="DM108" t="str">
        <f>AND(#REF!,"AAAAADt/t3Q=")</f>
        <v>#REF!</v>
      </c>
      <c r="DN108" t="str">
        <f>AND(#REF!,"AAAAADt/t3U=")</f>
        <v>#REF!</v>
      </c>
      <c r="DO108" t="str">
        <f>AND(#REF!,"AAAAADt/t3Y=")</f>
        <v>#REF!</v>
      </c>
      <c r="DP108" t="str">
        <f>AND(#REF!,"AAAAADt/t3c=")</f>
        <v>#REF!</v>
      </c>
      <c r="DQ108" t="str">
        <f>AND(#REF!,"AAAAADt/t3g=")</f>
        <v>#REF!</v>
      </c>
      <c r="DR108" t="str">
        <f>AND(#REF!,"AAAAADt/t3k=")</f>
        <v>#REF!</v>
      </c>
      <c r="DS108" t="str">
        <f>AND(#REF!,"AAAAADt/t3o=")</f>
        <v>#REF!</v>
      </c>
      <c r="DT108" t="str">
        <f>AND(#REF!,"AAAAADt/t3s=")</f>
        <v>#REF!</v>
      </c>
      <c r="DU108" t="str">
        <f>AND(#REF!,"AAAAADt/t3w=")</f>
        <v>#REF!</v>
      </c>
      <c r="DV108" t="str">
        <f>AND(#REF!,"AAAAADt/t30=")</f>
        <v>#REF!</v>
      </c>
      <c r="DW108" t="str">
        <f>AND(#REF!,"AAAAADt/t34=")</f>
        <v>#REF!</v>
      </c>
      <c r="DX108" t="str">
        <f>AND(#REF!,"AAAAADt/t38=")</f>
        <v>#REF!</v>
      </c>
      <c r="DY108" t="str">
        <f>AND(#REF!,"AAAAADt/t4A=")</f>
        <v>#REF!</v>
      </c>
      <c r="DZ108" t="str">
        <f>AND(#REF!,"AAAAADt/t4E=")</f>
        <v>#REF!</v>
      </c>
      <c r="EA108" t="str">
        <f>AND(#REF!,"AAAAADt/t4I=")</f>
        <v>#REF!</v>
      </c>
      <c r="EB108" t="str">
        <f>AND(#REF!,"AAAAADt/t4M=")</f>
        <v>#REF!</v>
      </c>
      <c r="EC108" t="str">
        <f>AND(#REF!,"AAAAADt/t4Q=")</f>
        <v>#REF!</v>
      </c>
      <c r="ED108" t="str">
        <f>AND(#REF!,"AAAAADt/t4U=")</f>
        <v>#REF!</v>
      </c>
      <c r="EE108" t="str">
        <f>AND(#REF!,"AAAAADt/t4Y=")</f>
        <v>#REF!</v>
      </c>
      <c r="EF108" t="str">
        <f>AND(#REF!,"AAAAADt/t4c=")</f>
        <v>#REF!</v>
      </c>
      <c r="EG108" t="str">
        <f>AND(#REF!,"AAAAADt/t4g=")</f>
        <v>#REF!</v>
      </c>
      <c r="EH108" t="str">
        <f>AND(#REF!,"AAAAADt/t4k=")</f>
        <v>#REF!</v>
      </c>
      <c r="EI108" t="str">
        <f>AND(#REF!,"AAAAADt/t4o=")</f>
        <v>#REF!</v>
      </c>
      <c r="EJ108" t="str">
        <f>IF(#REF!,"AAAAADt/t4s=",0)</f>
        <v>#REF!</v>
      </c>
      <c r="EK108" t="str">
        <f>AND(#REF!,"AAAAADt/t4w=")</f>
        <v>#REF!</v>
      </c>
      <c r="EL108" t="str">
        <f>AND(#REF!,"AAAAADt/t40=")</f>
        <v>#REF!</v>
      </c>
      <c r="EM108" t="str">
        <f>AND(#REF!,"AAAAADt/t44=")</f>
        <v>#REF!</v>
      </c>
      <c r="EN108" t="str">
        <f>AND(#REF!,"AAAAADt/t48=")</f>
        <v>#REF!</v>
      </c>
      <c r="EO108" t="str">
        <f>AND(#REF!,"AAAAADt/t5A=")</f>
        <v>#REF!</v>
      </c>
      <c r="EP108" t="str">
        <f>AND(#REF!,"AAAAADt/t5E=")</f>
        <v>#REF!</v>
      </c>
      <c r="EQ108" t="str">
        <f>AND(#REF!,"AAAAADt/t5I=")</f>
        <v>#REF!</v>
      </c>
      <c r="ER108" t="str">
        <f>AND(#REF!,"AAAAADt/t5M=")</f>
        <v>#REF!</v>
      </c>
      <c r="ES108" t="str">
        <f>AND(#REF!,"AAAAADt/t5Q=")</f>
        <v>#REF!</v>
      </c>
      <c r="ET108" t="str">
        <f>AND(#REF!,"AAAAADt/t5U=")</f>
        <v>#REF!</v>
      </c>
      <c r="EU108" t="str">
        <f>AND(#REF!,"AAAAADt/t5Y=")</f>
        <v>#REF!</v>
      </c>
      <c r="EV108" t="str">
        <f>AND(#REF!,"AAAAADt/t5c=")</f>
        <v>#REF!</v>
      </c>
      <c r="EW108" t="str">
        <f>AND(#REF!,"AAAAADt/t5g=")</f>
        <v>#REF!</v>
      </c>
      <c r="EX108" t="str">
        <f>AND(#REF!,"AAAAADt/t5k=")</f>
        <v>#REF!</v>
      </c>
      <c r="EY108" t="str">
        <f>AND(#REF!,"AAAAADt/t5o=")</f>
        <v>#REF!</v>
      </c>
      <c r="EZ108" t="str">
        <f>AND(#REF!,"AAAAADt/t5s=")</f>
        <v>#REF!</v>
      </c>
      <c r="FA108" t="str">
        <f>AND(#REF!,"AAAAADt/t5w=")</f>
        <v>#REF!</v>
      </c>
      <c r="FB108" t="str">
        <f>AND(#REF!,"AAAAADt/t50=")</f>
        <v>#REF!</v>
      </c>
      <c r="FC108" t="str">
        <f>AND(#REF!,"AAAAADt/t54=")</f>
        <v>#REF!</v>
      </c>
      <c r="FD108" t="str">
        <f>AND(#REF!,"AAAAADt/t58=")</f>
        <v>#REF!</v>
      </c>
      <c r="FE108" t="str">
        <f>AND(#REF!,"AAAAADt/t6A=")</f>
        <v>#REF!</v>
      </c>
      <c r="FF108" t="str">
        <f>AND(#REF!,"AAAAADt/t6E=")</f>
        <v>#REF!</v>
      </c>
      <c r="FG108" t="str">
        <f>AND(#REF!,"AAAAADt/t6I=")</f>
        <v>#REF!</v>
      </c>
      <c r="FH108" t="str">
        <f>AND(#REF!,"AAAAADt/t6M=")</f>
        <v>#REF!</v>
      </c>
      <c r="FI108" t="str">
        <f>AND(#REF!,"AAAAADt/t6Q=")</f>
        <v>#REF!</v>
      </c>
      <c r="FJ108" t="str">
        <f>AND(#REF!,"AAAAADt/t6U=")</f>
        <v>#REF!</v>
      </c>
      <c r="FK108" t="str">
        <f>AND(#REF!,"AAAAADt/t6Y=")</f>
        <v>#REF!</v>
      </c>
      <c r="FL108" t="str">
        <f>AND(#REF!,"AAAAADt/t6c=")</f>
        <v>#REF!</v>
      </c>
      <c r="FM108" t="str">
        <f>AND(#REF!,"AAAAADt/t6g=")</f>
        <v>#REF!</v>
      </c>
      <c r="FN108" t="str">
        <f>AND(#REF!,"AAAAADt/t6k=")</f>
        <v>#REF!</v>
      </c>
      <c r="FO108" t="str">
        <f>AND(#REF!,"AAAAADt/t6o=")</f>
        <v>#REF!</v>
      </c>
      <c r="FP108" t="str">
        <f>AND(#REF!,"AAAAADt/t6s=")</f>
        <v>#REF!</v>
      </c>
      <c r="FQ108" t="str">
        <f>AND(#REF!,"AAAAADt/t6w=")</f>
        <v>#REF!</v>
      </c>
      <c r="FR108" t="str">
        <f>AND(#REF!,"AAAAADt/t60=")</f>
        <v>#REF!</v>
      </c>
      <c r="FS108" t="str">
        <f>AND(#REF!,"AAAAADt/t64=")</f>
        <v>#REF!</v>
      </c>
      <c r="FT108" t="str">
        <f>AND(#REF!,"AAAAADt/t68=")</f>
        <v>#REF!</v>
      </c>
      <c r="FU108" t="str">
        <f>AND(#REF!,"AAAAADt/t7A=")</f>
        <v>#REF!</v>
      </c>
      <c r="FV108" t="str">
        <f>AND(#REF!,"AAAAADt/t7E=")</f>
        <v>#REF!</v>
      </c>
      <c r="FW108" t="str">
        <f>AND(#REF!,"AAAAADt/t7I=")</f>
        <v>#REF!</v>
      </c>
      <c r="FX108" t="str">
        <f>AND(#REF!,"AAAAADt/t7M=")</f>
        <v>#REF!</v>
      </c>
      <c r="FY108" t="str">
        <f>AND(#REF!,"AAAAADt/t7Q=")</f>
        <v>#REF!</v>
      </c>
      <c r="FZ108" t="str">
        <f>AND(#REF!,"AAAAADt/t7U=")</f>
        <v>#REF!</v>
      </c>
      <c r="GA108" t="str">
        <f>AND(#REF!,"AAAAADt/t7Y=")</f>
        <v>#REF!</v>
      </c>
      <c r="GB108" t="str">
        <f>AND(#REF!,"AAAAADt/t7c=")</f>
        <v>#REF!</v>
      </c>
      <c r="GC108" t="str">
        <f>AND(#REF!,"AAAAADt/t7g=")</f>
        <v>#REF!</v>
      </c>
      <c r="GD108" t="str">
        <f>AND(#REF!,"AAAAADt/t7k=")</f>
        <v>#REF!</v>
      </c>
      <c r="GE108" t="str">
        <f>AND(#REF!,"AAAAADt/t7o=")</f>
        <v>#REF!</v>
      </c>
      <c r="GF108" t="str">
        <f>AND(#REF!,"AAAAADt/t7s=")</f>
        <v>#REF!</v>
      </c>
      <c r="GG108" t="str">
        <f>AND(#REF!,"AAAAADt/t7w=")</f>
        <v>#REF!</v>
      </c>
      <c r="GH108" t="str">
        <f>AND(#REF!,"AAAAADt/t70=")</f>
        <v>#REF!</v>
      </c>
      <c r="GI108" t="str">
        <f>AND(#REF!,"AAAAADt/t74=")</f>
        <v>#REF!</v>
      </c>
      <c r="GJ108" t="str">
        <f>AND(#REF!,"AAAAADt/t78=")</f>
        <v>#REF!</v>
      </c>
      <c r="GK108" t="str">
        <f>AND(#REF!,"AAAAADt/t8A=")</f>
        <v>#REF!</v>
      </c>
      <c r="GL108" t="str">
        <f>AND(#REF!,"AAAAADt/t8E=")</f>
        <v>#REF!</v>
      </c>
      <c r="GM108" t="str">
        <f>AND(#REF!,"AAAAADt/t8I=")</f>
        <v>#REF!</v>
      </c>
      <c r="GN108" t="str">
        <f>AND(#REF!,"AAAAADt/t8M=")</f>
        <v>#REF!</v>
      </c>
      <c r="GO108" t="str">
        <f>AND(#REF!,"AAAAADt/t8Q=")</f>
        <v>#REF!</v>
      </c>
      <c r="GP108" t="str">
        <f>AND(#REF!,"AAAAADt/t8U=")</f>
        <v>#REF!</v>
      </c>
      <c r="GQ108" t="str">
        <f>AND(#REF!,"AAAAADt/t8Y=")</f>
        <v>#REF!</v>
      </c>
      <c r="GR108" t="str">
        <f>AND(#REF!,"AAAAADt/t8c=")</f>
        <v>#REF!</v>
      </c>
      <c r="GS108" t="str">
        <f>AND(#REF!,"AAAAADt/t8g=")</f>
        <v>#REF!</v>
      </c>
      <c r="GT108" t="str">
        <f>AND(#REF!,"AAAAADt/t8k=")</f>
        <v>#REF!</v>
      </c>
      <c r="GU108" t="str">
        <f>AND(#REF!,"AAAAADt/t8o=")</f>
        <v>#REF!</v>
      </c>
      <c r="GV108" t="str">
        <f>AND(#REF!,"AAAAADt/t8s=")</f>
        <v>#REF!</v>
      </c>
      <c r="GW108" t="str">
        <f>AND(#REF!,"AAAAADt/t8w=")</f>
        <v>#REF!</v>
      </c>
      <c r="GX108" t="str">
        <f>AND(#REF!,"AAAAADt/t80=")</f>
        <v>#REF!</v>
      </c>
      <c r="GY108" t="str">
        <f>AND(#REF!,"AAAAADt/t84=")</f>
        <v>#REF!</v>
      </c>
      <c r="GZ108" t="str">
        <f>AND(#REF!,"AAAAADt/t88=")</f>
        <v>#REF!</v>
      </c>
      <c r="HA108" t="str">
        <f>AND(#REF!,"AAAAADt/t9A=")</f>
        <v>#REF!</v>
      </c>
      <c r="HB108" t="str">
        <f>AND(#REF!,"AAAAADt/t9E=")</f>
        <v>#REF!</v>
      </c>
      <c r="HC108" t="str">
        <f>AND(#REF!,"AAAAADt/t9I=")</f>
        <v>#REF!</v>
      </c>
      <c r="HD108" t="str">
        <f>AND(#REF!,"AAAAADt/t9M=")</f>
        <v>#REF!</v>
      </c>
      <c r="HE108" t="str">
        <f>AND(#REF!,"AAAAADt/t9Q=")</f>
        <v>#REF!</v>
      </c>
      <c r="HF108" t="str">
        <f>AND(#REF!,"AAAAADt/t9U=")</f>
        <v>#REF!</v>
      </c>
      <c r="HG108" t="str">
        <f>AND(#REF!,"AAAAADt/t9Y=")</f>
        <v>#REF!</v>
      </c>
      <c r="HH108" t="str">
        <f>IF(#REF!,"AAAAADt/t9c=",0)</f>
        <v>#REF!</v>
      </c>
      <c r="HI108" t="str">
        <f>AND(#REF!,"AAAAADt/t9g=")</f>
        <v>#REF!</v>
      </c>
      <c r="HJ108" t="str">
        <f>AND(#REF!,"AAAAADt/t9k=")</f>
        <v>#REF!</v>
      </c>
      <c r="HK108" t="str">
        <f>AND(#REF!,"AAAAADt/t9o=")</f>
        <v>#REF!</v>
      </c>
      <c r="HL108" t="str">
        <f>AND(#REF!,"AAAAADt/t9s=")</f>
        <v>#REF!</v>
      </c>
      <c r="HM108" t="str">
        <f>AND(#REF!,"AAAAADt/t9w=")</f>
        <v>#REF!</v>
      </c>
      <c r="HN108" t="str">
        <f>AND(#REF!,"AAAAADt/t90=")</f>
        <v>#REF!</v>
      </c>
      <c r="HO108" t="str">
        <f>AND(#REF!,"AAAAADt/t94=")</f>
        <v>#REF!</v>
      </c>
      <c r="HP108" t="str">
        <f>AND(#REF!,"AAAAADt/t98=")</f>
        <v>#REF!</v>
      </c>
      <c r="HQ108" t="str">
        <f>AND(#REF!,"AAAAADt/t+A=")</f>
        <v>#REF!</v>
      </c>
      <c r="HR108" t="str">
        <f>AND(#REF!,"AAAAADt/t+E=")</f>
        <v>#REF!</v>
      </c>
      <c r="HS108" t="str">
        <f>AND(#REF!,"AAAAADt/t+I=")</f>
        <v>#REF!</v>
      </c>
      <c r="HT108" t="str">
        <f>AND(#REF!,"AAAAADt/t+M=")</f>
        <v>#REF!</v>
      </c>
      <c r="HU108" t="str">
        <f>AND(#REF!,"AAAAADt/t+Q=")</f>
        <v>#REF!</v>
      </c>
      <c r="HV108" t="str">
        <f>AND(#REF!,"AAAAADt/t+U=")</f>
        <v>#REF!</v>
      </c>
      <c r="HW108" t="str">
        <f>AND(#REF!,"AAAAADt/t+Y=")</f>
        <v>#REF!</v>
      </c>
      <c r="HX108" t="str">
        <f>AND(#REF!,"AAAAADt/t+c=")</f>
        <v>#REF!</v>
      </c>
      <c r="HY108" t="str">
        <f>AND(#REF!,"AAAAADt/t+g=")</f>
        <v>#REF!</v>
      </c>
      <c r="HZ108" t="str">
        <f>AND(#REF!,"AAAAADt/t+k=")</f>
        <v>#REF!</v>
      </c>
      <c r="IA108" t="str">
        <f>AND(#REF!,"AAAAADt/t+o=")</f>
        <v>#REF!</v>
      </c>
      <c r="IB108" t="str">
        <f>AND(#REF!,"AAAAADt/t+s=")</f>
        <v>#REF!</v>
      </c>
      <c r="IC108" t="str">
        <f>AND(#REF!,"AAAAADt/t+w=")</f>
        <v>#REF!</v>
      </c>
      <c r="ID108" t="str">
        <f>AND(#REF!,"AAAAADt/t+0=")</f>
        <v>#REF!</v>
      </c>
      <c r="IE108" t="str">
        <f>AND(#REF!,"AAAAADt/t+4=")</f>
        <v>#REF!</v>
      </c>
      <c r="IF108" t="str">
        <f>AND(#REF!,"AAAAADt/t+8=")</f>
        <v>#REF!</v>
      </c>
      <c r="IG108" t="str">
        <f>AND(#REF!,"AAAAADt/t/A=")</f>
        <v>#REF!</v>
      </c>
      <c r="IH108" t="str">
        <f>AND(#REF!,"AAAAADt/t/E=")</f>
        <v>#REF!</v>
      </c>
      <c r="II108" t="str">
        <f>AND(#REF!,"AAAAADt/t/I=")</f>
        <v>#REF!</v>
      </c>
      <c r="IJ108" t="str">
        <f>AND(#REF!,"AAAAADt/t/M=")</f>
        <v>#REF!</v>
      </c>
      <c r="IK108" t="str">
        <f>AND(#REF!,"AAAAADt/t/Q=")</f>
        <v>#REF!</v>
      </c>
      <c r="IL108" t="str">
        <f>AND(#REF!,"AAAAADt/t/U=")</f>
        <v>#REF!</v>
      </c>
      <c r="IM108" t="str">
        <f>AND(#REF!,"AAAAADt/t/Y=")</f>
        <v>#REF!</v>
      </c>
      <c r="IN108" t="str">
        <f>AND(#REF!,"AAAAADt/t/c=")</f>
        <v>#REF!</v>
      </c>
      <c r="IO108" t="str">
        <f>AND(#REF!,"AAAAADt/t/g=")</f>
        <v>#REF!</v>
      </c>
      <c r="IP108" t="str">
        <f>AND(#REF!,"AAAAADt/t/k=")</f>
        <v>#REF!</v>
      </c>
      <c r="IQ108" t="str">
        <f>AND(#REF!,"AAAAADt/t/o=")</f>
        <v>#REF!</v>
      </c>
      <c r="IR108" t="str">
        <f>AND(#REF!,"AAAAADt/t/s=")</f>
        <v>#REF!</v>
      </c>
      <c r="IS108" t="str">
        <f>AND(#REF!,"AAAAADt/t/w=")</f>
        <v>#REF!</v>
      </c>
      <c r="IT108" t="str">
        <f>AND(#REF!,"AAAAADt/t/0=")</f>
        <v>#REF!</v>
      </c>
      <c r="IU108" t="str">
        <f>AND(#REF!,"AAAAADt/t/4=")</f>
        <v>#REF!</v>
      </c>
      <c r="IV108" t="str">
        <f>AND(#REF!,"AAAAADt/t/8=")</f>
        <v>#REF!</v>
      </c>
    </row>
    <row r="109" ht="15.75" customHeight="1">
      <c r="A109" t="str">
        <f>AND(#REF!,"AAAAAGf/1gA=")</f>
        <v>#REF!</v>
      </c>
      <c r="B109" t="str">
        <f>AND(#REF!,"AAAAAGf/1gE=")</f>
        <v>#REF!</v>
      </c>
      <c r="C109" t="str">
        <f>AND(#REF!,"AAAAAGf/1gI=")</f>
        <v>#REF!</v>
      </c>
      <c r="D109" t="str">
        <f>AND(#REF!,"AAAAAGf/1gM=")</f>
        <v>#REF!</v>
      </c>
      <c r="E109" t="str">
        <f>AND(#REF!,"AAAAAGf/1gQ=")</f>
        <v>#REF!</v>
      </c>
      <c r="F109" t="str">
        <f>AND(#REF!,"AAAAAGf/1gU=")</f>
        <v>#REF!</v>
      </c>
      <c r="G109" t="str">
        <f>AND(#REF!,"AAAAAGf/1gY=")</f>
        <v>#REF!</v>
      </c>
      <c r="H109" t="str">
        <f>AND(#REF!,"AAAAAGf/1gc=")</f>
        <v>#REF!</v>
      </c>
      <c r="I109" t="str">
        <f>AND(#REF!,"AAAAAGf/1gg=")</f>
        <v>#REF!</v>
      </c>
      <c r="J109" t="str">
        <f>AND(#REF!,"AAAAAGf/1gk=")</f>
        <v>#REF!</v>
      </c>
      <c r="K109" t="str">
        <f>AND(#REF!,"AAAAAGf/1go=")</f>
        <v>#REF!</v>
      </c>
      <c r="L109" t="str">
        <f>AND(#REF!,"AAAAAGf/1gs=")</f>
        <v>#REF!</v>
      </c>
      <c r="M109" t="str">
        <f>AND(#REF!,"AAAAAGf/1gw=")</f>
        <v>#REF!</v>
      </c>
      <c r="N109" t="str">
        <f>AND(#REF!,"AAAAAGf/1g0=")</f>
        <v>#REF!</v>
      </c>
      <c r="O109" t="str">
        <f>AND(#REF!,"AAAAAGf/1g4=")</f>
        <v>#REF!</v>
      </c>
      <c r="P109" t="str">
        <f>AND(#REF!,"AAAAAGf/1g8=")</f>
        <v>#REF!</v>
      </c>
      <c r="Q109" t="str">
        <f>AND(#REF!,"AAAAAGf/1hA=")</f>
        <v>#REF!</v>
      </c>
      <c r="R109" t="str">
        <f>AND(#REF!,"AAAAAGf/1hE=")</f>
        <v>#REF!</v>
      </c>
      <c r="S109" t="str">
        <f>AND(#REF!,"AAAAAGf/1hI=")</f>
        <v>#REF!</v>
      </c>
      <c r="T109" t="str">
        <f>AND(#REF!,"AAAAAGf/1hM=")</f>
        <v>#REF!</v>
      </c>
      <c r="U109" t="str">
        <f>AND(#REF!,"AAAAAGf/1hQ=")</f>
        <v>#REF!</v>
      </c>
      <c r="V109" t="str">
        <f>AND(#REF!,"AAAAAGf/1hU=")</f>
        <v>#REF!</v>
      </c>
      <c r="W109" t="str">
        <f>AND(#REF!,"AAAAAGf/1hY=")</f>
        <v>#REF!</v>
      </c>
      <c r="X109" t="str">
        <f>AND(#REF!,"AAAAAGf/1hc=")</f>
        <v>#REF!</v>
      </c>
      <c r="Y109" t="str">
        <f>AND(#REF!,"AAAAAGf/1hg=")</f>
        <v>#REF!</v>
      </c>
      <c r="Z109" t="str">
        <f>AND(#REF!,"AAAAAGf/1hk=")</f>
        <v>#REF!</v>
      </c>
      <c r="AA109" t="str">
        <f>AND(#REF!,"AAAAAGf/1ho=")</f>
        <v>#REF!</v>
      </c>
      <c r="AB109" t="str">
        <f>AND(#REF!,"AAAAAGf/1hs=")</f>
        <v>#REF!</v>
      </c>
      <c r="AC109" t="str">
        <f>AND(#REF!,"AAAAAGf/1hw=")</f>
        <v>#REF!</v>
      </c>
      <c r="AD109" t="str">
        <f>AND(#REF!,"AAAAAGf/1h0=")</f>
        <v>#REF!</v>
      </c>
      <c r="AE109" t="str">
        <f>AND(#REF!,"AAAAAGf/1h4=")</f>
        <v>#REF!</v>
      </c>
      <c r="AF109" t="str">
        <f>AND(#REF!,"AAAAAGf/1h8=")</f>
        <v>#REF!</v>
      </c>
      <c r="AG109" t="str">
        <f>AND(#REF!,"AAAAAGf/1iA=")</f>
        <v>#REF!</v>
      </c>
      <c r="AH109" t="str">
        <f>AND(#REF!,"AAAAAGf/1iE=")</f>
        <v>#REF!</v>
      </c>
      <c r="AI109" t="str">
        <f>AND(#REF!,"AAAAAGf/1iI=")</f>
        <v>#REF!</v>
      </c>
      <c r="AJ109" t="str">
        <f>IF(#REF!,"AAAAAGf/1iM=",0)</f>
        <v>#REF!</v>
      </c>
      <c r="AK109" t="str">
        <f>AND(#REF!,"AAAAAGf/1iQ=")</f>
        <v>#REF!</v>
      </c>
      <c r="AL109" t="str">
        <f>AND(#REF!,"AAAAAGf/1iU=")</f>
        <v>#REF!</v>
      </c>
      <c r="AM109" t="str">
        <f>AND(#REF!,"AAAAAGf/1iY=")</f>
        <v>#REF!</v>
      </c>
      <c r="AN109" t="str">
        <f>AND(#REF!,"AAAAAGf/1ic=")</f>
        <v>#REF!</v>
      </c>
      <c r="AO109" t="str">
        <f>AND(#REF!,"AAAAAGf/1ig=")</f>
        <v>#REF!</v>
      </c>
      <c r="AP109" t="str">
        <f>AND(#REF!,"AAAAAGf/1ik=")</f>
        <v>#REF!</v>
      </c>
      <c r="AQ109" t="str">
        <f>AND(#REF!,"AAAAAGf/1io=")</f>
        <v>#REF!</v>
      </c>
      <c r="AR109" t="str">
        <f>AND(#REF!,"AAAAAGf/1is=")</f>
        <v>#REF!</v>
      </c>
      <c r="AS109" t="str">
        <f>AND(#REF!,"AAAAAGf/1iw=")</f>
        <v>#REF!</v>
      </c>
      <c r="AT109" t="str">
        <f>AND(#REF!,"AAAAAGf/1i0=")</f>
        <v>#REF!</v>
      </c>
      <c r="AU109" t="str">
        <f>AND(#REF!,"AAAAAGf/1i4=")</f>
        <v>#REF!</v>
      </c>
      <c r="AV109" t="str">
        <f>AND(#REF!,"AAAAAGf/1i8=")</f>
        <v>#REF!</v>
      </c>
      <c r="AW109" t="str">
        <f>AND(#REF!,"AAAAAGf/1jA=")</f>
        <v>#REF!</v>
      </c>
      <c r="AX109" t="str">
        <f>AND(#REF!,"AAAAAGf/1jE=")</f>
        <v>#REF!</v>
      </c>
      <c r="AY109" t="str">
        <f>AND(#REF!,"AAAAAGf/1jI=")</f>
        <v>#REF!</v>
      </c>
      <c r="AZ109" t="str">
        <f>AND(#REF!,"AAAAAGf/1jM=")</f>
        <v>#REF!</v>
      </c>
      <c r="BA109" t="str">
        <f>AND(#REF!,"AAAAAGf/1jQ=")</f>
        <v>#REF!</v>
      </c>
      <c r="BB109" t="str">
        <f>AND(#REF!,"AAAAAGf/1jU=")</f>
        <v>#REF!</v>
      </c>
      <c r="BC109" t="str">
        <f>AND(#REF!,"AAAAAGf/1jY=")</f>
        <v>#REF!</v>
      </c>
      <c r="BD109" t="str">
        <f>AND(#REF!,"AAAAAGf/1jc=")</f>
        <v>#REF!</v>
      </c>
      <c r="BE109" t="str">
        <f>AND(#REF!,"AAAAAGf/1jg=")</f>
        <v>#REF!</v>
      </c>
      <c r="BF109" t="str">
        <f>AND(#REF!,"AAAAAGf/1jk=")</f>
        <v>#REF!</v>
      </c>
      <c r="BG109" t="str">
        <f>AND(#REF!,"AAAAAGf/1jo=")</f>
        <v>#REF!</v>
      </c>
      <c r="BH109" t="str">
        <f>AND(#REF!,"AAAAAGf/1js=")</f>
        <v>#REF!</v>
      </c>
      <c r="BI109" t="str">
        <f>AND(#REF!,"AAAAAGf/1jw=")</f>
        <v>#REF!</v>
      </c>
      <c r="BJ109" t="str">
        <f>AND(#REF!,"AAAAAGf/1j0=")</f>
        <v>#REF!</v>
      </c>
      <c r="BK109" t="str">
        <f>AND(#REF!,"AAAAAGf/1j4=")</f>
        <v>#REF!</v>
      </c>
      <c r="BL109" t="str">
        <f>AND(#REF!,"AAAAAGf/1j8=")</f>
        <v>#REF!</v>
      </c>
      <c r="BM109" t="str">
        <f>AND(#REF!,"AAAAAGf/1kA=")</f>
        <v>#REF!</v>
      </c>
      <c r="BN109" t="str">
        <f>AND(#REF!,"AAAAAGf/1kE=")</f>
        <v>#REF!</v>
      </c>
      <c r="BO109" t="str">
        <f>AND(#REF!,"AAAAAGf/1kI=")</f>
        <v>#REF!</v>
      </c>
      <c r="BP109" t="str">
        <f>AND(#REF!,"AAAAAGf/1kM=")</f>
        <v>#REF!</v>
      </c>
      <c r="BQ109" t="str">
        <f>AND(#REF!,"AAAAAGf/1kQ=")</f>
        <v>#REF!</v>
      </c>
      <c r="BR109" t="str">
        <f>AND(#REF!,"AAAAAGf/1kU=")</f>
        <v>#REF!</v>
      </c>
      <c r="BS109" t="str">
        <f>AND(#REF!,"AAAAAGf/1kY=")</f>
        <v>#REF!</v>
      </c>
      <c r="BT109" t="str">
        <f>AND(#REF!,"AAAAAGf/1kc=")</f>
        <v>#REF!</v>
      </c>
      <c r="BU109" t="str">
        <f>AND(#REF!,"AAAAAGf/1kg=")</f>
        <v>#REF!</v>
      </c>
      <c r="BV109" t="str">
        <f>AND(#REF!,"AAAAAGf/1kk=")</f>
        <v>#REF!</v>
      </c>
      <c r="BW109" t="str">
        <f>AND(#REF!,"AAAAAGf/1ko=")</f>
        <v>#REF!</v>
      </c>
      <c r="BX109" t="str">
        <f>AND(#REF!,"AAAAAGf/1ks=")</f>
        <v>#REF!</v>
      </c>
      <c r="BY109" t="str">
        <f>AND(#REF!,"AAAAAGf/1kw=")</f>
        <v>#REF!</v>
      </c>
      <c r="BZ109" t="str">
        <f>AND(#REF!,"AAAAAGf/1k0=")</f>
        <v>#REF!</v>
      </c>
      <c r="CA109" t="str">
        <f>AND(#REF!,"AAAAAGf/1k4=")</f>
        <v>#REF!</v>
      </c>
      <c r="CB109" t="str">
        <f>AND(#REF!,"AAAAAGf/1k8=")</f>
        <v>#REF!</v>
      </c>
      <c r="CC109" t="str">
        <f>AND(#REF!,"AAAAAGf/1lA=")</f>
        <v>#REF!</v>
      </c>
      <c r="CD109" t="str">
        <f>AND(#REF!,"AAAAAGf/1lE=")</f>
        <v>#REF!</v>
      </c>
      <c r="CE109" t="str">
        <f>AND(#REF!,"AAAAAGf/1lI=")</f>
        <v>#REF!</v>
      </c>
      <c r="CF109" t="str">
        <f>AND(#REF!,"AAAAAGf/1lM=")</f>
        <v>#REF!</v>
      </c>
      <c r="CG109" t="str">
        <f>AND(#REF!,"AAAAAGf/1lQ=")</f>
        <v>#REF!</v>
      </c>
      <c r="CH109" t="str">
        <f>AND(#REF!,"AAAAAGf/1lU=")</f>
        <v>#REF!</v>
      </c>
      <c r="CI109" t="str">
        <f>AND(#REF!,"AAAAAGf/1lY=")</f>
        <v>#REF!</v>
      </c>
      <c r="CJ109" t="str">
        <f>AND(#REF!,"AAAAAGf/1lc=")</f>
        <v>#REF!</v>
      </c>
      <c r="CK109" t="str">
        <f>AND(#REF!,"AAAAAGf/1lg=")</f>
        <v>#REF!</v>
      </c>
      <c r="CL109" t="str">
        <f>AND(#REF!,"AAAAAGf/1lk=")</f>
        <v>#REF!</v>
      </c>
      <c r="CM109" t="str">
        <f>AND(#REF!,"AAAAAGf/1lo=")</f>
        <v>#REF!</v>
      </c>
      <c r="CN109" t="str">
        <f>AND(#REF!,"AAAAAGf/1ls=")</f>
        <v>#REF!</v>
      </c>
      <c r="CO109" t="str">
        <f>AND(#REF!,"AAAAAGf/1lw=")</f>
        <v>#REF!</v>
      </c>
      <c r="CP109" t="str">
        <f>AND(#REF!,"AAAAAGf/1l0=")</f>
        <v>#REF!</v>
      </c>
      <c r="CQ109" t="str">
        <f>AND(#REF!,"AAAAAGf/1l4=")</f>
        <v>#REF!</v>
      </c>
      <c r="CR109" t="str">
        <f>AND(#REF!,"AAAAAGf/1l8=")</f>
        <v>#REF!</v>
      </c>
      <c r="CS109" t="str">
        <f>AND(#REF!,"AAAAAGf/1mA=")</f>
        <v>#REF!</v>
      </c>
      <c r="CT109" t="str">
        <f>AND(#REF!,"AAAAAGf/1mE=")</f>
        <v>#REF!</v>
      </c>
      <c r="CU109" t="str">
        <f>AND(#REF!,"AAAAAGf/1mI=")</f>
        <v>#REF!</v>
      </c>
      <c r="CV109" t="str">
        <f>AND(#REF!,"AAAAAGf/1mM=")</f>
        <v>#REF!</v>
      </c>
      <c r="CW109" t="str">
        <f>AND(#REF!,"AAAAAGf/1mQ=")</f>
        <v>#REF!</v>
      </c>
      <c r="CX109" t="str">
        <f>AND(#REF!,"AAAAAGf/1mU=")</f>
        <v>#REF!</v>
      </c>
      <c r="CY109" t="str">
        <f>AND(#REF!,"AAAAAGf/1mY=")</f>
        <v>#REF!</v>
      </c>
      <c r="CZ109" t="str">
        <f>AND(#REF!,"AAAAAGf/1mc=")</f>
        <v>#REF!</v>
      </c>
      <c r="DA109" t="str">
        <f>AND(#REF!,"AAAAAGf/1mg=")</f>
        <v>#REF!</v>
      </c>
      <c r="DB109" t="str">
        <f>AND(#REF!,"AAAAAGf/1mk=")</f>
        <v>#REF!</v>
      </c>
      <c r="DC109" t="str">
        <f>AND(#REF!,"AAAAAGf/1mo=")</f>
        <v>#REF!</v>
      </c>
      <c r="DD109" t="str">
        <f>AND(#REF!,"AAAAAGf/1ms=")</f>
        <v>#REF!</v>
      </c>
      <c r="DE109" t="str">
        <f>AND(#REF!,"AAAAAGf/1mw=")</f>
        <v>#REF!</v>
      </c>
      <c r="DF109" t="str">
        <f>AND(#REF!,"AAAAAGf/1m0=")</f>
        <v>#REF!</v>
      </c>
      <c r="DG109" t="str">
        <f>AND(#REF!,"AAAAAGf/1m4=")</f>
        <v>#REF!</v>
      </c>
      <c r="DH109" t="str">
        <f>IF(#REF!,"AAAAAGf/1m8=",0)</f>
        <v>#REF!</v>
      </c>
      <c r="DI109" t="str">
        <f>AND(#REF!,"AAAAAGf/1nA=")</f>
        <v>#REF!</v>
      </c>
      <c r="DJ109" t="str">
        <f>AND(#REF!,"AAAAAGf/1nE=")</f>
        <v>#REF!</v>
      </c>
      <c r="DK109" t="str">
        <f>AND(#REF!,"AAAAAGf/1nI=")</f>
        <v>#REF!</v>
      </c>
      <c r="DL109" t="str">
        <f>AND(#REF!,"AAAAAGf/1nM=")</f>
        <v>#REF!</v>
      </c>
      <c r="DM109" t="str">
        <f>AND(#REF!,"AAAAAGf/1nQ=")</f>
        <v>#REF!</v>
      </c>
      <c r="DN109" t="str">
        <f>AND(#REF!,"AAAAAGf/1nU=")</f>
        <v>#REF!</v>
      </c>
      <c r="DO109" t="str">
        <f>AND(#REF!,"AAAAAGf/1nY=")</f>
        <v>#REF!</v>
      </c>
      <c r="DP109" t="str">
        <f>AND(#REF!,"AAAAAGf/1nc=")</f>
        <v>#REF!</v>
      </c>
      <c r="DQ109" t="str">
        <f>AND(#REF!,"AAAAAGf/1ng=")</f>
        <v>#REF!</v>
      </c>
      <c r="DR109" t="str">
        <f>AND(#REF!,"AAAAAGf/1nk=")</f>
        <v>#REF!</v>
      </c>
      <c r="DS109" t="str">
        <f>AND(#REF!,"AAAAAGf/1no=")</f>
        <v>#REF!</v>
      </c>
      <c r="DT109" t="str">
        <f>AND(#REF!,"AAAAAGf/1ns=")</f>
        <v>#REF!</v>
      </c>
      <c r="DU109" t="str">
        <f>AND(#REF!,"AAAAAGf/1nw=")</f>
        <v>#REF!</v>
      </c>
      <c r="DV109" t="str">
        <f>AND(#REF!,"AAAAAGf/1n0=")</f>
        <v>#REF!</v>
      </c>
      <c r="DW109" t="str">
        <f>AND(#REF!,"AAAAAGf/1n4=")</f>
        <v>#REF!</v>
      </c>
      <c r="DX109" t="str">
        <f>AND(#REF!,"AAAAAGf/1n8=")</f>
        <v>#REF!</v>
      </c>
      <c r="DY109" t="str">
        <f>AND(#REF!,"AAAAAGf/1oA=")</f>
        <v>#REF!</v>
      </c>
      <c r="DZ109" t="str">
        <f>AND(#REF!,"AAAAAGf/1oE=")</f>
        <v>#REF!</v>
      </c>
      <c r="EA109" t="str">
        <f>AND(#REF!,"AAAAAGf/1oI=")</f>
        <v>#REF!</v>
      </c>
      <c r="EB109" t="str">
        <f>AND(#REF!,"AAAAAGf/1oM=")</f>
        <v>#REF!</v>
      </c>
      <c r="EC109" t="str">
        <f>AND(#REF!,"AAAAAGf/1oQ=")</f>
        <v>#REF!</v>
      </c>
      <c r="ED109" t="str">
        <f>AND(#REF!,"AAAAAGf/1oU=")</f>
        <v>#REF!</v>
      </c>
      <c r="EE109" t="str">
        <f>AND(#REF!,"AAAAAGf/1oY=")</f>
        <v>#REF!</v>
      </c>
      <c r="EF109" t="str">
        <f>AND(#REF!,"AAAAAGf/1oc=")</f>
        <v>#REF!</v>
      </c>
      <c r="EG109" t="str">
        <f>AND(#REF!,"AAAAAGf/1og=")</f>
        <v>#REF!</v>
      </c>
      <c r="EH109" t="str">
        <f>AND(#REF!,"AAAAAGf/1ok=")</f>
        <v>#REF!</v>
      </c>
      <c r="EI109" t="str">
        <f>AND(#REF!,"AAAAAGf/1oo=")</f>
        <v>#REF!</v>
      </c>
      <c r="EJ109" t="str">
        <f>AND(#REF!,"AAAAAGf/1os=")</f>
        <v>#REF!</v>
      </c>
      <c r="EK109" t="str">
        <f>AND(#REF!,"AAAAAGf/1ow=")</f>
        <v>#REF!</v>
      </c>
      <c r="EL109" t="str">
        <f>AND(#REF!,"AAAAAGf/1o0=")</f>
        <v>#REF!</v>
      </c>
      <c r="EM109" t="str">
        <f>AND(#REF!,"AAAAAGf/1o4=")</f>
        <v>#REF!</v>
      </c>
      <c r="EN109" t="str">
        <f>AND(#REF!,"AAAAAGf/1o8=")</f>
        <v>#REF!</v>
      </c>
      <c r="EO109" t="str">
        <f>AND(#REF!,"AAAAAGf/1pA=")</f>
        <v>#REF!</v>
      </c>
      <c r="EP109" t="str">
        <f>AND(#REF!,"AAAAAGf/1pE=")</f>
        <v>#REF!</v>
      </c>
      <c r="EQ109" t="str">
        <f>AND(#REF!,"AAAAAGf/1pI=")</f>
        <v>#REF!</v>
      </c>
      <c r="ER109" t="str">
        <f>AND(#REF!,"AAAAAGf/1pM=")</f>
        <v>#REF!</v>
      </c>
      <c r="ES109" t="str">
        <f>AND(#REF!,"AAAAAGf/1pQ=")</f>
        <v>#REF!</v>
      </c>
      <c r="ET109" t="str">
        <f>AND(#REF!,"AAAAAGf/1pU=")</f>
        <v>#REF!</v>
      </c>
      <c r="EU109" t="str">
        <f>AND(#REF!,"AAAAAGf/1pY=")</f>
        <v>#REF!</v>
      </c>
      <c r="EV109" t="str">
        <f>AND(#REF!,"AAAAAGf/1pc=")</f>
        <v>#REF!</v>
      </c>
      <c r="EW109" t="str">
        <f>AND(#REF!,"AAAAAGf/1pg=")</f>
        <v>#REF!</v>
      </c>
      <c r="EX109" t="str">
        <f>AND(#REF!,"AAAAAGf/1pk=")</f>
        <v>#REF!</v>
      </c>
      <c r="EY109" t="str">
        <f>AND(#REF!,"AAAAAGf/1po=")</f>
        <v>#REF!</v>
      </c>
      <c r="EZ109" t="str">
        <f>AND(#REF!,"AAAAAGf/1ps=")</f>
        <v>#REF!</v>
      </c>
      <c r="FA109" t="str">
        <f>AND(#REF!,"AAAAAGf/1pw=")</f>
        <v>#REF!</v>
      </c>
      <c r="FB109" t="str">
        <f>AND(#REF!,"AAAAAGf/1p0=")</f>
        <v>#REF!</v>
      </c>
      <c r="FC109" t="str">
        <f>AND(#REF!,"AAAAAGf/1p4=")</f>
        <v>#REF!</v>
      </c>
      <c r="FD109" t="str">
        <f>AND(#REF!,"AAAAAGf/1p8=")</f>
        <v>#REF!</v>
      </c>
      <c r="FE109" t="str">
        <f>AND(#REF!,"AAAAAGf/1qA=")</f>
        <v>#REF!</v>
      </c>
      <c r="FF109" t="str">
        <f>AND(#REF!,"AAAAAGf/1qE=")</f>
        <v>#REF!</v>
      </c>
      <c r="FG109" t="str">
        <f>AND(#REF!,"AAAAAGf/1qI=")</f>
        <v>#REF!</v>
      </c>
      <c r="FH109" t="str">
        <f>AND(#REF!,"AAAAAGf/1qM=")</f>
        <v>#REF!</v>
      </c>
      <c r="FI109" t="str">
        <f>AND(#REF!,"AAAAAGf/1qQ=")</f>
        <v>#REF!</v>
      </c>
      <c r="FJ109" t="str">
        <f>AND(#REF!,"AAAAAGf/1qU=")</f>
        <v>#REF!</v>
      </c>
      <c r="FK109" t="str">
        <f>AND(#REF!,"AAAAAGf/1qY=")</f>
        <v>#REF!</v>
      </c>
      <c r="FL109" t="str">
        <f>AND(#REF!,"AAAAAGf/1qc=")</f>
        <v>#REF!</v>
      </c>
      <c r="FM109" t="str">
        <f>AND(#REF!,"AAAAAGf/1qg=")</f>
        <v>#REF!</v>
      </c>
      <c r="FN109" t="str">
        <f>AND(#REF!,"AAAAAGf/1qk=")</f>
        <v>#REF!</v>
      </c>
      <c r="FO109" t="str">
        <f>AND(#REF!,"AAAAAGf/1qo=")</f>
        <v>#REF!</v>
      </c>
      <c r="FP109" t="str">
        <f>AND(#REF!,"AAAAAGf/1qs=")</f>
        <v>#REF!</v>
      </c>
      <c r="FQ109" t="str">
        <f>AND(#REF!,"AAAAAGf/1qw=")</f>
        <v>#REF!</v>
      </c>
      <c r="FR109" t="str">
        <f>AND(#REF!,"AAAAAGf/1q0=")</f>
        <v>#REF!</v>
      </c>
      <c r="FS109" t="str">
        <f>AND(#REF!,"AAAAAGf/1q4=")</f>
        <v>#REF!</v>
      </c>
      <c r="FT109" t="str">
        <f>AND(#REF!,"AAAAAGf/1q8=")</f>
        <v>#REF!</v>
      </c>
      <c r="FU109" t="str">
        <f>AND(#REF!,"AAAAAGf/1rA=")</f>
        <v>#REF!</v>
      </c>
      <c r="FV109" t="str">
        <f>AND(#REF!,"AAAAAGf/1rE=")</f>
        <v>#REF!</v>
      </c>
      <c r="FW109" t="str">
        <f>AND(#REF!,"AAAAAGf/1rI=")</f>
        <v>#REF!</v>
      </c>
      <c r="FX109" t="str">
        <f>AND(#REF!,"AAAAAGf/1rM=")</f>
        <v>#REF!</v>
      </c>
      <c r="FY109" t="str">
        <f>AND(#REF!,"AAAAAGf/1rQ=")</f>
        <v>#REF!</v>
      </c>
      <c r="FZ109" t="str">
        <f>AND(#REF!,"AAAAAGf/1rU=")</f>
        <v>#REF!</v>
      </c>
      <c r="GA109" t="str">
        <f>AND(#REF!,"AAAAAGf/1rY=")</f>
        <v>#REF!</v>
      </c>
      <c r="GB109" t="str">
        <f>AND(#REF!,"AAAAAGf/1rc=")</f>
        <v>#REF!</v>
      </c>
      <c r="GC109" t="str">
        <f>AND(#REF!,"AAAAAGf/1rg=")</f>
        <v>#REF!</v>
      </c>
      <c r="GD109" t="str">
        <f>AND(#REF!,"AAAAAGf/1rk=")</f>
        <v>#REF!</v>
      </c>
      <c r="GE109" t="str">
        <f>AND(#REF!,"AAAAAGf/1ro=")</f>
        <v>#REF!</v>
      </c>
      <c r="GF109" t="str">
        <f>IF(#REF!,"AAAAAGf/1rs=",0)</f>
        <v>#REF!</v>
      </c>
      <c r="GG109" t="str">
        <f>AND(#REF!,"AAAAAGf/1rw=")</f>
        <v>#REF!</v>
      </c>
      <c r="GH109" t="str">
        <f>AND(#REF!,"AAAAAGf/1r0=")</f>
        <v>#REF!</v>
      </c>
      <c r="GI109" t="str">
        <f>AND(#REF!,"AAAAAGf/1r4=")</f>
        <v>#REF!</v>
      </c>
      <c r="GJ109" t="str">
        <f>AND(#REF!,"AAAAAGf/1r8=")</f>
        <v>#REF!</v>
      </c>
      <c r="GK109" t="str">
        <f>AND(#REF!,"AAAAAGf/1sA=")</f>
        <v>#REF!</v>
      </c>
      <c r="GL109" t="str">
        <f>AND(#REF!,"AAAAAGf/1sE=")</f>
        <v>#REF!</v>
      </c>
      <c r="GM109" t="str">
        <f>AND(#REF!,"AAAAAGf/1sI=")</f>
        <v>#REF!</v>
      </c>
      <c r="GN109" t="str">
        <f>AND(#REF!,"AAAAAGf/1sM=")</f>
        <v>#REF!</v>
      </c>
      <c r="GO109" t="str">
        <f>AND(#REF!,"AAAAAGf/1sQ=")</f>
        <v>#REF!</v>
      </c>
      <c r="GP109" t="str">
        <f>AND(#REF!,"AAAAAGf/1sU=")</f>
        <v>#REF!</v>
      </c>
      <c r="GQ109" t="str">
        <f>AND(#REF!,"AAAAAGf/1sY=")</f>
        <v>#REF!</v>
      </c>
      <c r="GR109" t="str">
        <f>AND(#REF!,"AAAAAGf/1sc=")</f>
        <v>#REF!</v>
      </c>
      <c r="GS109" t="str">
        <f>AND(#REF!,"AAAAAGf/1sg=")</f>
        <v>#REF!</v>
      </c>
      <c r="GT109" t="str">
        <f>AND(#REF!,"AAAAAGf/1sk=")</f>
        <v>#REF!</v>
      </c>
      <c r="GU109" t="str">
        <f>AND(#REF!,"AAAAAGf/1so=")</f>
        <v>#REF!</v>
      </c>
      <c r="GV109" t="str">
        <f>AND(#REF!,"AAAAAGf/1ss=")</f>
        <v>#REF!</v>
      </c>
      <c r="GW109" t="str">
        <f>AND(#REF!,"AAAAAGf/1sw=")</f>
        <v>#REF!</v>
      </c>
      <c r="GX109" t="str">
        <f>AND(#REF!,"AAAAAGf/1s0=")</f>
        <v>#REF!</v>
      </c>
      <c r="GY109" t="str">
        <f>AND(#REF!,"AAAAAGf/1s4=")</f>
        <v>#REF!</v>
      </c>
      <c r="GZ109" t="str">
        <f>AND(#REF!,"AAAAAGf/1s8=")</f>
        <v>#REF!</v>
      </c>
      <c r="HA109" t="str">
        <f>AND(#REF!,"AAAAAGf/1tA=")</f>
        <v>#REF!</v>
      </c>
      <c r="HB109" t="str">
        <f>AND(#REF!,"AAAAAGf/1tE=")</f>
        <v>#REF!</v>
      </c>
      <c r="HC109" t="str">
        <f>AND(#REF!,"AAAAAGf/1tI=")</f>
        <v>#REF!</v>
      </c>
      <c r="HD109" t="str">
        <f>AND(#REF!,"AAAAAGf/1tM=")</f>
        <v>#REF!</v>
      </c>
      <c r="HE109" t="str">
        <f>AND(#REF!,"AAAAAGf/1tQ=")</f>
        <v>#REF!</v>
      </c>
      <c r="HF109" t="str">
        <f>AND(#REF!,"AAAAAGf/1tU=")</f>
        <v>#REF!</v>
      </c>
      <c r="HG109" t="str">
        <f>AND(#REF!,"AAAAAGf/1tY=")</f>
        <v>#REF!</v>
      </c>
      <c r="HH109" t="str">
        <f>AND(#REF!,"AAAAAGf/1tc=")</f>
        <v>#REF!</v>
      </c>
      <c r="HI109" t="str">
        <f>AND(#REF!,"AAAAAGf/1tg=")</f>
        <v>#REF!</v>
      </c>
      <c r="HJ109" t="str">
        <f>AND(#REF!,"AAAAAGf/1tk=")</f>
        <v>#REF!</v>
      </c>
      <c r="HK109" t="str">
        <f>AND(#REF!,"AAAAAGf/1to=")</f>
        <v>#REF!</v>
      </c>
      <c r="HL109" t="str">
        <f>AND(#REF!,"AAAAAGf/1ts=")</f>
        <v>#REF!</v>
      </c>
      <c r="HM109" t="str">
        <f>AND(#REF!,"AAAAAGf/1tw=")</f>
        <v>#REF!</v>
      </c>
      <c r="HN109" t="str">
        <f>AND(#REF!,"AAAAAGf/1t0=")</f>
        <v>#REF!</v>
      </c>
      <c r="HO109" t="str">
        <f>AND(#REF!,"AAAAAGf/1t4=")</f>
        <v>#REF!</v>
      </c>
      <c r="HP109" t="str">
        <f>AND(#REF!,"AAAAAGf/1t8=")</f>
        <v>#REF!</v>
      </c>
      <c r="HQ109" t="str">
        <f>AND(#REF!,"AAAAAGf/1uA=")</f>
        <v>#REF!</v>
      </c>
      <c r="HR109" t="str">
        <f>AND(#REF!,"AAAAAGf/1uE=")</f>
        <v>#REF!</v>
      </c>
      <c r="HS109" t="str">
        <f>AND(#REF!,"AAAAAGf/1uI=")</f>
        <v>#REF!</v>
      </c>
      <c r="HT109" t="str">
        <f>AND(#REF!,"AAAAAGf/1uM=")</f>
        <v>#REF!</v>
      </c>
      <c r="HU109" t="str">
        <f>AND(#REF!,"AAAAAGf/1uQ=")</f>
        <v>#REF!</v>
      </c>
      <c r="HV109" t="str">
        <f>AND(#REF!,"AAAAAGf/1uU=")</f>
        <v>#REF!</v>
      </c>
      <c r="HW109" t="str">
        <f>AND(#REF!,"AAAAAGf/1uY=")</f>
        <v>#REF!</v>
      </c>
      <c r="HX109" t="str">
        <f>AND(#REF!,"AAAAAGf/1uc=")</f>
        <v>#REF!</v>
      </c>
      <c r="HY109" t="str">
        <f>AND(#REF!,"AAAAAGf/1ug=")</f>
        <v>#REF!</v>
      </c>
      <c r="HZ109" t="str">
        <f>AND(#REF!,"AAAAAGf/1uk=")</f>
        <v>#REF!</v>
      </c>
      <c r="IA109" t="str">
        <f>AND(#REF!,"AAAAAGf/1uo=")</f>
        <v>#REF!</v>
      </c>
      <c r="IB109" t="str">
        <f>AND(#REF!,"AAAAAGf/1us=")</f>
        <v>#REF!</v>
      </c>
      <c r="IC109" t="str">
        <f>AND(#REF!,"AAAAAGf/1uw=")</f>
        <v>#REF!</v>
      </c>
      <c r="ID109" t="str">
        <f>AND(#REF!,"AAAAAGf/1u0=")</f>
        <v>#REF!</v>
      </c>
      <c r="IE109" t="str">
        <f>AND(#REF!,"AAAAAGf/1u4=")</f>
        <v>#REF!</v>
      </c>
      <c r="IF109" t="str">
        <f>AND(#REF!,"AAAAAGf/1u8=")</f>
        <v>#REF!</v>
      </c>
      <c r="IG109" t="str">
        <f>AND(#REF!,"AAAAAGf/1vA=")</f>
        <v>#REF!</v>
      </c>
      <c r="IH109" t="str">
        <f>AND(#REF!,"AAAAAGf/1vE=")</f>
        <v>#REF!</v>
      </c>
      <c r="II109" t="str">
        <f>AND(#REF!,"AAAAAGf/1vI=")</f>
        <v>#REF!</v>
      </c>
      <c r="IJ109" t="str">
        <f>AND(#REF!,"AAAAAGf/1vM=")</f>
        <v>#REF!</v>
      </c>
      <c r="IK109" t="str">
        <f>AND(#REF!,"AAAAAGf/1vQ=")</f>
        <v>#REF!</v>
      </c>
      <c r="IL109" t="str">
        <f>AND(#REF!,"AAAAAGf/1vU=")</f>
        <v>#REF!</v>
      </c>
      <c r="IM109" t="str">
        <f>AND(#REF!,"AAAAAGf/1vY=")</f>
        <v>#REF!</v>
      </c>
      <c r="IN109" t="str">
        <f>AND(#REF!,"AAAAAGf/1vc=")</f>
        <v>#REF!</v>
      </c>
      <c r="IO109" t="str">
        <f>AND(#REF!,"AAAAAGf/1vg=")</f>
        <v>#REF!</v>
      </c>
      <c r="IP109" t="str">
        <f>AND(#REF!,"AAAAAGf/1vk=")</f>
        <v>#REF!</v>
      </c>
      <c r="IQ109" t="str">
        <f>AND(#REF!,"AAAAAGf/1vo=")</f>
        <v>#REF!</v>
      </c>
      <c r="IR109" t="str">
        <f>AND(#REF!,"AAAAAGf/1vs=")</f>
        <v>#REF!</v>
      </c>
      <c r="IS109" t="str">
        <f>AND(#REF!,"AAAAAGf/1vw=")</f>
        <v>#REF!</v>
      </c>
      <c r="IT109" t="str">
        <f>AND(#REF!,"AAAAAGf/1v0=")</f>
        <v>#REF!</v>
      </c>
      <c r="IU109" t="str">
        <f>AND(#REF!,"AAAAAGf/1v4=")</f>
        <v>#REF!</v>
      </c>
      <c r="IV109" t="str">
        <f>AND(#REF!,"AAAAAGf/1v8=")</f>
        <v>#REF!</v>
      </c>
    </row>
    <row r="110" ht="15.75" customHeight="1">
      <c r="A110" t="str">
        <f>AND(#REF!,"AAAAAG3z5wA=")</f>
        <v>#REF!</v>
      </c>
      <c r="B110" t="str">
        <f>AND(#REF!,"AAAAAG3z5wE=")</f>
        <v>#REF!</v>
      </c>
      <c r="C110" t="str">
        <f>AND(#REF!,"AAAAAG3z5wI=")</f>
        <v>#REF!</v>
      </c>
      <c r="D110" t="str">
        <f>AND(#REF!,"AAAAAG3z5wM=")</f>
        <v>#REF!</v>
      </c>
      <c r="E110" t="str">
        <f>AND(#REF!,"AAAAAG3z5wQ=")</f>
        <v>#REF!</v>
      </c>
      <c r="F110" t="str">
        <f>AND(#REF!,"AAAAAG3z5wU=")</f>
        <v>#REF!</v>
      </c>
      <c r="G110" t="str">
        <f>AND(#REF!,"AAAAAG3z5wY=")</f>
        <v>#REF!</v>
      </c>
      <c r="H110" t="str">
        <f>IF(#REF!,"AAAAAG3z5wc=",0)</f>
        <v>#REF!</v>
      </c>
      <c r="I110" t="str">
        <f>AND(#REF!,"AAAAAG3z5wg=")</f>
        <v>#REF!</v>
      </c>
      <c r="J110" t="str">
        <f>AND(#REF!,"AAAAAG3z5wk=")</f>
        <v>#REF!</v>
      </c>
      <c r="K110" t="str">
        <f>AND(#REF!,"AAAAAG3z5wo=")</f>
        <v>#REF!</v>
      </c>
      <c r="L110" t="str">
        <f>AND(#REF!,"AAAAAG3z5ws=")</f>
        <v>#REF!</v>
      </c>
      <c r="M110" t="str">
        <f>AND(#REF!,"AAAAAG3z5ww=")</f>
        <v>#REF!</v>
      </c>
      <c r="N110" t="str">
        <f>AND(#REF!,"AAAAAG3z5w0=")</f>
        <v>#REF!</v>
      </c>
      <c r="O110" t="str">
        <f>AND(#REF!,"AAAAAG3z5w4=")</f>
        <v>#REF!</v>
      </c>
      <c r="P110" t="str">
        <f>AND(#REF!,"AAAAAG3z5w8=")</f>
        <v>#REF!</v>
      </c>
      <c r="Q110" t="str">
        <f>AND(#REF!,"AAAAAG3z5xA=")</f>
        <v>#REF!</v>
      </c>
      <c r="R110" t="str">
        <f>AND(#REF!,"AAAAAG3z5xE=")</f>
        <v>#REF!</v>
      </c>
      <c r="S110" t="str">
        <f>AND(#REF!,"AAAAAG3z5xI=")</f>
        <v>#REF!</v>
      </c>
      <c r="T110" t="str">
        <f>AND(#REF!,"AAAAAG3z5xM=")</f>
        <v>#REF!</v>
      </c>
      <c r="U110" t="str">
        <f>AND(#REF!,"AAAAAG3z5xQ=")</f>
        <v>#REF!</v>
      </c>
      <c r="V110" t="str">
        <f>AND(#REF!,"AAAAAG3z5xU=")</f>
        <v>#REF!</v>
      </c>
      <c r="W110" t="str">
        <f>AND(#REF!,"AAAAAG3z5xY=")</f>
        <v>#REF!</v>
      </c>
      <c r="X110" t="str">
        <f>AND(#REF!,"AAAAAG3z5xc=")</f>
        <v>#REF!</v>
      </c>
      <c r="Y110" t="str">
        <f>AND(#REF!,"AAAAAG3z5xg=")</f>
        <v>#REF!</v>
      </c>
      <c r="Z110" t="str">
        <f>AND(#REF!,"AAAAAG3z5xk=")</f>
        <v>#REF!</v>
      </c>
      <c r="AA110" t="str">
        <f>AND(#REF!,"AAAAAG3z5xo=")</f>
        <v>#REF!</v>
      </c>
      <c r="AB110" t="str">
        <f>AND(#REF!,"AAAAAG3z5xs=")</f>
        <v>#REF!</v>
      </c>
      <c r="AC110" t="str">
        <f>AND(#REF!,"AAAAAG3z5xw=")</f>
        <v>#REF!</v>
      </c>
      <c r="AD110" t="str">
        <f>AND(#REF!,"AAAAAG3z5x0=")</f>
        <v>#REF!</v>
      </c>
      <c r="AE110" t="str">
        <f>AND(#REF!,"AAAAAG3z5x4=")</f>
        <v>#REF!</v>
      </c>
      <c r="AF110" t="str">
        <f>AND(#REF!,"AAAAAG3z5x8=")</f>
        <v>#REF!</v>
      </c>
      <c r="AG110" t="str">
        <f>AND(#REF!,"AAAAAG3z5yA=")</f>
        <v>#REF!</v>
      </c>
      <c r="AH110" t="str">
        <f>AND(#REF!,"AAAAAG3z5yE=")</f>
        <v>#REF!</v>
      </c>
      <c r="AI110" t="str">
        <f>AND(#REF!,"AAAAAG3z5yI=")</f>
        <v>#REF!</v>
      </c>
      <c r="AJ110" t="str">
        <f>AND(#REF!,"AAAAAG3z5yM=")</f>
        <v>#REF!</v>
      </c>
      <c r="AK110" t="str">
        <f>AND(#REF!,"AAAAAG3z5yQ=")</f>
        <v>#REF!</v>
      </c>
      <c r="AL110" t="str">
        <f>AND(#REF!,"AAAAAG3z5yU=")</f>
        <v>#REF!</v>
      </c>
      <c r="AM110" t="str">
        <f>AND(#REF!,"AAAAAG3z5yY=")</f>
        <v>#REF!</v>
      </c>
      <c r="AN110" t="str">
        <f>AND(#REF!,"AAAAAG3z5yc=")</f>
        <v>#REF!</v>
      </c>
      <c r="AO110" t="str">
        <f>AND(#REF!,"AAAAAG3z5yg=")</f>
        <v>#REF!</v>
      </c>
      <c r="AP110" t="str">
        <f>AND(#REF!,"AAAAAG3z5yk=")</f>
        <v>#REF!</v>
      </c>
      <c r="AQ110" t="str">
        <f>AND(#REF!,"AAAAAG3z5yo=")</f>
        <v>#REF!</v>
      </c>
      <c r="AR110" t="str">
        <f>AND(#REF!,"AAAAAG3z5ys=")</f>
        <v>#REF!</v>
      </c>
      <c r="AS110" t="str">
        <f>AND(#REF!,"AAAAAG3z5yw=")</f>
        <v>#REF!</v>
      </c>
      <c r="AT110" t="str">
        <f>AND(#REF!,"AAAAAG3z5y0=")</f>
        <v>#REF!</v>
      </c>
      <c r="AU110" t="str">
        <f>AND(#REF!,"AAAAAG3z5y4=")</f>
        <v>#REF!</v>
      </c>
      <c r="AV110" t="str">
        <f>AND(#REF!,"AAAAAG3z5y8=")</f>
        <v>#REF!</v>
      </c>
      <c r="AW110" t="str">
        <f>AND(#REF!,"AAAAAG3z5zA=")</f>
        <v>#REF!</v>
      </c>
      <c r="AX110" t="str">
        <f>AND(#REF!,"AAAAAG3z5zE=")</f>
        <v>#REF!</v>
      </c>
      <c r="AY110" t="str">
        <f>AND(#REF!,"AAAAAG3z5zI=")</f>
        <v>#REF!</v>
      </c>
      <c r="AZ110" t="str">
        <f>AND(#REF!,"AAAAAG3z5zM=")</f>
        <v>#REF!</v>
      </c>
      <c r="BA110" t="str">
        <f>AND(#REF!,"AAAAAG3z5zQ=")</f>
        <v>#REF!</v>
      </c>
      <c r="BB110" t="str">
        <f>AND(#REF!,"AAAAAG3z5zU=")</f>
        <v>#REF!</v>
      </c>
      <c r="BC110" t="str">
        <f>AND(#REF!,"AAAAAG3z5zY=")</f>
        <v>#REF!</v>
      </c>
      <c r="BD110" t="str">
        <f>AND(#REF!,"AAAAAG3z5zc=")</f>
        <v>#REF!</v>
      </c>
      <c r="BE110" t="str">
        <f>AND(#REF!,"AAAAAG3z5zg=")</f>
        <v>#REF!</v>
      </c>
      <c r="BF110" t="str">
        <f>AND(#REF!,"AAAAAG3z5zk=")</f>
        <v>#REF!</v>
      </c>
      <c r="BG110" t="str">
        <f>AND(#REF!,"AAAAAG3z5zo=")</f>
        <v>#REF!</v>
      </c>
      <c r="BH110" t="str">
        <f>AND(#REF!,"AAAAAG3z5zs=")</f>
        <v>#REF!</v>
      </c>
      <c r="BI110" t="str">
        <f>AND(#REF!,"AAAAAG3z5zw=")</f>
        <v>#REF!</v>
      </c>
      <c r="BJ110" t="str">
        <f>AND(#REF!,"AAAAAG3z5z0=")</f>
        <v>#REF!</v>
      </c>
      <c r="BK110" t="str">
        <f>AND(#REF!,"AAAAAG3z5z4=")</f>
        <v>#REF!</v>
      </c>
      <c r="BL110" t="str">
        <f>AND(#REF!,"AAAAAG3z5z8=")</f>
        <v>#REF!</v>
      </c>
      <c r="BM110" t="str">
        <f>AND(#REF!,"AAAAAG3z50A=")</f>
        <v>#REF!</v>
      </c>
      <c r="BN110" t="str">
        <f>AND(#REF!,"AAAAAG3z50E=")</f>
        <v>#REF!</v>
      </c>
      <c r="BO110" t="str">
        <f>AND(#REF!,"AAAAAG3z50I=")</f>
        <v>#REF!</v>
      </c>
      <c r="BP110" t="str">
        <f>AND(#REF!,"AAAAAG3z50M=")</f>
        <v>#REF!</v>
      </c>
      <c r="BQ110" t="str">
        <f>AND(#REF!,"AAAAAG3z50Q=")</f>
        <v>#REF!</v>
      </c>
      <c r="BR110" t="str">
        <f>AND(#REF!,"AAAAAG3z50U=")</f>
        <v>#REF!</v>
      </c>
      <c r="BS110" t="str">
        <f>AND(#REF!,"AAAAAG3z50Y=")</f>
        <v>#REF!</v>
      </c>
      <c r="BT110" t="str">
        <f>AND(#REF!,"AAAAAG3z50c=")</f>
        <v>#REF!</v>
      </c>
      <c r="BU110" t="str">
        <f>AND(#REF!,"AAAAAG3z50g=")</f>
        <v>#REF!</v>
      </c>
      <c r="BV110" t="str">
        <f>AND(#REF!,"AAAAAG3z50k=")</f>
        <v>#REF!</v>
      </c>
      <c r="BW110" t="str">
        <f>AND(#REF!,"AAAAAG3z50o=")</f>
        <v>#REF!</v>
      </c>
      <c r="BX110" t="str">
        <f>AND(#REF!,"AAAAAG3z50s=")</f>
        <v>#REF!</v>
      </c>
      <c r="BY110" t="str">
        <f>AND(#REF!,"AAAAAG3z50w=")</f>
        <v>#REF!</v>
      </c>
      <c r="BZ110" t="str">
        <f>AND(#REF!,"AAAAAG3z500=")</f>
        <v>#REF!</v>
      </c>
      <c r="CA110" t="str">
        <f>AND(#REF!,"AAAAAG3z504=")</f>
        <v>#REF!</v>
      </c>
      <c r="CB110" t="str">
        <f>AND(#REF!,"AAAAAG3z508=")</f>
        <v>#REF!</v>
      </c>
      <c r="CC110" t="str">
        <f>AND(#REF!,"AAAAAG3z51A=")</f>
        <v>#REF!</v>
      </c>
      <c r="CD110" t="str">
        <f>AND(#REF!,"AAAAAG3z51E=")</f>
        <v>#REF!</v>
      </c>
      <c r="CE110" t="str">
        <f>AND(#REF!,"AAAAAG3z51I=")</f>
        <v>#REF!</v>
      </c>
      <c r="CF110" t="str">
        <f>IF(#REF!,"AAAAAG3z51M=",0)</f>
        <v>#REF!</v>
      </c>
      <c r="CG110" t="str">
        <f>AND(#REF!,"AAAAAG3z51Q=")</f>
        <v>#REF!</v>
      </c>
      <c r="CH110" t="str">
        <f>AND(#REF!,"AAAAAG3z51U=")</f>
        <v>#REF!</v>
      </c>
      <c r="CI110" t="str">
        <f>AND(#REF!,"AAAAAG3z51Y=")</f>
        <v>#REF!</v>
      </c>
      <c r="CJ110" t="str">
        <f>AND(#REF!,"AAAAAG3z51c=")</f>
        <v>#REF!</v>
      </c>
      <c r="CK110" t="str">
        <f>AND(#REF!,"AAAAAG3z51g=")</f>
        <v>#REF!</v>
      </c>
      <c r="CL110" t="str">
        <f>AND(#REF!,"AAAAAG3z51k=")</f>
        <v>#REF!</v>
      </c>
      <c r="CM110" t="str">
        <f>AND(#REF!,"AAAAAG3z51o=")</f>
        <v>#REF!</v>
      </c>
      <c r="CN110" t="str">
        <f>AND(#REF!,"AAAAAG3z51s=")</f>
        <v>#REF!</v>
      </c>
      <c r="CO110" t="str">
        <f>AND(#REF!,"AAAAAG3z51w=")</f>
        <v>#REF!</v>
      </c>
      <c r="CP110" t="str">
        <f>AND(#REF!,"AAAAAG3z510=")</f>
        <v>#REF!</v>
      </c>
      <c r="CQ110" t="str">
        <f>AND(#REF!,"AAAAAG3z514=")</f>
        <v>#REF!</v>
      </c>
      <c r="CR110" t="str">
        <f>AND(#REF!,"AAAAAG3z518=")</f>
        <v>#REF!</v>
      </c>
      <c r="CS110" t="str">
        <f>AND(#REF!,"AAAAAG3z52A=")</f>
        <v>#REF!</v>
      </c>
      <c r="CT110" t="str">
        <f>AND(#REF!,"AAAAAG3z52E=")</f>
        <v>#REF!</v>
      </c>
      <c r="CU110" t="str">
        <f>AND(#REF!,"AAAAAG3z52I=")</f>
        <v>#REF!</v>
      </c>
      <c r="CV110" t="str">
        <f>AND(#REF!,"AAAAAG3z52M=")</f>
        <v>#REF!</v>
      </c>
      <c r="CW110" t="str">
        <f>AND(#REF!,"AAAAAG3z52Q=")</f>
        <v>#REF!</v>
      </c>
      <c r="CX110" t="str">
        <f>AND(#REF!,"AAAAAG3z52U=")</f>
        <v>#REF!</v>
      </c>
      <c r="CY110" t="str">
        <f>AND(#REF!,"AAAAAG3z52Y=")</f>
        <v>#REF!</v>
      </c>
      <c r="CZ110" t="str">
        <f>AND(#REF!,"AAAAAG3z52c=")</f>
        <v>#REF!</v>
      </c>
      <c r="DA110" t="str">
        <f>AND(#REF!,"AAAAAG3z52g=")</f>
        <v>#REF!</v>
      </c>
      <c r="DB110" t="str">
        <f>AND(#REF!,"AAAAAG3z52k=")</f>
        <v>#REF!</v>
      </c>
      <c r="DC110" t="str">
        <f>AND(#REF!,"AAAAAG3z52o=")</f>
        <v>#REF!</v>
      </c>
      <c r="DD110" t="str">
        <f>AND(#REF!,"AAAAAG3z52s=")</f>
        <v>#REF!</v>
      </c>
      <c r="DE110" t="str">
        <f>AND(#REF!,"AAAAAG3z52w=")</f>
        <v>#REF!</v>
      </c>
      <c r="DF110" t="str">
        <f>AND(#REF!,"AAAAAG3z520=")</f>
        <v>#REF!</v>
      </c>
      <c r="DG110" t="str">
        <f>AND(#REF!,"AAAAAG3z524=")</f>
        <v>#REF!</v>
      </c>
      <c r="DH110" t="str">
        <f>AND(#REF!,"AAAAAG3z528=")</f>
        <v>#REF!</v>
      </c>
      <c r="DI110" t="str">
        <f>AND(#REF!,"AAAAAG3z53A=")</f>
        <v>#REF!</v>
      </c>
      <c r="DJ110" t="str">
        <f>AND(#REF!,"AAAAAG3z53E=")</f>
        <v>#REF!</v>
      </c>
      <c r="DK110" t="str">
        <f>AND(#REF!,"AAAAAG3z53I=")</f>
        <v>#REF!</v>
      </c>
      <c r="DL110" t="str">
        <f>AND(#REF!,"AAAAAG3z53M=")</f>
        <v>#REF!</v>
      </c>
      <c r="DM110" t="str">
        <f>AND(#REF!,"AAAAAG3z53Q=")</f>
        <v>#REF!</v>
      </c>
      <c r="DN110" t="str">
        <f>AND(#REF!,"AAAAAG3z53U=")</f>
        <v>#REF!</v>
      </c>
      <c r="DO110" t="str">
        <f>AND(#REF!,"AAAAAG3z53Y=")</f>
        <v>#REF!</v>
      </c>
      <c r="DP110" t="str">
        <f>AND(#REF!,"AAAAAG3z53c=")</f>
        <v>#REF!</v>
      </c>
      <c r="DQ110" t="str">
        <f>AND(#REF!,"AAAAAG3z53g=")</f>
        <v>#REF!</v>
      </c>
      <c r="DR110" t="str">
        <f>AND(#REF!,"AAAAAG3z53k=")</f>
        <v>#REF!</v>
      </c>
      <c r="DS110" t="str">
        <f>AND(#REF!,"AAAAAG3z53o=")</f>
        <v>#REF!</v>
      </c>
      <c r="DT110" t="str">
        <f>AND(#REF!,"AAAAAG3z53s=")</f>
        <v>#REF!</v>
      </c>
      <c r="DU110" t="str">
        <f>AND(#REF!,"AAAAAG3z53w=")</f>
        <v>#REF!</v>
      </c>
      <c r="DV110" t="str">
        <f>AND(#REF!,"AAAAAG3z530=")</f>
        <v>#REF!</v>
      </c>
      <c r="DW110" t="str">
        <f>AND(#REF!,"AAAAAG3z534=")</f>
        <v>#REF!</v>
      </c>
      <c r="DX110" t="str">
        <f>AND(#REF!,"AAAAAG3z538=")</f>
        <v>#REF!</v>
      </c>
      <c r="DY110" t="str">
        <f>AND(#REF!,"AAAAAG3z54A=")</f>
        <v>#REF!</v>
      </c>
      <c r="DZ110" t="str">
        <f>AND(#REF!,"AAAAAG3z54E=")</f>
        <v>#REF!</v>
      </c>
      <c r="EA110" t="str">
        <f>AND(#REF!,"AAAAAG3z54I=")</f>
        <v>#REF!</v>
      </c>
      <c r="EB110" t="str">
        <f>AND(#REF!,"AAAAAG3z54M=")</f>
        <v>#REF!</v>
      </c>
      <c r="EC110" t="str">
        <f>AND(#REF!,"AAAAAG3z54Q=")</f>
        <v>#REF!</v>
      </c>
      <c r="ED110" t="str">
        <f>AND(#REF!,"AAAAAG3z54U=")</f>
        <v>#REF!</v>
      </c>
      <c r="EE110" t="str">
        <f>AND(#REF!,"AAAAAG3z54Y=")</f>
        <v>#REF!</v>
      </c>
      <c r="EF110" t="str">
        <f>AND(#REF!,"AAAAAG3z54c=")</f>
        <v>#REF!</v>
      </c>
      <c r="EG110" t="str">
        <f>AND(#REF!,"AAAAAG3z54g=")</f>
        <v>#REF!</v>
      </c>
      <c r="EH110" t="str">
        <f>AND(#REF!,"AAAAAG3z54k=")</f>
        <v>#REF!</v>
      </c>
      <c r="EI110" t="str">
        <f>AND(#REF!,"AAAAAG3z54o=")</f>
        <v>#REF!</v>
      </c>
      <c r="EJ110" t="str">
        <f>AND(#REF!,"AAAAAG3z54s=")</f>
        <v>#REF!</v>
      </c>
      <c r="EK110" t="str">
        <f>AND(#REF!,"AAAAAG3z54w=")</f>
        <v>#REF!</v>
      </c>
      <c r="EL110" t="str">
        <f>AND(#REF!,"AAAAAG3z540=")</f>
        <v>#REF!</v>
      </c>
      <c r="EM110" t="str">
        <f>AND(#REF!,"AAAAAG3z544=")</f>
        <v>#REF!</v>
      </c>
      <c r="EN110" t="str">
        <f>AND(#REF!,"AAAAAG3z548=")</f>
        <v>#REF!</v>
      </c>
      <c r="EO110" t="str">
        <f>AND(#REF!,"AAAAAG3z55A=")</f>
        <v>#REF!</v>
      </c>
      <c r="EP110" t="str">
        <f>AND(#REF!,"AAAAAG3z55E=")</f>
        <v>#REF!</v>
      </c>
      <c r="EQ110" t="str">
        <f>AND(#REF!,"AAAAAG3z55I=")</f>
        <v>#REF!</v>
      </c>
      <c r="ER110" t="str">
        <f>AND(#REF!,"AAAAAG3z55M=")</f>
        <v>#REF!</v>
      </c>
      <c r="ES110" t="str">
        <f>AND(#REF!,"AAAAAG3z55Q=")</f>
        <v>#REF!</v>
      </c>
      <c r="ET110" t="str">
        <f>AND(#REF!,"AAAAAG3z55U=")</f>
        <v>#REF!</v>
      </c>
      <c r="EU110" t="str">
        <f>AND(#REF!,"AAAAAG3z55Y=")</f>
        <v>#REF!</v>
      </c>
      <c r="EV110" t="str">
        <f>AND(#REF!,"AAAAAG3z55c=")</f>
        <v>#REF!</v>
      </c>
      <c r="EW110" t="str">
        <f>AND(#REF!,"AAAAAG3z55g=")</f>
        <v>#REF!</v>
      </c>
      <c r="EX110" t="str">
        <f>AND(#REF!,"AAAAAG3z55k=")</f>
        <v>#REF!</v>
      </c>
      <c r="EY110" t="str">
        <f>AND(#REF!,"AAAAAG3z55o=")</f>
        <v>#REF!</v>
      </c>
      <c r="EZ110" t="str">
        <f>AND(#REF!,"AAAAAG3z55s=")</f>
        <v>#REF!</v>
      </c>
      <c r="FA110" t="str">
        <f>AND(#REF!,"AAAAAG3z55w=")</f>
        <v>#REF!</v>
      </c>
      <c r="FB110" t="str">
        <f>AND(#REF!,"AAAAAG3z550=")</f>
        <v>#REF!</v>
      </c>
      <c r="FC110" t="str">
        <f>AND(#REF!,"AAAAAG3z554=")</f>
        <v>#REF!</v>
      </c>
      <c r="FD110" t="str">
        <f>IF(#REF!,"AAAAAG3z558=",0)</f>
        <v>#REF!</v>
      </c>
      <c r="FE110" t="str">
        <f>AND(#REF!,"AAAAAG3z56A=")</f>
        <v>#REF!</v>
      </c>
      <c r="FF110" t="str">
        <f>AND(#REF!,"AAAAAG3z56E=")</f>
        <v>#REF!</v>
      </c>
      <c r="FG110" t="str">
        <f>AND(#REF!,"AAAAAG3z56I=")</f>
        <v>#REF!</v>
      </c>
      <c r="FH110" t="str">
        <f>AND(#REF!,"AAAAAG3z56M=")</f>
        <v>#REF!</v>
      </c>
      <c r="FI110" t="str">
        <f>AND(#REF!,"AAAAAG3z56Q=")</f>
        <v>#REF!</v>
      </c>
      <c r="FJ110" t="str">
        <f>AND(#REF!,"AAAAAG3z56U=")</f>
        <v>#REF!</v>
      </c>
      <c r="FK110" t="str">
        <f>AND(#REF!,"AAAAAG3z56Y=")</f>
        <v>#REF!</v>
      </c>
      <c r="FL110" t="str">
        <f>AND(#REF!,"AAAAAG3z56c=")</f>
        <v>#REF!</v>
      </c>
      <c r="FM110" t="str">
        <f>AND(#REF!,"AAAAAG3z56g=")</f>
        <v>#REF!</v>
      </c>
      <c r="FN110" t="str">
        <f>AND(#REF!,"AAAAAG3z56k=")</f>
        <v>#REF!</v>
      </c>
      <c r="FO110" t="str">
        <f>AND(#REF!,"AAAAAG3z56o=")</f>
        <v>#REF!</v>
      </c>
      <c r="FP110" t="str">
        <f>AND(#REF!,"AAAAAG3z56s=")</f>
        <v>#REF!</v>
      </c>
      <c r="FQ110" t="str">
        <f>AND(#REF!,"AAAAAG3z56w=")</f>
        <v>#REF!</v>
      </c>
      <c r="FR110" t="str">
        <f>AND(#REF!,"AAAAAG3z560=")</f>
        <v>#REF!</v>
      </c>
      <c r="FS110" t="str">
        <f>AND(#REF!,"AAAAAG3z564=")</f>
        <v>#REF!</v>
      </c>
      <c r="FT110" t="str">
        <f>AND(#REF!,"AAAAAG3z568=")</f>
        <v>#REF!</v>
      </c>
      <c r="FU110" t="str">
        <f>AND(#REF!,"AAAAAG3z57A=")</f>
        <v>#REF!</v>
      </c>
      <c r="FV110" t="str">
        <f>AND(#REF!,"AAAAAG3z57E=")</f>
        <v>#REF!</v>
      </c>
      <c r="FW110" t="str">
        <f>AND(#REF!,"AAAAAG3z57I=")</f>
        <v>#REF!</v>
      </c>
      <c r="FX110" t="str">
        <f>AND(#REF!,"AAAAAG3z57M=")</f>
        <v>#REF!</v>
      </c>
      <c r="FY110" t="str">
        <f>AND(#REF!,"AAAAAG3z57Q=")</f>
        <v>#REF!</v>
      </c>
      <c r="FZ110" t="str">
        <f>AND(#REF!,"AAAAAG3z57U=")</f>
        <v>#REF!</v>
      </c>
      <c r="GA110" t="str">
        <f>AND(#REF!,"AAAAAG3z57Y=")</f>
        <v>#REF!</v>
      </c>
      <c r="GB110" t="str">
        <f>AND(#REF!,"AAAAAG3z57c=")</f>
        <v>#REF!</v>
      </c>
      <c r="GC110" t="str">
        <f>AND(#REF!,"AAAAAG3z57g=")</f>
        <v>#REF!</v>
      </c>
      <c r="GD110" t="str">
        <f>AND(#REF!,"AAAAAG3z57k=")</f>
        <v>#REF!</v>
      </c>
      <c r="GE110" t="str">
        <f>AND(#REF!,"AAAAAG3z57o=")</f>
        <v>#REF!</v>
      </c>
      <c r="GF110" t="str">
        <f>AND(#REF!,"AAAAAG3z57s=")</f>
        <v>#REF!</v>
      </c>
      <c r="GG110" t="str">
        <f>AND(#REF!,"AAAAAG3z57w=")</f>
        <v>#REF!</v>
      </c>
      <c r="GH110" t="str">
        <f>AND(#REF!,"AAAAAG3z570=")</f>
        <v>#REF!</v>
      </c>
      <c r="GI110" t="str">
        <f>AND(#REF!,"AAAAAG3z574=")</f>
        <v>#REF!</v>
      </c>
      <c r="GJ110" t="str">
        <f>AND(#REF!,"AAAAAG3z578=")</f>
        <v>#REF!</v>
      </c>
      <c r="GK110" t="str">
        <f>AND(#REF!,"AAAAAG3z58A=")</f>
        <v>#REF!</v>
      </c>
      <c r="GL110" t="str">
        <f>AND(#REF!,"AAAAAG3z58E=")</f>
        <v>#REF!</v>
      </c>
      <c r="GM110" t="str">
        <f>AND(#REF!,"AAAAAG3z58I=")</f>
        <v>#REF!</v>
      </c>
      <c r="GN110" t="str">
        <f>AND(#REF!,"AAAAAG3z58M=")</f>
        <v>#REF!</v>
      </c>
      <c r="GO110" t="str">
        <f>AND(#REF!,"AAAAAG3z58Q=")</f>
        <v>#REF!</v>
      </c>
      <c r="GP110" t="str">
        <f>AND(#REF!,"AAAAAG3z58U=")</f>
        <v>#REF!</v>
      </c>
      <c r="GQ110" t="str">
        <f>AND(#REF!,"AAAAAG3z58Y=")</f>
        <v>#REF!</v>
      </c>
      <c r="GR110" t="str">
        <f>AND(#REF!,"AAAAAG3z58c=")</f>
        <v>#REF!</v>
      </c>
      <c r="GS110" t="str">
        <f>AND(#REF!,"AAAAAG3z58g=")</f>
        <v>#REF!</v>
      </c>
      <c r="GT110" t="str">
        <f>AND(#REF!,"AAAAAG3z58k=")</f>
        <v>#REF!</v>
      </c>
      <c r="GU110" t="str">
        <f>AND(#REF!,"AAAAAG3z58o=")</f>
        <v>#REF!</v>
      </c>
      <c r="GV110" t="str">
        <f>AND(#REF!,"AAAAAG3z58s=")</f>
        <v>#REF!</v>
      </c>
      <c r="GW110" t="str">
        <f>AND(#REF!,"AAAAAG3z58w=")</f>
        <v>#REF!</v>
      </c>
      <c r="GX110" t="str">
        <f>AND(#REF!,"AAAAAG3z580=")</f>
        <v>#REF!</v>
      </c>
      <c r="GY110" t="str">
        <f>AND(#REF!,"AAAAAG3z584=")</f>
        <v>#REF!</v>
      </c>
      <c r="GZ110" t="str">
        <f>AND(#REF!,"AAAAAG3z588=")</f>
        <v>#REF!</v>
      </c>
      <c r="HA110" t="str">
        <f>AND(#REF!,"AAAAAG3z59A=")</f>
        <v>#REF!</v>
      </c>
      <c r="HB110" t="str">
        <f>AND(#REF!,"AAAAAG3z59E=")</f>
        <v>#REF!</v>
      </c>
      <c r="HC110" t="str">
        <f>AND(#REF!,"AAAAAG3z59I=")</f>
        <v>#REF!</v>
      </c>
      <c r="HD110" t="str">
        <f>AND(#REF!,"AAAAAG3z59M=")</f>
        <v>#REF!</v>
      </c>
      <c r="HE110" t="str">
        <f>AND(#REF!,"AAAAAG3z59Q=")</f>
        <v>#REF!</v>
      </c>
      <c r="HF110" t="str">
        <f>AND(#REF!,"AAAAAG3z59U=")</f>
        <v>#REF!</v>
      </c>
      <c r="HG110" t="str">
        <f>AND(#REF!,"AAAAAG3z59Y=")</f>
        <v>#REF!</v>
      </c>
      <c r="HH110" t="str">
        <f>AND(#REF!,"AAAAAG3z59c=")</f>
        <v>#REF!</v>
      </c>
      <c r="HI110" t="str">
        <f>AND(#REF!,"AAAAAG3z59g=")</f>
        <v>#REF!</v>
      </c>
      <c r="HJ110" t="str">
        <f>AND(#REF!,"AAAAAG3z59k=")</f>
        <v>#REF!</v>
      </c>
      <c r="HK110" t="str">
        <f>AND(#REF!,"AAAAAG3z59o=")</f>
        <v>#REF!</v>
      </c>
      <c r="HL110" t="str">
        <f>AND(#REF!,"AAAAAG3z59s=")</f>
        <v>#REF!</v>
      </c>
      <c r="HM110" t="str">
        <f>AND(#REF!,"AAAAAG3z59w=")</f>
        <v>#REF!</v>
      </c>
      <c r="HN110" t="str">
        <f>AND(#REF!,"AAAAAG3z590=")</f>
        <v>#REF!</v>
      </c>
      <c r="HO110" t="str">
        <f>AND(#REF!,"AAAAAG3z594=")</f>
        <v>#REF!</v>
      </c>
      <c r="HP110" t="str">
        <f>AND(#REF!,"AAAAAG3z598=")</f>
        <v>#REF!</v>
      </c>
      <c r="HQ110" t="str">
        <f>AND(#REF!,"AAAAAG3z5+A=")</f>
        <v>#REF!</v>
      </c>
      <c r="HR110" t="str">
        <f>AND(#REF!,"AAAAAG3z5+E=")</f>
        <v>#REF!</v>
      </c>
      <c r="HS110" t="str">
        <f>AND(#REF!,"AAAAAG3z5+I=")</f>
        <v>#REF!</v>
      </c>
      <c r="HT110" t="str">
        <f>AND(#REF!,"AAAAAG3z5+M=")</f>
        <v>#REF!</v>
      </c>
      <c r="HU110" t="str">
        <f>AND(#REF!,"AAAAAG3z5+Q=")</f>
        <v>#REF!</v>
      </c>
      <c r="HV110" t="str">
        <f>AND(#REF!,"AAAAAG3z5+U=")</f>
        <v>#REF!</v>
      </c>
      <c r="HW110" t="str">
        <f>AND(#REF!,"AAAAAG3z5+Y=")</f>
        <v>#REF!</v>
      </c>
      <c r="HX110" t="str">
        <f>AND(#REF!,"AAAAAG3z5+c=")</f>
        <v>#REF!</v>
      </c>
      <c r="HY110" t="str">
        <f>AND(#REF!,"AAAAAG3z5+g=")</f>
        <v>#REF!</v>
      </c>
      <c r="HZ110" t="str">
        <f>AND(#REF!,"AAAAAG3z5+k=")</f>
        <v>#REF!</v>
      </c>
      <c r="IA110" t="str">
        <f>AND(#REF!,"AAAAAG3z5+o=")</f>
        <v>#REF!</v>
      </c>
      <c r="IB110" t="str">
        <f>IF(#REF!,"AAAAAG3z5+s=",0)</f>
        <v>#REF!</v>
      </c>
      <c r="IC110" t="str">
        <f>AND(#REF!,"AAAAAG3z5+w=")</f>
        <v>#REF!</v>
      </c>
      <c r="ID110" t="str">
        <f>AND(#REF!,"AAAAAG3z5+0=")</f>
        <v>#REF!</v>
      </c>
      <c r="IE110" t="str">
        <f>AND(#REF!,"AAAAAG3z5+4=")</f>
        <v>#REF!</v>
      </c>
      <c r="IF110" t="str">
        <f>IF(#REF!,"AAAAAG3z5+8=",0)</f>
        <v>#REF!</v>
      </c>
      <c r="IG110" t="str">
        <f>AND(#REF!,"AAAAAG3z5/A=")</f>
        <v>#REF!</v>
      </c>
      <c r="IH110" t="str">
        <f>AND(#REF!,"AAAAAG3z5/E=")</f>
        <v>#REF!</v>
      </c>
      <c r="II110" t="str">
        <f>AND(#REF!,"AAAAAG3z5/I=")</f>
        <v>#REF!</v>
      </c>
      <c r="IJ110" t="str">
        <f>IF(#REF!,"AAAAAG3z5/M=",0)</f>
        <v>#REF!</v>
      </c>
      <c r="IK110" t="str">
        <f>AND(#REF!,"AAAAAG3z5/Q=")</f>
        <v>#REF!</v>
      </c>
      <c r="IL110" t="str">
        <f>AND(#REF!,"AAAAAG3z5/U=")</f>
        <v>#REF!</v>
      </c>
      <c r="IM110" t="str">
        <f>AND(#REF!,"AAAAAG3z5/Y=")</f>
        <v>#REF!</v>
      </c>
      <c r="IN110" t="str">
        <f>IF(#REF!,"AAAAAG3z5/c=",0)</f>
        <v>#REF!</v>
      </c>
      <c r="IO110" t="str">
        <f>AND(#REF!,"AAAAAG3z5/g=")</f>
        <v>#REF!</v>
      </c>
      <c r="IP110" t="str">
        <f>AND(#REF!,"AAAAAG3z5/k=")</f>
        <v>#REF!</v>
      </c>
      <c r="IQ110" t="str">
        <f>AND(#REF!,"AAAAAG3z5/o=")</f>
        <v>#REF!</v>
      </c>
      <c r="IR110" t="str">
        <f>IF(#REF!,"AAAAAG3z5/s=",0)</f>
        <v>#REF!</v>
      </c>
      <c r="IS110" t="str">
        <f>AND(#REF!,"AAAAAG3z5/w=")</f>
        <v>#REF!</v>
      </c>
      <c r="IT110" t="str">
        <f>AND(#REF!,"AAAAAG3z5/0=")</f>
        <v>#REF!</v>
      </c>
      <c r="IU110" t="str">
        <f>AND(#REF!,"AAAAAG3z5/4=")</f>
        <v>#REF!</v>
      </c>
      <c r="IV110" t="str">
        <f>IF(#REF!,"AAAAAG3z5/8=",0)</f>
        <v>#REF!</v>
      </c>
    </row>
    <row r="111" ht="15.75" customHeight="1">
      <c r="A111" t="str">
        <f>AND(#REF!,"AAAAAH+32gA=")</f>
        <v>#REF!</v>
      </c>
      <c r="B111" t="str">
        <f>AND(#REF!,"AAAAAH+32gE=")</f>
        <v>#REF!</v>
      </c>
      <c r="C111" t="str">
        <f>AND(#REF!,"AAAAAH+32gI=")</f>
        <v>#REF!</v>
      </c>
      <c r="D111" t="str">
        <f>IF(#REF!,"AAAAAH+32gM=",0)</f>
        <v>#REF!</v>
      </c>
      <c r="E111" t="str">
        <f>AND(#REF!,"AAAAAH+32gQ=")</f>
        <v>#REF!</v>
      </c>
      <c r="F111" t="str">
        <f>AND(#REF!,"AAAAAH+32gU=")</f>
        <v>#REF!</v>
      </c>
      <c r="G111" t="str">
        <f>AND(#REF!,"AAAAAH+32gY=")</f>
        <v>#REF!</v>
      </c>
      <c r="H111" t="str">
        <f>IF(#REF!,"AAAAAH+32gc=",0)</f>
        <v>#REF!</v>
      </c>
      <c r="I111" t="str">
        <f>AND(#REF!,"AAAAAH+32gg=")</f>
        <v>#REF!</v>
      </c>
      <c r="J111" t="str">
        <f>AND(#REF!,"AAAAAH+32gk=")</f>
        <v>#REF!</v>
      </c>
      <c r="K111" t="str">
        <f>AND(#REF!,"AAAAAH+32go=")</f>
        <v>#REF!</v>
      </c>
      <c r="L111" t="str">
        <f>IF(#REF!,"AAAAAH+32gs=",0)</f>
        <v>#REF!</v>
      </c>
      <c r="M111" t="str">
        <f>AND(#REF!,"AAAAAH+32gw=")</f>
        <v>#REF!</v>
      </c>
      <c r="N111" t="str">
        <f>AND(#REF!,"AAAAAH+32g0=")</f>
        <v>#REF!</v>
      </c>
      <c r="O111" t="str">
        <f>AND(#REF!,"AAAAAH+32g4=")</f>
        <v>#REF!</v>
      </c>
      <c r="P111" t="str">
        <f>IF(#REF!,"AAAAAH+32g8=",0)</f>
        <v>#REF!</v>
      </c>
      <c r="Q111" t="str">
        <f>AND(#REF!,"AAAAAH+32hA=")</f>
        <v>#REF!</v>
      </c>
      <c r="R111" t="str">
        <f>AND(#REF!,"AAAAAH+32hE=")</f>
        <v>#REF!</v>
      </c>
      <c r="S111" t="str">
        <f>AND(#REF!,"AAAAAH+32hI=")</f>
        <v>#REF!</v>
      </c>
      <c r="T111" t="str">
        <f>IF(#REF!,"AAAAAH+32hM=",0)</f>
        <v>#REF!</v>
      </c>
      <c r="U111" t="str">
        <f>AND(#REF!,"AAAAAH+32hQ=")</f>
        <v>#REF!</v>
      </c>
      <c r="V111" t="str">
        <f>AND(#REF!,"AAAAAH+32hU=")</f>
        <v>#REF!</v>
      </c>
      <c r="W111" t="str">
        <f>AND(#REF!,"AAAAAH+32hY=")</f>
        <v>#REF!</v>
      </c>
      <c r="X111" t="str">
        <f>IF(#REF!,"AAAAAH+32hc=",0)</f>
        <v>#REF!</v>
      </c>
      <c r="Y111" t="str">
        <f>IF(#REF!,"AAAAAH+32hg=",0)</f>
        <v>#REF!</v>
      </c>
      <c r="Z111" t="str">
        <f>IF(#REF!,"AAAAAH+32hk=",0)</f>
        <v>#REF!</v>
      </c>
      <c r="AA111" t="str">
        <f>IF(#REF!,"AAAAAH+32ho=",0)</f>
        <v>#REF!</v>
      </c>
      <c r="AB111" t="str">
        <f>IF(#REF!,"AAAAAH+32hs=",0)</f>
        <v>#REF!</v>
      </c>
      <c r="AC111" t="str">
        <f>IF(#REF!,"AAAAAH+32hw=",0)</f>
        <v>#REF!</v>
      </c>
      <c r="AD111" t="str">
        <f>IF(#REF!,"AAAAAH+32h0=",0)</f>
        <v>#REF!</v>
      </c>
      <c r="AE111" t="str">
        <f>IF(#REF!,"AAAAAH+32h4=",0)</f>
        <v>#REF!</v>
      </c>
      <c r="AF111" t="str">
        <f>IF(#REF!,"AAAAAH+32h8=",0)</f>
        <v>#REF!</v>
      </c>
      <c r="AG111" t="str">
        <f>IF(#REF!,"AAAAAH+32iA=",0)</f>
        <v>#REF!</v>
      </c>
      <c r="AH111" t="str">
        <f>IF(#REF!,"AAAAAH+32iE=",0)</f>
        <v>#REF!</v>
      </c>
      <c r="AI111" t="str">
        <f>IF(#REF!,"AAAAAH+32iI=",0)</f>
        <v>#REF!</v>
      </c>
      <c r="AJ111" t="str">
        <f>IF(#REF!,"AAAAAH+32iM=",0)</f>
        <v>#REF!</v>
      </c>
      <c r="AK111" t="str">
        <f>IF(#REF!,"AAAAAH+32iQ=",0)</f>
        <v>#REF!</v>
      </c>
      <c r="AL111" t="str">
        <f>IF(#REF!,"AAAAAH+32iU=",0)</f>
        <v>#REF!</v>
      </c>
      <c r="AM111" t="str">
        <f>IF(#REF!,"AAAAAH+32iY=",0)</f>
        <v>#REF!</v>
      </c>
      <c r="AN111" t="str">
        <f>IF(#REF!,"AAAAAH+32ic=",0)</f>
        <v>#REF!</v>
      </c>
      <c r="AO111" t="str">
        <f>IF(#REF!,"AAAAAH+32ig=",0)</f>
        <v>#REF!</v>
      </c>
      <c r="AP111" t="str">
        <f>IF(#REF!,"AAAAAH+32ik=",0)</f>
        <v>#REF!</v>
      </c>
      <c r="AQ111" t="str">
        <f>IF(#REF!,"AAAAAH+32io=",0)</f>
        <v>#REF!</v>
      </c>
      <c r="AR111" t="str">
        <f>IF(#REF!,"AAAAAH+32is=",0)</f>
        <v>#REF!</v>
      </c>
      <c r="AS111" t="str">
        <f>IF(#REF!,"AAAAAH+32iw=",0)</f>
        <v>#REF!</v>
      </c>
      <c r="AT111" t="str">
        <f>IF(#REF!,"AAAAAH+32i0=",0)</f>
        <v>#REF!</v>
      </c>
      <c r="AU111" t="str">
        <f>IF(#REF!,"AAAAAH+32i4=",0)</f>
        <v>#REF!</v>
      </c>
      <c r="AV111" t="str">
        <f>IF(#REF!,"AAAAAH+32i8=",0)</f>
        <v>#REF!</v>
      </c>
      <c r="AW111" t="str">
        <f>IF(#REF!,"AAAAAH+32jA=",0)</f>
        <v>#REF!</v>
      </c>
      <c r="AX111" t="str">
        <f>IF(#REF!,"AAAAAH+32jE=",0)</f>
        <v>#REF!</v>
      </c>
      <c r="AY111" t="str">
        <f>IF(#REF!,"AAAAAH+32jI=",0)</f>
        <v>#REF!</v>
      </c>
      <c r="AZ111" t="str">
        <f>IF(#REF!,"AAAAAH+32jM=",0)</f>
        <v>#REF!</v>
      </c>
      <c r="BA111" t="str">
        <f>IF(#REF!,"AAAAAH+32jQ=",0)</f>
        <v>#REF!</v>
      </c>
      <c r="BB111" t="str">
        <f>IF(#REF!,"AAAAAH+32jU=",0)</f>
        <v>#REF!</v>
      </c>
      <c r="BC111" t="str">
        <f>IF(#REF!,"AAAAAH+32jY=",0)</f>
        <v>#REF!</v>
      </c>
      <c r="BD111" t="str">
        <f>IF(#REF!,"AAAAAH+32jc=",0)</f>
        <v>#REF!</v>
      </c>
      <c r="BE111" t="str">
        <f>IF(#REF!,"AAAAAH+32jg=",0)</f>
        <v>#REF!</v>
      </c>
      <c r="BF111" t="str">
        <f>IF(#REF!,"AAAAAH+32jk=",0)</f>
        <v>#REF!</v>
      </c>
      <c r="BG111" t="str">
        <f>IF(#REF!,"AAAAAH+32jo=",0)</f>
        <v>#REF!</v>
      </c>
      <c r="BH111" t="str">
        <f>IF(#REF!,"AAAAAH+32js=",0)</f>
        <v>#REF!</v>
      </c>
      <c r="BI111" t="str">
        <f>IF(#REF!,"AAAAAH+32jw=",0)</f>
        <v>#REF!</v>
      </c>
      <c r="BJ111" t="str">
        <f>IF(#REF!,"AAAAAH+32j0=",0)</f>
        <v>#REF!</v>
      </c>
      <c r="BK111" t="str">
        <f>IF(#REF!,"AAAAAH+32j4=",0)</f>
        <v>#REF!</v>
      </c>
      <c r="BL111" t="str">
        <f>IF(#REF!,"AAAAAH+32j8=",0)</f>
        <v>#REF!</v>
      </c>
      <c r="BM111" t="str">
        <f>IF(#REF!,"AAAAAH+32kA=",0)</f>
        <v>#REF!</v>
      </c>
      <c r="BN111" t="str">
        <f>IF(#REF!,"AAAAAH+32kE=",0)</f>
        <v>#REF!</v>
      </c>
      <c r="BO111" t="str">
        <f>IF(#REF!,"AAAAAH+32kI=",0)</f>
        <v>#REF!</v>
      </c>
      <c r="BP111" t="str">
        <f>IF(#REF!,"AAAAAH+32kM=",0)</f>
        <v>#REF!</v>
      </c>
      <c r="BQ111" t="str">
        <f>IF(#REF!,"AAAAAH+32kQ=",0)</f>
        <v>#REF!</v>
      </c>
      <c r="BR111" t="str">
        <f>IF(#REF!,"AAAAAH+32kU=",0)</f>
        <v>#REF!</v>
      </c>
      <c r="BS111" t="str">
        <f>IF(#REF!,"AAAAAH+32kY=",0)</f>
        <v>#REF!</v>
      </c>
      <c r="BT111" t="str">
        <f>IF(#REF!,"AAAAAH+32kc=",0)</f>
        <v>#REF!</v>
      </c>
      <c r="BU111" t="str">
        <f>IF(#REF!,"AAAAAH+32kg=",0)</f>
        <v>#REF!</v>
      </c>
      <c r="BV111" t="str">
        <f>IF(#REF!,"AAAAAH+32kk=",0)</f>
        <v>#REF!</v>
      </c>
      <c r="BW111" t="str">
        <f>IF(#REF!,"AAAAAH+32ko=",0)</f>
        <v>#REF!</v>
      </c>
      <c r="BX111" t="str">
        <f>IF(#REF!,"AAAAAH+32ks=",0)</f>
        <v>#REF!</v>
      </c>
      <c r="BY111" t="str">
        <f>IF(#REF!,"AAAAAH+32kw=",0)</f>
        <v>#REF!</v>
      </c>
      <c r="BZ111" t="str">
        <f>IF(#REF!,"AAAAAH+32k0=",0)</f>
        <v>#REF!</v>
      </c>
      <c r="CA111" t="str">
        <f>IF(#REF!,"AAAAAH+32k4=",0)</f>
        <v>#REF!</v>
      </c>
      <c r="CB111" t="str">
        <f>IF(#REF!,"AAAAAH+32k8=",0)</f>
        <v>#REF!</v>
      </c>
      <c r="CC111" t="str">
        <f>IF(#REF!,"AAAAAH+32lA=",0)</f>
        <v>#REF!</v>
      </c>
      <c r="CD111" t="str">
        <f>IF(#REF!,"AAAAAH+32lE=",0)</f>
        <v>#REF!</v>
      </c>
      <c r="CE111" t="str">
        <f>IF(#REF!,"AAAAAH+32lI=",0)</f>
        <v>#REF!</v>
      </c>
      <c r="CF111" t="str">
        <f>IF(#REF!,"AAAAAH+32lM=",0)</f>
        <v>#REF!</v>
      </c>
      <c r="CG111" t="str">
        <f>IF(#REF!,"AAAAAH+32lQ=",0)</f>
        <v>#REF!</v>
      </c>
      <c r="CH111" t="str">
        <f>IF(#REF!,"AAAAAH+32lU=",0)</f>
        <v>#REF!</v>
      </c>
      <c r="CI111" t="str">
        <f>IF(#REF!,"AAAAAH+32lY=",0)</f>
        <v>#REF!</v>
      </c>
      <c r="CJ111" t="str">
        <f>IF(#REF!,"AAAAAH+32lc=",0)</f>
        <v>#REF!</v>
      </c>
      <c r="CK111" t="str">
        <f>IF(#REF!,"AAAAAH+32lg=",0)</f>
        <v>#REF!</v>
      </c>
      <c r="CL111" t="str">
        <f>IF(#REF!,"AAAAAH+32lk=",0)</f>
        <v>#REF!</v>
      </c>
      <c r="CM111" t="str">
        <f>IF(#REF!,"AAAAAH+32lo=",0)</f>
        <v>#REF!</v>
      </c>
      <c r="CN111" t="str">
        <f>IF(#REF!,"AAAAAH+32ls=",0)</f>
        <v>#REF!</v>
      </c>
      <c r="CO111" t="str">
        <f>IF(#REF!,"AAAAAH+32lw=",0)</f>
        <v>#REF!</v>
      </c>
      <c r="CP111" t="str">
        <f>IF(#REF!,"AAAAAH+32l0=",0)</f>
        <v>#REF!</v>
      </c>
      <c r="CQ111" t="str">
        <f>IF(#REF!,"AAAAAH+32l4=",0)</f>
        <v>#REF!</v>
      </c>
      <c r="CR111" t="str">
        <f>IF(#REF!,"AAAAAH+32l8=",0)</f>
        <v>#REF!</v>
      </c>
      <c r="CS111" t="str">
        <f>IF(#REF!,"AAAAAH+32mA=",0)</f>
        <v>#REF!</v>
      </c>
      <c r="CT111" t="str">
        <f>IF(#REF!,"AAAAAH+32mE=",0)</f>
        <v>#REF!</v>
      </c>
      <c r="CU111" t="str">
        <f>IF(#REF!,"AAAAAH+32mI=",0)</f>
        <v>#REF!</v>
      </c>
      <c r="CV111" t="str">
        <f>AND(#REF!,"AAAAAH+32mM=")</f>
        <v>#REF!</v>
      </c>
      <c r="CW111" t="str">
        <f>AND(#REF!,"AAAAAH+32mQ=")</f>
        <v>#REF!</v>
      </c>
      <c r="CX111" t="str">
        <f>AND(#REF!,"AAAAAH+32mU=")</f>
        <v>#REF!</v>
      </c>
      <c r="CY111" t="str">
        <f>AND(#REF!,"AAAAAH+32mY=")</f>
        <v>#REF!</v>
      </c>
      <c r="CZ111" t="str">
        <f>AND(#REF!,"AAAAAH+32mc=")</f>
        <v>#REF!</v>
      </c>
      <c r="DA111" t="str">
        <f>AND(#REF!,"AAAAAH+32mg=")</f>
        <v>#REF!</v>
      </c>
      <c r="DB111" t="str">
        <f>AND(#REF!,"AAAAAH+32mk=")</f>
        <v>#REF!</v>
      </c>
      <c r="DC111" t="str">
        <f>AND(#REF!,"AAAAAH+32mo=")</f>
        <v>#REF!</v>
      </c>
      <c r="DD111" t="str">
        <f>AND(#REF!,"AAAAAH+32ms=")</f>
        <v>#REF!</v>
      </c>
      <c r="DE111" t="str">
        <f>AND(#REF!,"AAAAAH+32mw=")</f>
        <v>#REF!</v>
      </c>
      <c r="DF111" t="str">
        <f>AND(#REF!,"AAAAAH+32m0=")</f>
        <v>#REF!</v>
      </c>
      <c r="DG111" t="str">
        <f>AND(#REF!,"AAAAAH+32m4=")</f>
        <v>#REF!</v>
      </c>
      <c r="DH111" t="str">
        <f>AND(#REF!,"AAAAAH+32m8=")</f>
        <v>#REF!</v>
      </c>
      <c r="DI111" t="str">
        <f>AND(#REF!,"AAAAAH+32nA=")</f>
        <v>#REF!</v>
      </c>
      <c r="DJ111" t="str">
        <f>AND(#REF!,"AAAAAH+32nE=")</f>
        <v>#REF!</v>
      </c>
      <c r="DK111" t="str">
        <f>AND(#REF!,"AAAAAH+32nI=")</f>
        <v>#REF!</v>
      </c>
      <c r="DL111" t="str">
        <f>AND(#REF!,"AAAAAH+32nM=")</f>
        <v>#REF!</v>
      </c>
      <c r="DM111" t="str">
        <f>AND(#REF!,"AAAAAH+32nQ=")</f>
        <v>#REF!</v>
      </c>
      <c r="DN111" t="str">
        <f>AND(#REF!,"AAAAAH+32nU=")</f>
        <v>#REF!</v>
      </c>
      <c r="DO111" t="str">
        <f>AND(#REF!,"AAAAAH+32nY=")</f>
        <v>#REF!</v>
      </c>
      <c r="DP111" t="str">
        <f>AND(#REF!,"AAAAAH+32nc=")</f>
        <v>#REF!</v>
      </c>
      <c r="DQ111" t="str">
        <f>AND(#REF!,"AAAAAH+32ng=")</f>
        <v>#REF!</v>
      </c>
      <c r="DR111" t="str">
        <f>AND(#REF!,"AAAAAH+32nk=")</f>
        <v>#REF!</v>
      </c>
      <c r="DS111" t="str">
        <f>AND(#REF!,"AAAAAH+32no=")</f>
        <v>#REF!</v>
      </c>
      <c r="DT111" t="str">
        <f>AND(#REF!,"AAAAAH+32ns=")</f>
        <v>#REF!</v>
      </c>
      <c r="DU111" t="str">
        <f>AND(#REF!,"AAAAAH+32nw=")</f>
        <v>#REF!</v>
      </c>
      <c r="DV111" t="str">
        <f>AND(#REF!,"AAAAAH+32n0=")</f>
        <v>#REF!</v>
      </c>
      <c r="DW111" t="str">
        <f>AND(#REF!,"AAAAAH+32n4=")</f>
        <v>#REF!</v>
      </c>
      <c r="DX111" t="str">
        <f>AND(#REF!,"AAAAAH+32n8=")</f>
        <v>#REF!</v>
      </c>
      <c r="DY111" t="str">
        <f>AND(#REF!,"AAAAAH+32oA=")</f>
        <v>#REF!</v>
      </c>
      <c r="DZ111" t="str">
        <f>AND(#REF!,"AAAAAH+32oE=")</f>
        <v>#REF!</v>
      </c>
      <c r="EA111" t="str">
        <f>AND(#REF!,"AAAAAH+32oI=")</f>
        <v>#REF!</v>
      </c>
      <c r="EB111" t="str">
        <f>AND(#REF!,"AAAAAH+32oM=")</f>
        <v>#REF!</v>
      </c>
      <c r="EC111" t="str">
        <f>AND(#REF!,"AAAAAH+32oQ=")</f>
        <v>#REF!</v>
      </c>
      <c r="ED111" t="str">
        <f>AND(#REF!,"AAAAAH+32oU=")</f>
        <v>#REF!</v>
      </c>
      <c r="EE111" t="str">
        <f>AND(#REF!,"AAAAAH+32oY=")</f>
        <v>#REF!</v>
      </c>
      <c r="EF111" t="str">
        <f>AND(#REF!,"AAAAAH+32oc=")</f>
        <v>#REF!</v>
      </c>
      <c r="EG111" t="str">
        <f>AND(#REF!,"AAAAAH+32og=")</f>
        <v>#REF!</v>
      </c>
      <c r="EH111" t="str">
        <f>AND(#REF!,"AAAAAH+32ok=")</f>
        <v>#REF!</v>
      </c>
      <c r="EI111" t="str">
        <f>AND(#REF!,"AAAAAH+32oo=")</f>
        <v>#REF!</v>
      </c>
      <c r="EJ111" t="str">
        <f>AND(#REF!,"AAAAAH+32os=")</f>
        <v>#REF!</v>
      </c>
      <c r="EK111" t="str">
        <f>AND(#REF!,"AAAAAH+32ow=")</f>
        <v>#REF!</v>
      </c>
      <c r="EL111" t="str">
        <f>AND(#REF!,"AAAAAH+32o0=")</f>
        <v>#REF!</v>
      </c>
      <c r="EM111" t="str">
        <f>AND(#REF!,"AAAAAH+32o4=")</f>
        <v>#REF!</v>
      </c>
      <c r="EN111" t="str">
        <f>AND(#REF!,"AAAAAH+32o8=")</f>
        <v>#REF!</v>
      </c>
      <c r="EO111" t="str">
        <f>AND(#REF!,"AAAAAH+32pA=")</f>
        <v>#REF!</v>
      </c>
      <c r="EP111" t="str">
        <f>AND(#REF!,"AAAAAH+32pE=")</f>
        <v>#REF!</v>
      </c>
      <c r="EQ111" t="str">
        <f>AND(#REF!,"AAAAAH+32pI=")</f>
        <v>#REF!</v>
      </c>
      <c r="ER111" t="str">
        <f>AND(#REF!,"AAAAAH+32pM=")</f>
        <v>#REF!</v>
      </c>
      <c r="ES111" t="str">
        <f>AND(#REF!,"AAAAAH+32pQ=")</f>
        <v>#REF!</v>
      </c>
      <c r="ET111" t="str">
        <f>AND(#REF!,"AAAAAH+32pU=")</f>
        <v>#REF!</v>
      </c>
      <c r="EU111" t="str">
        <f>AND(#REF!,"AAAAAH+32pY=")</f>
        <v>#REF!</v>
      </c>
      <c r="EV111" t="str">
        <f>AND(#REF!,"AAAAAH+32pc=")</f>
        <v>#REF!</v>
      </c>
      <c r="EW111" t="str">
        <f>AND(#REF!,"AAAAAH+32pg=")</f>
        <v>#REF!</v>
      </c>
      <c r="EX111" t="str">
        <f>AND(#REF!,"AAAAAH+32pk=")</f>
        <v>#REF!</v>
      </c>
      <c r="EY111" t="str">
        <f>AND(#REF!,"AAAAAH+32po=")</f>
        <v>#REF!</v>
      </c>
      <c r="EZ111" t="str">
        <f>AND(#REF!,"AAAAAH+32ps=")</f>
        <v>#REF!</v>
      </c>
      <c r="FA111" t="str">
        <f>AND(#REF!,"AAAAAH+32pw=")</f>
        <v>#REF!</v>
      </c>
      <c r="FB111" t="str">
        <f>AND(#REF!,"AAAAAH+32p0=")</f>
        <v>#REF!</v>
      </c>
      <c r="FC111" t="str">
        <f>AND(#REF!,"AAAAAH+32p4=")</f>
        <v>#REF!</v>
      </c>
      <c r="FD111" t="str">
        <f>AND(#REF!,"AAAAAH+32p8=")</f>
        <v>#REF!</v>
      </c>
      <c r="FE111" t="str">
        <f>AND(#REF!,"AAAAAH+32qA=")</f>
        <v>#REF!</v>
      </c>
      <c r="FF111" t="str">
        <f>AND(#REF!,"AAAAAH+32qE=")</f>
        <v>#REF!</v>
      </c>
      <c r="FG111" t="str">
        <f>AND(#REF!,"AAAAAH+32qI=")</f>
        <v>#REF!</v>
      </c>
      <c r="FH111" t="str">
        <f>AND(#REF!,"AAAAAH+32qM=")</f>
        <v>#REF!</v>
      </c>
      <c r="FI111" t="str">
        <f>AND(#REF!,"AAAAAH+32qQ=")</f>
        <v>#REF!</v>
      </c>
      <c r="FJ111" t="str">
        <f>AND(#REF!,"AAAAAH+32qU=")</f>
        <v>#REF!</v>
      </c>
      <c r="FK111" t="str">
        <f>AND(#REF!,"AAAAAH+32qY=")</f>
        <v>#REF!</v>
      </c>
      <c r="FL111" t="str">
        <f>AND(#REF!,"AAAAAH+32qc=")</f>
        <v>#REF!</v>
      </c>
      <c r="FM111" t="str">
        <f>AND(#REF!,"AAAAAH+32qg=")</f>
        <v>#REF!</v>
      </c>
      <c r="FN111" t="str">
        <f>AND(#REF!,"AAAAAH+32qk=")</f>
        <v>#REF!</v>
      </c>
      <c r="FO111" t="str">
        <f>AND(#REF!,"AAAAAH+32qo=")</f>
        <v>#REF!</v>
      </c>
      <c r="FP111" t="str">
        <f>AND(#REF!,"AAAAAH+32qs=")</f>
        <v>#REF!</v>
      </c>
      <c r="FQ111" t="str">
        <f>AND(#REF!,"AAAAAH+32qw=")</f>
        <v>#REF!</v>
      </c>
      <c r="FR111" t="str">
        <f>AND(#REF!,"AAAAAH+32q0=")</f>
        <v>#REF!</v>
      </c>
      <c r="FS111" t="str">
        <f>IF(#REF!,"AAAAAH+32q4=",0)</f>
        <v>#REF!</v>
      </c>
      <c r="FT111" t="str">
        <f>AND(#REF!,"AAAAAH+32q8=")</f>
        <v>#REF!</v>
      </c>
      <c r="FU111" t="str">
        <f>AND(#REF!,"AAAAAH+32rA=")</f>
        <v>#REF!</v>
      </c>
      <c r="FV111" t="str">
        <f>AND(#REF!,"AAAAAH+32rE=")</f>
        <v>#REF!</v>
      </c>
      <c r="FW111" t="str">
        <f>AND(#REF!,"AAAAAH+32rI=")</f>
        <v>#REF!</v>
      </c>
      <c r="FX111" t="str">
        <f>AND(#REF!,"AAAAAH+32rM=")</f>
        <v>#REF!</v>
      </c>
      <c r="FY111" t="str">
        <f>AND(#REF!,"AAAAAH+32rQ=")</f>
        <v>#REF!</v>
      </c>
      <c r="FZ111" t="str">
        <f>AND(#REF!,"AAAAAH+32rU=")</f>
        <v>#REF!</v>
      </c>
      <c r="GA111" t="str">
        <f>AND(#REF!,"AAAAAH+32rY=")</f>
        <v>#REF!</v>
      </c>
      <c r="GB111" t="str">
        <f>AND(#REF!,"AAAAAH+32rc=")</f>
        <v>#REF!</v>
      </c>
      <c r="GC111" t="str">
        <f>AND(#REF!,"AAAAAH+32rg=")</f>
        <v>#REF!</v>
      </c>
      <c r="GD111" t="str">
        <f>AND(#REF!,"AAAAAH+32rk=")</f>
        <v>#REF!</v>
      </c>
      <c r="GE111" t="str">
        <f>AND(#REF!,"AAAAAH+32ro=")</f>
        <v>#REF!</v>
      </c>
      <c r="GF111" t="str">
        <f>AND(#REF!,"AAAAAH+32rs=")</f>
        <v>#REF!</v>
      </c>
      <c r="GG111" t="str">
        <f>AND(#REF!,"AAAAAH+32rw=")</f>
        <v>#REF!</v>
      </c>
      <c r="GH111" t="str">
        <f>AND(#REF!,"AAAAAH+32r0=")</f>
        <v>#REF!</v>
      </c>
      <c r="GI111" t="str">
        <f>AND(#REF!,"AAAAAH+32r4=")</f>
        <v>#REF!</v>
      </c>
      <c r="GJ111" t="str">
        <f>AND(#REF!,"AAAAAH+32r8=")</f>
        <v>#REF!</v>
      </c>
      <c r="GK111" t="str">
        <f>AND(#REF!,"AAAAAH+32sA=")</f>
        <v>#REF!</v>
      </c>
      <c r="GL111" t="str">
        <f>AND(#REF!,"AAAAAH+32sE=")</f>
        <v>#REF!</v>
      </c>
      <c r="GM111" t="str">
        <f>AND(#REF!,"AAAAAH+32sI=")</f>
        <v>#REF!</v>
      </c>
      <c r="GN111" t="str">
        <f>AND(#REF!,"AAAAAH+32sM=")</f>
        <v>#REF!</v>
      </c>
      <c r="GO111" t="str">
        <f>AND(#REF!,"AAAAAH+32sQ=")</f>
        <v>#REF!</v>
      </c>
      <c r="GP111" t="str">
        <f>AND(#REF!,"AAAAAH+32sU=")</f>
        <v>#REF!</v>
      </c>
      <c r="GQ111" t="str">
        <f>AND(#REF!,"AAAAAH+32sY=")</f>
        <v>#REF!</v>
      </c>
      <c r="GR111" t="str">
        <f>AND(#REF!,"AAAAAH+32sc=")</f>
        <v>#REF!</v>
      </c>
      <c r="GS111" t="str">
        <f>AND(#REF!,"AAAAAH+32sg=")</f>
        <v>#REF!</v>
      </c>
      <c r="GT111" t="str">
        <f>AND(#REF!,"AAAAAH+32sk=")</f>
        <v>#REF!</v>
      </c>
      <c r="GU111" t="str">
        <f>AND(#REF!,"AAAAAH+32so=")</f>
        <v>#REF!</v>
      </c>
      <c r="GV111" t="str">
        <f>AND(#REF!,"AAAAAH+32ss=")</f>
        <v>#REF!</v>
      </c>
      <c r="GW111" t="str">
        <f>AND(#REF!,"AAAAAH+32sw=")</f>
        <v>#REF!</v>
      </c>
      <c r="GX111" t="str">
        <f>AND(#REF!,"AAAAAH+32s0=")</f>
        <v>#REF!</v>
      </c>
      <c r="GY111" t="str">
        <f>AND(#REF!,"AAAAAH+32s4=")</f>
        <v>#REF!</v>
      </c>
      <c r="GZ111" t="str">
        <f>AND(#REF!,"AAAAAH+32s8=")</f>
        <v>#REF!</v>
      </c>
      <c r="HA111" t="str">
        <f>AND(#REF!,"AAAAAH+32tA=")</f>
        <v>#REF!</v>
      </c>
      <c r="HB111" t="str">
        <f>AND(#REF!,"AAAAAH+32tE=")</f>
        <v>#REF!</v>
      </c>
      <c r="HC111" t="str">
        <f>AND(#REF!,"AAAAAH+32tI=")</f>
        <v>#REF!</v>
      </c>
      <c r="HD111" t="str">
        <f>AND(#REF!,"AAAAAH+32tM=")</f>
        <v>#REF!</v>
      </c>
      <c r="HE111" t="str">
        <f>AND(#REF!,"AAAAAH+32tQ=")</f>
        <v>#REF!</v>
      </c>
      <c r="HF111" t="str">
        <f>AND(#REF!,"AAAAAH+32tU=")</f>
        <v>#REF!</v>
      </c>
      <c r="HG111" t="str">
        <f>AND(#REF!,"AAAAAH+32tY=")</f>
        <v>#REF!</v>
      </c>
      <c r="HH111" t="str">
        <f>AND(#REF!,"AAAAAH+32tc=")</f>
        <v>#REF!</v>
      </c>
      <c r="HI111" t="str">
        <f>AND(#REF!,"AAAAAH+32tg=")</f>
        <v>#REF!</v>
      </c>
      <c r="HJ111" t="str">
        <f>AND(#REF!,"AAAAAH+32tk=")</f>
        <v>#REF!</v>
      </c>
      <c r="HK111" t="str">
        <f>AND(#REF!,"AAAAAH+32to=")</f>
        <v>#REF!</v>
      </c>
      <c r="HL111" t="str">
        <f>AND(#REF!,"AAAAAH+32ts=")</f>
        <v>#REF!</v>
      </c>
      <c r="HM111" t="str">
        <f>AND(#REF!,"AAAAAH+32tw=")</f>
        <v>#REF!</v>
      </c>
      <c r="HN111" t="str">
        <f>AND(#REF!,"AAAAAH+32t0=")</f>
        <v>#REF!</v>
      </c>
      <c r="HO111" t="str">
        <f>AND(#REF!,"AAAAAH+32t4=")</f>
        <v>#REF!</v>
      </c>
      <c r="HP111" t="str">
        <f>AND(#REF!,"AAAAAH+32t8=")</f>
        <v>#REF!</v>
      </c>
      <c r="HQ111" t="str">
        <f>AND(#REF!,"AAAAAH+32uA=")</f>
        <v>#REF!</v>
      </c>
      <c r="HR111" t="str">
        <f>AND(#REF!,"AAAAAH+32uE=")</f>
        <v>#REF!</v>
      </c>
      <c r="HS111" t="str">
        <f>AND(#REF!,"AAAAAH+32uI=")</f>
        <v>#REF!</v>
      </c>
      <c r="HT111" t="str">
        <f>AND(#REF!,"AAAAAH+32uM=")</f>
        <v>#REF!</v>
      </c>
      <c r="HU111" t="str">
        <f>AND(#REF!,"AAAAAH+32uQ=")</f>
        <v>#REF!</v>
      </c>
      <c r="HV111" t="str">
        <f>AND(#REF!,"AAAAAH+32uU=")</f>
        <v>#REF!</v>
      </c>
      <c r="HW111" t="str">
        <f>AND(#REF!,"AAAAAH+32uY=")</f>
        <v>#REF!</v>
      </c>
      <c r="HX111" t="str">
        <f>AND(#REF!,"AAAAAH+32uc=")</f>
        <v>#REF!</v>
      </c>
      <c r="HY111" t="str">
        <f>AND(#REF!,"AAAAAH+32ug=")</f>
        <v>#REF!</v>
      </c>
      <c r="HZ111" t="str">
        <f>AND(#REF!,"AAAAAH+32uk=")</f>
        <v>#REF!</v>
      </c>
      <c r="IA111" t="str">
        <f>AND(#REF!,"AAAAAH+32uo=")</f>
        <v>#REF!</v>
      </c>
      <c r="IB111" t="str">
        <f>AND(#REF!,"AAAAAH+32us=")</f>
        <v>#REF!</v>
      </c>
      <c r="IC111" t="str">
        <f>AND(#REF!,"AAAAAH+32uw=")</f>
        <v>#REF!</v>
      </c>
      <c r="ID111" t="str">
        <f>AND(#REF!,"AAAAAH+32u0=")</f>
        <v>#REF!</v>
      </c>
      <c r="IE111" t="str">
        <f>AND(#REF!,"AAAAAH+32u4=")</f>
        <v>#REF!</v>
      </c>
      <c r="IF111" t="str">
        <f>AND(#REF!,"AAAAAH+32u8=")</f>
        <v>#REF!</v>
      </c>
      <c r="IG111" t="str">
        <f>AND(#REF!,"AAAAAH+32vA=")</f>
        <v>#REF!</v>
      </c>
      <c r="IH111" t="str">
        <f>AND(#REF!,"AAAAAH+32vE=")</f>
        <v>#REF!</v>
      </c>
      <c r="II111" t="str">
        <f>AND(#REF!,"AAAAAH+32vI=")</f>
        <v>#REF!</v>
      </c>
      <c r="IJ111" t="str">
        <f>AND(#REF!,"AAAAAH+32vM=")</f>
        <v>#REF!</v>
      </c>
      <c r="IK111" t="str">
        <f>AND(#REF!,"AAAAAH+32vQ=")</f>
        <v>#REF!</v>
      </c>
      <c r="IL111" t="str">
        <f>AND(#REF!,"AAAAAH+32vU=")</f>
        <v>#REF!</v>
      </c>
      <c r="IM111" t="str">
        <f>AND(#REF!,"AAAAAH+32vY=")</f>
        <v>#REF!</v>
      </c>
      <c r="IN111" t="str">
        <f>AND(#REF!,"AAAAAH+32vc=")</f>
        <v>#REF!</v>
      </c>
      <c r="IO111" t="str">
        <f>AND(#REF!,"AAAAAH+32vg=")</f>
        <v>#REF!</v>
      </c>
      <c r="IP111" t="str">
        <f>AND(#REF!,"AAAAAH+32vk=")</f>
        <v>#REF!</v>
      </c>
      <c r="IQ111" t="str">
        <f>IF(#REF!,"AAAAAH+32vo=",0)</f>
        <v>#REF!</v>
      </c>
      <c r="IR111" t="str">
        <f>AND(#REF!,"AAAAAH+32vs=")</f>
        <v>#REF!</v>
      </c>
      <c r="IS111" t="str">
        <f>AND(#REF!,"AAAAAH+32vw=")</f>
        <v>#REF!</v>
      </c>
      <c r="IT111" t="str">
        <f>AND(#REF!,"AAAAAH+32v0=")</f>
        <v>#REF!</v>
      </c>
      <c r="IU111" t="str">
        <f>AND(#REF!,"AAAAAH+32v4=")</f>
        <v>#REF!</v>
      </c>
      <c r="IV111" t="str">
        <f>AND(#REF!,"AAAAAH+32v8=")</f>
        <v>#REF!</v>
      </c>
    </row>
    <row r="112" ht="15.75" customHeight="1">
      <c r="A112" t="str">
        <f>AND(#REF!,"AAAAADy9+wA=")</f>
        <v>#REF!</v>
      </c>
      <c r="B112" t="str">
        <f>AND(#REF!,"AAAAADy9+wE=")</f>
        <v>#REF!</v>
      </c>
      <c r="C112" t="str">
        <f>AND(#REF!,"AAAAADy9+wI=")</f>
        <v>#REF!</v>
      </c>
      <c r="D112" t="str">
        <f>AND(#REF!,"AAAAADy9+wM=")</f>
        <v>#REF!</v>
      </c>
      <c r="E112" t="str">
        <f>AND(#REF!,"AAAAADy9+wQ=")</f>
        <v>#REF!</v>
      </c>
      <c r="F112" t="str">
        <f>AND(#REF!,"AAAAADy9+wU=")</f>
        <v>#REF!</v>
      </c>
      <c r="G112" t="str">
        <f>AND(#REF!,"AAAAADy9+wY=")</f>
        <v>#REF!</v>
      </c>
      <c r="H112" t="str">
        <f>AND(#REF!,"AAAAADy9+wc=")</f>
        <v>#REF!</v>
      </c>
      <c r="I112" t="str">
        <f>AND(#REF!,"AAAAADy9+wg=")</f>
        <v>#REF!</v>
      </c>
      <c r="J112" t="str">
        <f>AND(#REF!,"AAAAADy9+wk=")</f>
        <v>#REF!</v>
      </c>
      <c r="K112" t="str">
        <f>AND(#REF!,"AAAAADy9+wo=")</f>
        <v>#REF!</v>
      </c>
      <c r="L112" t="str">
        <f>AND(#REF!,"AAAAADy9+ws=")</f>
        <v>#REF!</v>
      </c>
      <c r="M112" t="str">
        <f>AND(#REF!,"AAAAADy9+ww=")</f>
        <v>#REF!</v>
      </c>
      <c r="N112" t="str">
        <f>AND(#REF!,"AAAAADy9+w0=")</f>
        <v>#REF!</v>
      </c>
      <c r="O112" t="str">
        <f>AND(#REF!,"AAAAADy9+w4=")</f>
        <v>#REF!</v>
      </c>
      <c r="P112" t="str">
        <f>AND(#REF!,"AAAAADy9+w8=")</f>
        <v>#REF!</v>
      </c>
      <c r="Q112" t="str">
        <f>AND(#REF!,"AAAAADy9+xA=")</f>
        <v>#REF!</v>
      </c>
      <c r="R112" t="str">
        <f>AND(#REF!,"AAAAADy9+xE=")</f>
        <v>#REF!</v>
      </c>
      <c r="S112" t="str">
        <f>AND(#REF!,"AAAAADy9+xI=")</f>
        <v>#REF!</v>
      </c>
      <c r="T112" t="str">
        <f>AND(#REF!,"AAAAADy9+xM=")</f>
        <v>#REF!</v>
      </c>
      <c r="U112" t="str">
        <f>AND(#REF!,"AAAAADy9+xQ=")</f>
        <v>#REF!</v>
      </c>
      <c r="V112" t="str">
        <f>AND(#REF!,"AAAAADy9+xU=")</f>
        <v>#REF!</v>
      </c>
      <c r="W112" t="str">
        <f>AND(#REF!,"AAAAADy9+xY=")</f>
        <v>#REF!</v>
      </c>
      <c r="X112" t="str">
        <f>AND(#REF!,"AAAAADy9+xc=")</f>
        <v>#REF!</v>
      </c>
      <c r="Y112" t="str">
        <f>AND(#REF!,"AAAAADy9+xg=")</f>
        <v>#REF!</v>
      </c>
      <c r="Z112" t="str">
        <f>AND(#REF!,"AAAAADy9+xk=")</f>
        <v>#REF!</v>
      </c>
      <c r="AA112" t="str">
        <f>AND(#REF!,"AAAAADy9+xo=")</f>
        <v>#REF!</v>
      </c>
      <c r="AB112" t="str">
        <f>AND(#REF!,"AAAAADy9+xs=")</f>
        <v>#REF!</v>
      </c>
      <c r="AC112" t="str">
        <f>AND(#REF!,"AAAAADy9+xw=")</f>
        <v>#REF!</v>
      </c>
      <c r="AD112" t="str">
        <f>AND(#REF!,"AAAAADy9+x0=")</f>
        <v>#REF!</v>
      </c>
      <c r="AE112" t="str">
        <f>AND(#REF!,"AAAAADy9+x4=")</f>
        <v>#REF!</v>
      </c>
      <c r="AF112" t="str">
        <f>AND(#REF!,"AAAAADy9+x8=")</f>
        <v>#REF!</v>
      </c>
      <c r="AG112" t="str">
        <f>AND(#REF!,"AAAAADy9+yA=")</f>
        <v>#REF!</v>
      </c>
      <c r="AH112" t="str">
        <f>AND(#REF!,"AAAAADy9+yE=")</f>
        <v>#REF!</v>
      </c>
      <c r="AI112" t="str">
        <f>AND(#REF!,"AAAAADy9+yI=")</f>
        <v>#REF!</v>
      </c>
      <c r="AJ112" t="str">
        <f>AND(#REF!,"AAAAADy9+yM=")</f>
        <v>#REF!</v>
      </c>
      <c r="AK112" t="str">
        <f>AND(#REF!,"AAAAADy9+yQ=")</f>
        <v>#REF!</v>
      </c>
      <c r="AL112" t="str">
        <f>AND(#REF!,"AAAAADy9+yU=")</f>
        <v>#REF!</v>
      </c>
      <c r="AM112" t="str">
        <f>AND(#REF!,"AAAAADy9+yY=")</f>
        <v>#REF!</v>
      </c>
      <c r="AN112" t="str">
        <f>AND(#REF!,"AAAAADy9+yc=")</f>
        <v>#REF!</v>
      </c>
      <c r="AO112" t="str">
        <f>AND(#REF!,"AAAAADy9+yg=")</f>
        <v>#REF!</v>
      </c>
      <c r="AP112" t="str">
        <f>AND(#REF!,"AAAAADy9+yk=")</f>
        <v>#REF!</v>
      </c>
      <c r="AQ112" t="str">
        <f>AND(#REF!,"AAAAADy9+yo=")</f>
        <v>#REF!</v>
      </c>
      <c r="AR112" t="str">
        <f>AND(#REF!,"AAAAADy9+ys=")</f>
        <v>#REF!</v>
      </c>
      <c r="AS112" t="str">
        <f>AND(#REF!,"AAAAADy9+yw=")</f>
        <v>#REF!</v>
      </c>
      <c r="AT112" t="str">
        <f>AND(#REF!,"AAAAADy9+y0=")</f>
        <v>#REF!</v>
      </c>
      <c r="AU112" t="str">
        <f>AND(#REF!,"AAAAADy9+y4=")</f>
        <v>#REF!</v>
      </c>
      <c r="AV112" t="str">
        <f>AND(#REF!,"AAAAADy9+y8=")</f>
        <v>#REF!</v>
      </c>
      <c r="AW112" t="str">
        <f>AND(#REF!,"AAAAADy9+zA=")</f>
        <v>#REF!</v>
      </c>
      <c r="AX112" t="str">
        <f>AND(#REF!,"AAAAADy9+zE=")</f>
        <v>#REF!</v>
      </c>
      <c r="AY112" t="str">
        <f>AND(#REF!,"AAAAADy9+zI=")</f>
        <v>#REF!</v>
      </c>
      <c r="AZ112" t="str">
        <f>AND(#REF!,"AAAAADy9+zM=")</f>
        <v>#REF!</v>
      </c>
      <c r="BA112" t="str">
        <f>AND(#REF!,"AAAAADy9+zQ=")</f>
        <v>#REF!</v>
      </c>
      <c r="BB112" t="str">
        <f>AND(#REF!,"AAAAADy9+zU=")</f>
        <v>#REF!</v>
      </c>
      <c r="BC112" t="str">
        <f>AND(#REF!,"AAAAADy9+zY=")</f>
        <v>#REF!</v>
      </c>
      <c r="BD112" t="str">
        <f>AND(#REF!,"AAAAADy9+zc=")</f>
        <v>#REF!</v>
      </c>
      <c r="BE112" t="str">
        <f>AND(#REF!,"AAAAADy9+zg=")</f>
        <v>#REF!</v>
      </c>
      <c r="BF112" t="str">
        <f>AND(#REF!,"AAAAADy9+zk=")</f>
        <v>#REF!</v>
      </c>
      <c r="BG112" t="str">
        <f>AND(#REF!,"AAAAADy9+zo=")</f>
        <v>#REF!</v>
      </c>
      <c r="BH112" t="str">
        <f>AND(#REF!,"AAAAADy9+zs=")</f>
        <v>#REF!</v>
      </c>
      <c r="BI112" t="str">
        <f>AND(#REF!,"AAAAADy9+zw=")</f>
        <v>#REF!</v>
      </c>
      <c r="BJ112" t="str">
        <f>AND(#REF!,"AAAAADy9+z0=")</f>
        <v>#REF!</v>
      </c>
      <c r="BK112" t="str">
        <f>AND(#REF!,"AAAAADy9+z4=")</f>
        <v>#REF!</v>
      </c>
      <c r="BL112" t="str">
        <f>AND(#REF!,"AAAAADy9+z8=")</f>
        <v>#REF!</v>
      </c>
      <c r="BM112" t="str">
        <f>AND(#REF!,"AAAAADy9+0A=")</f>
        <v>#REF!</v>
      </c>
      <c r="BN112" t="str">
        <f>AND(#REF!,"AAAAADy9+0E=")</f>
        <v>#REF!</v>
      </c>
      <c r="BO112" t="str">
        <f>AND(#REF!,"AAAAADy9+0I=")</f>
        <v>#REF!</v>
      </c>
      <c r="BP112" t="str">
        <f>AND(#REF!,"AAAAADy9+0M=")</f>
        <v>#REF!</v>
      </c>
      <c r="BQ112" t="str">
        <f>AND(#REF!,"AAAAADy9+0Q=")</f>
        <v>#REF!</v>
      </c>
      <c r="BR112" t="str">
        <f>AND(#REF!,"AAAAADy9+0U=")</f>
        <v>#REF!</v>
      </c>
      <c r="BS112" t="str">
        <f>IF(#REF!,"AAAAADy9+0Y=",0)</f>
        <v>#REF!</v>
      </c>
      <c r="BT112" t="str">
        <f>AND(#REF!,"AAAAADy9+0c=")</f>
        <v>#REF!</v>
      </c>
      <c r="BU112" t="str">
        <f>AND(#REF!,"AAAAADy9+0g=")</f>
        <v>#REF!</v>
      </c>
      <c r="BV112" t="str">
        <f>AND(#REF!,"AAAAADy9+0k=")</f>
        <v>#REF!</v>
      </c>
      <c r="BW112" t="str">
        <f>AND(#REF!,"AAAAADy9+0o=")</f>
        <v>#REF!</v>
      </c>
      <c r="BX112" t="str">
        <f>AND(#REF!,"AAAAADy9+0s=")</f>
        <v>#REF!</v>
      </c>
      <c r="BY112" t="str">
        <f>AND(#REF!,"AAAAADy9+0w=")</f>
        <v>#REF!</v>
      </c>
      <c r="BZ112" t="str">
        <f>AND(#REF!,"AAAAADy9+00=")</f>
        <v>#REF!</v>
      </c>
      <c r="CA112" t="str">
        <f>AND(#REF!,"AAAAADy9+04=")</f>
        <v>#REF!</v>
      </c>
      <c r="CB112" t="str">
        <f>AND(#REF!,"AAAAADy9+08=")</f>
        <v>#REF!</v>
      </c>
      <c r="CC112" t="str">
        <f>AND(#REF!,"AAAAADy9+1A=")</f>
        <v>#REF!</v>
      </c>
      <c r="CD112" t="str">
        <f>AND(#REF!,"AAAAADy9+1E=")</f>
        <v>#REF!</v>
      </c>
      <c r="CE112" t="str">
        <f>AND(#REF!,"AAAAADy9+1I=")</f>
        <v>#REF!</v>
      </c>
      <c r="CF112" t="str">
        <f>AND(#REF!,"AAAAADy9+1M=")</f>
        <v>#REF!</v>
      </c>
      <c r="CG112" t="str">
        <f>AND(#REF!,"AAAAADy9+1Q=")</f>
        <v>#REF!</v>
      </c>
      <c r="CH112" t="str">
        <f>AND(#REF!,"AAAAADy9+1U=")</f>
        <v>#REF!</v>
      </c>
      <c r="CI112" t="str">
        <f>AND(#REF!,"AAAAADy9+1Y=")</f>
        <v>#REF!</v>
      </c>
      <c r="CJ112" t="str">
        <f>AND(#REF!,"AAAAADy9+1c=")</f>
        <v>#REF!</v>
      </c>
      <c r="CK112" t="str">
        <f>AND(#REF!,"AAAAADy9+1g=")</f>
        <v>#REF!</v>
      </c>
      <c r="CL112" t="str">
        <f>AND(#REF!,"AAAAADy9+1k=")</f>
        <v>#REF!</v>
      </c>
      <c r="CM112" t="str">
        <f>AND(#REF!,"AAAAADy9+1o=")</f>
        <v>#REF!</v>
      </c>
      <c r="CN112" t="str">
        <f>AND(#REF!,"AAAAADy9+1s=")</f>
        <v>#REF!</v>
      </c>
      <c r="CO112" t="str">
        <f>AND(#REF!,"AAAAADy9+1w=")</f>
        <v>#REF!</v>
      </c>
      <c r="CP112" t="str">
        <f>AND(#REF!,"AAAAADy9+10=")</f>
        <v>#REF!</v>
      </c>
      <c r="CQ112" t="str">
        <f>AND(#REF!,"AAAAADy9+14=")</f>
        <v>#REF!</v>
      </c>
      <c r="CR112" t="str">
        <f>AND(#REF!,"AAAAADy9+18=")</f>
        <v>#REF!</v>
      </c>
      <c r="CS112" t="str">
        <f>AND(#REF!,"AAAAADy9+2A=")</f>
        <v>#REF!</v>
      </c>
      <c r="CT112" t="str">
        <f>AND(#REF!,"AAAAADy9+2E=")</f>
        <v>#REF!</v>
      </c>
      <c r="CU112" t="str">
        <f>AND(#REF!,"AAAAADy9+2I=")</f>
        <v>#REF!</v>
      </c>
      <c r="CV112" t="str">
        <f>AND(#REF!,"AAAAADy9+2M=")</f>
        <v>#REF!</v>
      </c>
      <c r="CW112" t="str">
        <f>AND(#REF!,"AAAAADy9+2Q=")</f>
        <v>#REF!</v>
      </c>
      <c r="CX112" t="str">
        <f>AND(#REF!,"AAAAADy9+2U=")</f>
        <v>#REF!</v>
      </c>
      <c r="CY112" t="str">
        <f>AND(#REF!,"AAAAADy9+2Y=")</f>
        <v>#REF!</v>
      </c>
      <c r="CZ112" t="str">
        <f>AND(#REF!,"AAAAADy9+2c=")</f>
        <v>#REF!</v>
      </c>
      <c r="DA112" t="str">
        <f>AND(#REF!,"AAAAADy9+2g=")</f>
        <v>#REF!</v>
      </c>
      <c r="DB112" t="str">
        <f>AND(#REF!,"AAAAADy9+2k=")</f>
        <v>#REF!</v>
      </c>
      <c r="DC112" t="str">
        <f>AND(#REF!,"AAAAADy9+2o=")</f>
        <v>#REF!</v>
      </c>
      <c r="DD112" t="str">
        <f>AND(#REF!,"AAAAADy9+2s=")</f>
        <v>#REF!</v>
      </c>
      <c r="DE112" t="str">
        <f>AND(#REF!,"AAAAADy9+2w=")</f>
        <v>#REF!</v>
      </c>
      <c r="DF112" t="str">
        <f>AND(#REF!,"AAAAADy9+20=")</f>
        <v>#REF!</v>
      </c>
      <c r="DG112" t="str">
        <f>AND(#REF!,"AAAAADy9+24=")</f>
        <v>#REF!</v>
      </c>
      <c r="DH112" t="str">
        <f>AND(#REF!,"AAAAADy9+28=")</f>
        <v>#REF!</v>
      </c>
      <c r="DI112" t="str">
        <f>AND(#REF!,"AAAAADy9+3A=")</f>
        <v>#REF!</v>
      </c>
      <c r="DJ112" t="str">
        <f>AND(#REF!,"AAAAADy9+3E=")</f>
        <v>#REF!</v>
      </c>
      <c r="DK112" t="str">
        <f>AND(#REF!,"AAAAADy9+3I=")</f>
        <v>#REF!</v>
      </c>
      <c r="DL112" t="str">
        <f>AND(#REF!,"AAAAADy9+3M=")</f>
        <v>#REF!</v>
      </c>
      <c r="DM112" t="str">
        <f>AND(#REF!,"AAAAADy9+3Q=")</f>
        <v>#REF!</v>
      </c>
      <c r="DN112" t="str">
        <f>AND(#REF!,"AAAAADy9+3U=")</f>
        <v>#REF!</v>
      </c>
      <c r="DO112" t="str">
        <f>AND(#REF!,"AAAAADy9+3Y=")</f>
        <v>#REF!</v>
      </c>
      <c r="DP112" t="str">
        <f>AND(#REF!,"AAAAADy9+3c=")</f>
        <v>#REF!</v>
      </c>
      <c r="DQ112" t="str">
        <f>AND(#REF!,"AAAAADy9+3g=")</f>
        <v>#REF!</v>
      </c>
      <c r="DR112" t="str">
        <f>AND(#REF!,"AAAAADy9+3k=")</f>
        <v>#REF!</v>
      </c>
      <c r="DS112" t="str">
        <f>AND(#REF!,"AAAAADy9+3o=")</f>
        <v>#REF!</v>
      </c>
      <c r="DT112" t="str">
        <f>AND(#REF!,"AAAAADy9+3s=")</f>
        <v>#REF!</v>
      </c>
      <c r="DU112" t="str">
        <f>AND(#REF!,"AAAAADy9+3w=")</f>
        <v>#REF!</v>
      </c>
      <c r="DV112" t="str">
        <f>AND(#REF!,"AAAAADy9+30=")</f>
        <v>#REF!</v>
      </c>
      <c r="DW112" t="str">
        <f>AND(#REF!,"AAAAADy9+34=")</f>
        <v>#REF!</v>
      </c>
      <c r="DX112" t="str">
        <f>AND(#REF!,"AAAAADy9+38=")</f>
        <v>#REF!</v>
      </c>
      <c r="DY112" t="str">
        <f>AND(#REF!,"AAAAADy9+4A=")</f>
        <v>#REF!</v>
      </c>
      <c r="DZ112" t="str">
        <f>AND(#REF!,"AAAAADy9+4E=")</f>
        <v>#REF!</v>
      </c>
      <c r="EA112" t="str">
        <f>AND(#REF!,"AAAAADy9+4I=")</f>
        <v>#REF!</v>
      </c>
      <c r="EB112" t="str">
        <f>AND(#REF!,"AAAAADy9+4M=")</f>
        <v>#REF!</v>
      </c>
      <c r="EC112" t="str">
        <f>AND(#REF!,"AAAAADy9+4Q=")</f>
        <v>#REF!</v>
      </c>
      <c r="ED112" t="str">
        <f>AND(#REF!,"AAAAADy9+4U=")</f>
        <v>#REF!</v>
      </c>
      <c r="EE112" t="str">
        <f>AND(#REF!,"AAAAADy9+4Y=")</f>
        <v>#REF!</v>
      </c>
      <c r="EF112" t="str">
        <f>AND(#REF!,"AAAAADy9+4c=")</f>
        <v>#REF!</v>
      </c>
      <c r="EG112" t="str">
        <f>AND(#REF!,"AAAAADy9+4g=")</f>
        <v>#REF!</v>
      </c>
      <c r="EH112" t="str">
        <f>AND(#REF!,"AAAAADy9+4k=")</f>
        <v>#REF!</v>
      </c>
      <c r="EI112" t="str">
        <f>AND(#REF!,"AAAAADy9+4o=")</f>
        <v>#REF!</v>
      </c>
      <c r="EJ112" t="str">
        <f>AND(#REF!,"AAAAADy9+4s=")</f>
        <v>#REF!</v>
      </c>
      <c r="EK112" t="str">
        <f>AND(#REF!,"AAAAADy9+4w=")</f>
        <v>#REF!</v>
      </c>
      <c r="EL112" t="str">
        <f>AND(#REF!,"AAAAADy9+40=")</f>
        <v>#REF!</v>
      </c>
      <c r="EM112" t="str">
        <f>AND(#REF!,"AAAAADy9+44=")</f>
        <v>#REF!</v>
      </c>
      <c r="EN112" t="str">
        <f>AND(#REF!,"AAAAADy9+48=")</f>
        <v>#REF!</v>
      </c>
      <c r="EO112" t="str">
        <f>AND(#REF!,"AAAAADy9+5A=")</f>
        <v>#REF!</v>
      </c>
      <c r="EP112" t="str">
        <f>AND(#REF!,"AAAAADy9+5E=")</f>
        <v>#REF!</v>
      </c>
      <c r="EQ112" t="str">
        <f>IF(#REF!,"AAAAADy9+5I=",0)</f>
        <v>#REF!</v>
      </c>
      <c r="ER112" t="str">
        <f>AND(#REF!,"AAAAADy9+5M=")</f>
        <v>#REF!</v>
      </c>
      <c r="ES112" t="str">
        <f>AND(#REF!,"AAAAADy9+5Q=")</f>
        <v>#REF!</v>
      </c>
      <c r="ET112" t="str">
        <f>AND(#REF!,"AAAAADy9+5U=")</f>
        <v>#REF!</v>
      </c>
      <c r="EU112" t="str">
        <f>AND(#REF!,"AAAAADy9+5Y=")</f>
        <v>#REF!</v>
      </c>
      <c r="EV112" t="str">
        <f>AND(#REF!,"AAAAADy9+5c=")</f>
        <v>#REF!</v>
      </c>
      <c r="EW112" t="str">
        <f>AND(#REF!,"AAAAADy9+5g=")</f>
        <v>#REF!</v>
      </c>
      <c r="EX112" t="str">
        <f>AND(#REF!,"AAAAADy9+5k=")</f>
        <v>#REF!</v>
      </c>
      <c r="EY112" t="str">
        <f>AND(#REF!,"AAAAADy9+5o=")</f>
        <v>#REF!</v>
      </c>
      <c r="EZ112" t="str">
        <f>AND(#REF!,"AAAAADy9+5s=")</f>
        <v>#REF!</v>
      </c>
      <c r="FA112" t="str">
        <f>AND(#REF!,"AAAAADy9+5w=")</f>
        <v>#REF!</v>
      </c>
      <c r="FB112" t="str">
        <f>AND(#REF!,"AAAAADy9+50=")</f>
        <v>#REF!</v>
      </c>
      <c r="FC112" t="str">
        <f>AND(#REF!,"AAAAADy9+54=")</f>
        <v>#REF!</v>
      </c>
      <c r="FD112" t="str">
        <f>AND(#REF!,"AAAAADy9+58=")</f>
        <v>#REF!</v>
      </c>
      <c r="FE112" t="str">
        <f>AND(#REF!,"AAAAADy9+6A=")</f>
        <v>#REF!</v>
      </c>
      <c r="FF112" t="str">
        <f>AND(#REF!,"AAAAADy9+6E=")</f>
        <v>#REF!</v>
      </c>
      <c r="FG112" t="str">
        <f>AND(#REF!,"AAAAADy9+6I=")</f>
        <v>#REF!</v>
      </c>
      <c r="FH112" t="str">
        <f>AND(#REF!,"AAAAADy9+6M=")</f>
        <v>#REF!</v>
      </c>
      <c r="FI112" t="str">
        <f>AND(#REF!,"AAAAADy9+6Q=")</f>
        <v>#REF!</v>
      </c>
      <c r="FJ112" t="str">
        <f>AND(#REF!,"AAAAADy9+6U=")</f>
        <v>#REF!</v>
      </c>
      <c r="FK112" t="str">
        <f>AND(#REF!,"AAAAADy9+6Y=")</f>
        <v>#REF!</v>
      </c>
      <c r="FL112" t="str">
        <f>AND(#REF!,"AAAAADy9+6c=")</f>
        <v>#REF!</v>
      </c>
      <c r="FM112" t="str">
        <f>AND(#REF!,"AAAAADy9+6g=")</f>
        <v>#REF!</v>
      </c>
      <c r="FN112" t="str">
        <f>AND(#REF!,"AAAAADy9+6k=")</f>
        <v>#REF!</v>
      </c>
      <c r="FO112" t="str">
        <f>AND(#REF!,"AAAAADy9+6o=")</f>
        <v>#REF!</v>
      </c>
      <c r="FP112" t="str">
        <f>AND(#REF!,"AAAAADy9+6s=")</f>
        <v>#REF!</v>
      </c>
      <c r="FQ112" t="str">
        <f>AND(#REF!,"AAAAADy9+6w=")</f>
        <v>#REF!</v>
      </c>
      <c r="FR112" t="str">
        <f>AND(#REF!,"AAAAADy9+60=")</f>
        <v>#REF!</v>
      </c>
      <c r="FS112" t="str">
        <f>AND(#REF!,"AAAAADy9+64=")</f>
        <v>#REF!</v>
      </c>
      <c r="FT112" t="str">
        <f>AND(#REF!,"AAAAADy9+68=")</f>
        <v>#REF!</v>
      </c>
      <c r="FU112" t="str">
        <f>AND(#REF!,"AAAAADy9+7A=")</f>
        <v>#REF!</v>
      </c>
      <c r="FV112" t="str">
        <f>AND(#REF!,"AAAAADy9+7E=")</f>
        <v>#REF!</v>
      </c>
      <c r="FW112" t="str">
        <f>AND(#REF!,"AAAAADy9+7I=")</f>
        <v>#REF!</v>
      </c>
      <c r="FX112" t="str">
        <f>AND(#REF!,"AAAAADy9+7M=")</f>
        <v>#REF!</v>
      </c>
      <c r="FY112" t="str">
        <f>AND(#REF!,"AAAAADy9+7Q=")</f>
        <v>#REF!</v>
      </c>
      <c r="FZ112" t="str">
        <f>AND(#REF!,"AAAAADy9+7U=")</f>
        <v>#REF!</v>
      </c>
      <c r="GA112" t="str">
        <f>AND(#REF!,"AAAAADy9+7Y=")</f>
        <v>#REF!</v>
      </c>
      <c r="GB112" t="str">
        <f>AND(#REF!,"AAAAADy9+7c=")</f>
        <v>#REF!</v>
      </c>
      <c r="GC112" t="str">
        <f>AND(#REF!,"AAAAADy9+7g=")</f>
        <v>#REF!</v>
      </c>
      <c r="GD112" t="str">
        <f>AND(#REF!,"AAAAADy9+7k=")</f>
        <v>#REF!</v>
      </c>
      <c r="GE112" t="str">
        <f>AND(#REF!,"AAAAADy9+7o=")</f>
        <v>#REF!</v>
      </c>
      <c r="GF112" t="str">
        <f>AND(#REF!,"AAAAADy9+7s=")</f>
        <v>#REF!</v>
      </c>
      <c r="GG112" t="str">
        <f>AND(#REF!,"AAAAADy9+7w=")</f>
        <v>#REF!</v>
      </c>
      <c r="GH112" t="str">
        <f>AND(#REF!,"AAAAADy9+70=")</f>
        <v>#REF!</v>
      </c>
      <c r="GI112" t="str">
        <f>AND(#REF!,"AAAAADy9+74=")</f>
        <v>#REF!</v>
      </c>
      <c r="GJ112" t="str">
        <f>AND(#REF!,"AAAAADy9+78=")</f>
        <v>#REF!</v>
      </c>
      <c r="GK112" t="str">
        <f>AND(#REF!,"AAAAADy9+8A=")</f>
        <v>#REF!</v>
      </c>
      <c r="GL112" t="str">
        <f>AND(#REF!,"AAAAADy9+8E=")</f>
        <v>#REF!</v>
      </c>
      <c r="GM112" t="str">
        <f>AND(#REF!,"AAAAADy9+8I=")</f>
        <v>#REF!</v>
      </c>
      <c r="GN112" t="str">
        <f>AND(#REF!,"AAAAADy9+8M=")</f>
        <v>#REF!</v>
      </c>
      <c r="GO112" t="str">
        <f>AND(#REF!,"AAAAADy9+8Q=")</f>
        <v>#REF!</v>
      </c>
      <c r="GP112" t="str">
        <f>AND(#REF!,"AAAAADy9+8U=")</f>
        <v>#REF!</v>
      </c>
      <c r="GQ112" t="str">
        <f>AND(#REF!,"AAAAADy9+8Y=")</f>
        <v>#REF!</v>
      </c>
      <c r="GR112" t="str">
        <f>AND(#REF!,"AAAAADy9+8c=")</f>
        <v>#REF!</v>
      </c>
      <c r="GS112" t="str">
        <f>AND(#REF!,"AAAAADy9+8g=")</f>
        <v>#REF!</v>
      </c>
      <c r="GT112" t="str">
        <f>AND(#REF!,"AAAAADy9+8k=")</f>
        <v>#REF!</v>
      </c>
      <c r="GU112" t="str">
        <f>AND(#REF!,"AAAAADy9+8o=")</f>
        <v>#REF!</v>
      </c>
      <c r="GV112" t="str">
        <f>AND(#REF!,"AAAAADy9+8s=")</f>
        <v>#REF!</v>
      </c>
      <c r="GW112" t="str">
        <f>AND(#REF!,"AAAAADy9+8w=")</f>
        <v>#REF!</v>
      </c>
      <c r="GX112" t="str">
        <f>AND(#REF!,"AAAAADy9+80=")</f>
        <v>#REF!</v>
      </c>
      <c r="GY112" t="str">
        <f>AND(#REF!,"AAAAADy9+84=")</f>
        <v>#REF!</v>
      </c>
      <c r="GZ112" t="str">
        <f>AND(#REF!,"AAAAADy9+88=")</f>
        <v>#REF!</v>
      </c>
      <c r="HA112" t="str">
        <f>AND(#REF!,"AAAAADy9+9A=")</f>
        <v>#REF!</v>
      </c>
      <c r="HB112" t="str">
        <f>AND(#REF!,"AAAAADy9+9E=")</f>
        <v>#REF!</v>
      </c>
      <c r="HC112" t="str">
        <f>AND(#REF!,"AAAAADy9+9I=")</f>
        <v>#REF!</v>
      </c>
      <c r="HD112" t="str">
        <f>AND(#REF!,"AAAAADy9+9M=")</f>
        <v>#REF!</v>
      </c>
      <c r="HE112" t="str">
        <f>AND(#REF!,"AAAAADy9+9Q=")</f>
        <v>#REF!</v>
      </c>
      <c r="HF112" t="str">
        <f>AND(#REF!,"AAAAADy9+9U=")</f>
        <v>#REF!</v>
      </c>
      <c r="HG112" t="str">
        <f>AND(#REF!,"AAAAADy9+9Y=")</f>
        <v>#REF!</v>
      </c>
      <c r="HH112" t="str">
        <f>AND(#REF!,"AAAAADy9+9c=")</f>
        <v>#REF!</v>
      </c>
      <c r="HI112" t="str">
        <f>AND(#REF!,"AAAAADy9+9g=")</f>
        <v>#REF!</v>
      </c>
      <c r="HJ112" t="str">
        <f>AND(#REF!,"AAAAADy9+9k=")</f>
        <v>#REF!</v>
      </c>
      <c r="HK112" t="str">
        <f>AND(#REF!,"AAAAADy9+9o=")</f>
        <v>#REF!</v>
      </c>
      <c r="HL112" t="str">
        <f>AND(#REF!,"AAAAADy9+9s=")</f>
        <v>#REF!</v>
      </c>
      <c r="HM112" t="str">
        <f>AND(#REF!,"AAAAADy9+9w=")</f>
        <v>#REF!</v>
      </c>
      <c r="HN112" t="str">
        <f>AND(#REF!,"AAAAADy9+90=")</f>
        <v>#REF!</v>
      </c>
      <c r="HO112" t="str">
        <f>IF(#REF!,"AAAAADy9+94=",0)</f>
        <v>#REF!</v>
      </c>
      <c r="HP112" t="str">
        <f>AND(#REF!,"AAAAADy9+98=")</f>
        <v>#REF!</v>
      </c>
      <c r="HQ112" t="str">
        <f>AND(#REF!,"AAAAADy9++A=")</f>
        <v>#REF!</v>
      </c>
      <c r="HR112" t="str">
        <f>AND(#REF!,"AAAAADy9++E=")</f>
        <v>#REF!</v>
      </c>
      <c r="HS112" t="str">
        <f>AND(#REF!,"AAAAADy9++I=")</f>
        <v>#REF!</v>
      </c>
      <c r="HT112" t="str">
        <f>AND(#REF!,"AAAAADy9++M=")</f>
        <v>#REF!</v>
      </c>
      <c r="HU112" t="str">
        <f>AND(#REF!,"AAAAADy9++Q=")</f>
        <v>#REF!</v>
      </c>
      <c r="HV112" t="str">
        <f>AND(#REF!,"AAAAADy9++U=")</f>
        <v>#REF!</v>
      </c>
      <c r="HW112" t="str">
        <f>AND(#REF!,"AAAAADy9++Y=")</f>
        <v>#REF!</v>
      </c>
      <c r="HX112" t="str">
        <f>AND(#REF!,"AAAAADy9++c=")</f>
        <v>#REF!</v>
      </c>
      <c r="HY112" t="str">
        <f>AND(#REF!,"AAAAADy9++g=")</f>
        <v>#REF!</v>
      </c>
      <c r="HZ112" t="str">
        <f>AND(#REF!,"AAAAADy9++k=")</f>
        <v>#REF!</v>
      </c>
      <c r="IA112" t="str">
        <f>AND(#REF!,"AAAAADy9++o=")</f>
        <v>#REF!</v>
      </c>
      <c r="IB112" t="str">
        <f>AND(#REF!,"AAAAADy9++s=")</f>
        <v>#REF!</v>
      </c>
      <c r="IC112" t="str">
        <f>AND(#REF!,"AAAAADy9++w=")</f>
        <v>#REF!</v>
      </c>
      <c r="ID112" t="str">
        <f>AND(#REF!,"AAAAADy9++0=")</f>
        <v>#REF!</v>
      </c>
      <c r="IE112" t="str">
        <f>AND(#REF!,"AAAAADy9++4=")</f>
        <v>#REF!</v>
      </c>
      <c r="IF112" t="str">
        <f>AND(#REF!,"AAAAADy9++8=")</f>
        <v>#REF!</v>
      </c>
      <c r="IG112" t="str">
        <f>AND(#REF!,"AAAAADy9+/A=")</f>
        <v>#REF!</v>
      </c>
      <c r="IH112" t="str">
        <f>AND(#REF!,"AAAAADy9+/E=")</f>
        <v>#REF!</v>
      </c>
      <c r="II112" t="str">
        <f>AND(#REF!,"AAAAADy9+/I=")</f>
        <v>#REF!</v>
      </c>
      <c r="IJ112" t="str">
        <f>AND(#REF!,"AAAAADy9+/M=")</f>
        <v>#REF!</v>
      </c>
      <c r="IK112" t="str">
        <f>AND(#REF!,"AAAAADy9+/Q=")</f>
        <v>#REF!</v>
      </c>
      <c r="IL112" t="str">
        <f>AND(#REF!,"AAAAADy9+/U=")</f>
        <v>#REF!</v>
      </c>
      <c r="IM112" t="str">
        <f>AND(#REF!,"AAAAADy9+/Y=")</f>
        <v>#REF!</v>
      </c>
      <c r="IN112" t="str">
        <f>AND(#REF!,"AAAAADy9+/c=")</f>
        <v>#REF!</v>
      </c>
      <c r="IO112" t="str">
        <f>AND(#REF!,"AAAAADy9+/g=")</f>
        <v>#REF!</v>
      </c>
      <c r="IP112" t="str">
        <f>AND(#REF!,"AAAAADy9+/k=")</f>
        <v>#REF!</v>
      </c>
      <c r="IQ112" t="str">
        <f>AND(#REF!,"AAAAADy9+/o=")</f>
        <v>#REF!</v>
      </c>
      <c r="IR112" t="str">
        <f>AND(#REF!,"AAAAADy9+/s=")</f>
        <v>#REF!</v>
      </c>
      <c r="IS112" t="str">
        <f>AND(#REF!,"AAAAADy9+/w=")</f>
        <v>#REF!</v>
      </c>
      <c r="IT112" t="str">
        <f>AND(#REF!,"AAAAADy9+/0=")</f>
        <v>#REF!</v>
      </c>
      <c r="IU112" t="str">
        <f>AND(#REF!,"AAAAADy9+/4=")</f>
        <v>#REF!</v>
      </c>
      <c r="IV112" t="str">
        <f>AND(#REF!,"AAAAADy9+/8=")</f>
        <v>#REF!</v>
      </c>
    </row>
    <row r="113" ht="15.75" customHeight="1">
      <c r="A113" t="str">
        <f>AND(#REF!,"AAAAAH/gfgA=")</f>
        <v>#REF!</v>
      </c>
      <c r="B113" t="str">
        <f>AND(#REF!,"AAAAAH/gfgE=")</f>
        <v>#REF!</v>
      </c>
      <c r="C113" t="str">
        <f>AND(#REF!,"AAAAAH/gfgI=")</f>
        <v>#REF!</v>
      </c>
      <c r="D113" t="str">
        <f>AND(#REF!,"AAAAAH/gfgM=")</f>
        <v>#REF!</v>
      </c>
      <c r="E113" t="str">
        <f>AND(#REF!,"AAAAAH/gfgQ=")</f>
        <v>#REF!</v>
      </c>
      <c r="F113" t="str">
        <f>AND(#REF!,"AAAAAH/gfgU=")</f>
        <v>#REF!</v>
      </c>
      <c r="G113" t="str">
        <f>AND(#REF!,"AAAAAH/gfgY=")</f>
        <v>#REF!</v>
      </c>
      <c r="H113" t="str">
        <f>AND(#REF!,"AAAAAH/gfgc=")</f>
        <v>#REF!</v>
      </c>
      <c r="I113" t="str">
        <f>AND(#REF!,"AAAAAH/gfgg=")</f>
        <v>#REF!</v>
      </c>
      <c r="J113" t="str">
        <f>AND(#REF!,"AAAAAH/gfgk=")</f>
        <v>#REF!</v>
      </c>
      <c r="K113" t="str">
        <f>AND(#REF!,"AAAAAH/gfgo=")</f>
        <v>#REF!</v>
      </c>
      <c r="L113" t="str">
        <f>AND(#REF!,"AAAAAH/gfgs=")</f>
        <v>#REF!</v>
      </c>
      <c r="M113" t="str">
        <f>AND(#REF!,"AAAAAH/gfgw=")</f>
        <v>#REF!</v>
      </c>
      <c r="N113" t="str">
        <f>AND(#REF!,"AAAAAH/gfg0=")</f>
        <v>#REF!</v>
      </c>
      <c r="O113" t="str">
        <f>AND(#REF!,"AAAAAH/gfg4=")</f>
        <v>#REF!</v>
      </c>
      <c r="P113" t="str">
        <f>AND(#REF!,"AAAAAH/gfg8=")</f>
        <v>#REF!</v>
      </c>
      <c r="Q113" t="str">
        <f>AND(#REF!,"AAAAAH/gfhA=")</f>
        <v>#REF!</v>
      </c>
      <c r="R113" t="str">
        <f>AND(#REF!,"AAAAAH/gfhE=")</f>
        <v>#REF!</v>
      </c>
      <c r="S113" t="str">
        <f>AND(#REF!,"AAAAAH/gfhI=")</f>
        <v>#REF!</v>
      </c>
      <c r="T113" t="str">
        <f>AND(#REF!,"AAAAAH/gfhM=")</f>
        <v>#REF!</v>
      </c>
      <c r="U113" t="str">
        <f>AND(#REF!,"AAAAAH/gfhQ=")</f>
        <v>#REF!</v>
      </c>
      <c r="V113" t="str">
        <f>AND(#REF!,"AAAAAH/gfhU=")</f>
        <v>#REF!</v>
      </c>
      <c r="W113" t="str">
        <f>AND(#REF!,"AAAAAH/gfhY=")</f>
        <v>#REF!</v>
      </c>
      <c r="X113" t="str">
        <f>AND(#REF!,"AAAAAH/gfhc=")</f>
        <v>#REF!</v>
      </c>
      <c r="Y113" t="str">
        <f>AND(#REF!,"AAAAAH/gfhg=")</f>
        <v>#REF!</v>
      </c>
      <c r="Z113" t="str">
        <f>AND(#REF!,"AAAAAH/gfhk=")</f>
        <v>#REF!</v>
      </c>
      <c r="AA113" t="str">
        <f>AND(#REF!,"AAAAAH/gfho=")</f>
        <v>#REF!</v>
      </c>
      <c r="AB113" t="str">
        <f>AND(#REF!,"AAAAAH/gfhs=")</f>
        <v>#REF!</v>
      </c>
      <c r="AC113" t="str">
        <f>AND(#REF!,"AAAAAH/gfhw=")</f>
        <v>#REF!</v>
      </c>
      <c r="AD113" t="str">
        <f>AND(#REF!,"AAAAAH/gfh0=")</f>
        <v>#REF!</v>
      </c>
      <c r="AE113" t="str">
        <f>AND(#REF!,"AAAAAH/gfh4=")</f>
        <v>#REF!</v>
      </c>
      <c r="AF113" t="str">
        <f>AND(#REF!,"AAAAAH/gfh8=")</f>
        <v>#REF!</v>
      </c>
      <c r="AG113" t="str">
        <f>AND(#REF!,"AAAAAH/gfiA=")</f>
        <v>#REF!</v>
      </c>
      <c r="AH113" t="str">
        <f>AND(#REF!,"AAAAAH/gfiE=")</f>
        <v>#REF!</v>
      </c>
      <c r="AI113" t="str">
        <f>AND(#REF!,"AAAAAH/gfiI=")</f>
        <v>#REF!</v>
      </c>
      <c r="AJ113" t="str">
        <f>AND(#REF!,"AAAAAH/gfiM=")</f>
        <v>#REF!</v>
      </c>
      <c r="AK113" t="str">
        <f>AND(#REF!,"AAAAAH/gfiQ=")</f>
        <v>#REF!</v>
      </c>
      <c r="AL113" t="str">
        <f>AND(#REF!,"AAAAAH/gfiU=")</f>
        <v>#REF!</v>
      </c>
      <c r="AM113" t="str">
        <f>AND(#REF!,"AAAAAH/gfiY=")</f>
        <v>#REF!</v>
      </c>
      <c r="AN113" t="str">
        <f>AND(#REF!,"AAAAAH/gfic=")</f>
        <v>#REF!</v>
      </c>
      <c r="AO113" t="str">
        <f>AND(#REF!,"AAAAAH/gfig=")</f>
        <v>#REF!</v>
      </c>
      <c r="AP113" t="str">
        <f>AND(#REF!,"AAAAAH/gfik=")</f>
        <v>#REF!</v>
      </c>
      <c r="AQ113" t="str">
        <f>IF(#REF!,"AAAAAH/gfio=",0)</f>
        <v>#REF!</v>
      </c>
      <c r="AR113" t="str">
        <f>AND(#REF!,"AAAAAH/gfis=")</f>
        <v>#REF!</v>
      </c>
      <c r="AS113" t="str">
        <f>AND(#REF!,"AAAAAH/gfiw=")</f>
        <v>#REF!</v>
      </c>
      <c r="AT113" t="str">
        <f>AND(#REF!,"AAAAAH/gfi0=")</f>
        <v>#REF!</v>
      </c>
      <c r="AU113" t="str">
        <f>AND(#REF!,"AAAAAH/gfi4=")</f>
        <v>#REF!</v>
      </c>
      <c r="AV113" t="str">
        <f>AND(#REF!,"AAAAAH/gfi8=")</f>
        <v>#REF!</v>
      </c>
      <c r="AW113" t="str">
        <f>AND(#REF!,"AAAAAH/gfjA=")</f>
        <v>#REF!</v>
      </c>
      <c r="AX113" t="str">
        <f>AND(#REF!,"AAAAAH/gfjE=")</f>
        <v>#REF!</v>
      </c>
      <c r="AY113" t="str">
        <f>AND(#REF!,"AAAAAH/gfjI=")</f>
        <v>#REF!</v>
      </c>
      <c r="AZ113" t="str">
        <f>AND(#REF!,"AAAAAH/gfjM=")</f>
        <v>#REF!</v>
      </c>
      <c r="BA113" t="str">
        <f>AND(#REF!,"AAAAAH/gfjQ=")</f>
        <v>#REF!</v>
      </c>
      <c r="BB113" t="str">
        <f>AND(#REF!,"AAAAAH/gfjU=")</f>
        <v>#REF!</v>
      </c>
      <c r="BC113" t="str">
        <f>AND(#REF!,"AAAAAH/gfjY=")</f>
        <v>#REF!</v>
      </c>
      <c r="BD113" t="str">
        <f>AND(#REF!,"AAAAAH/gfjc=")</f>
        <v>#REF!</v>
      </c>
      <c r="BE113" t="str">
        <f>AND(#REF!,"AAAAAH/gfjg=")</f>
        <v>#REF!</v>
      </c>
      <c r="BF113" t="str">
        <f>AND(#REF!,"AAAAAH/gfjk=")</f>
        <v>#REF!</v>
      </c>
      <c r="BG113" t="str">
        <f>AND(#REF!,"AAAAAH/gfjo=")</f>
        <v>#REF!</v>
      </c>
      <c r="BH113" t="str">
        <f>AND(#REF!,"AAAAAH/gfjs=")</f>
        <v>#REF!</v>
      </c>
      <c r="BI113" t="str">
        <f>AND(#REF!,"AAAAAH/gfjw=")</f>
        <v>#REF!</v>
      </c>
      <c r="BJ113" t="str">
        <f>AND(#REF!,"AAAAAH/gfj0=")</f>
        <v>#REF!</v>
      </c>
      <c r="BK113" t="str">
        <f>AND(#REF!,"AAAAAH/gfj4=")</f>
        <v>#REF!</v>
      </c>
      <c r="BL113" t="str">
        <f>AND(#REF!,"AAAAAH/gfj8=")</f>
        <v>#REF!</v>
      </c>
      <c r="BM113" t="str">
        <f>AND(#REF!,"AAAAAH/gfkA=")</f>
        <v>#REF!</v>
      </c>
      <c r="BN113" t="str">
        <f>AND(#REF!,"AAAAAH/gfkE=")</f>
        <v>#REF!</v>
      </c>
      <c r="BO113" t="str">
        <f>AND(#REF!,"AAAAAH/gfkI=")</f>
        <v>#REF!</v>
      </c>
      <c r="BP113" t="str">
        <f>AND(#REF!,"AAAAAH/gfkM=")</f>
        <v>#REF!</v>
      </c>
      <c r="BQ113" t="str">
        <f>AND(#REF!,"AAAAAH/gfkQ=")</f>
        <v>#REF!</v>
      </c>
      <c r="BR113" t="str">
        <f>AND(#REF!,"AAAAAH/gfkU=")</f>
        <v>#REF!</v>
      </c>
      <c r="BS113" t="str">
        <f>AND(#REF!,"AAAAAH/gfkY=")</f>
        <v>#REF!</v>
      </c>
      <c r="BT113" t="str">
        <f>AND(#REF!,"AAAAAH/gfkc=")</f>
        <v>#REF!</v>
      </c>
      <c r="BU113" t="str">
        <f>AND(#REF!,"AAAAAH/gfkg=")</f>
        <v>#REF!</v>
      </c>
      <c r="BV113" t="str">
        <f>AND(#REF!,"AAAAAH/gfkk=")</f>
        <v>#REF!</v>
      </c>
      <c r="BW113" t="str">
        <f>AND(#REF!,"AAAAAH/gfko=")</f>
        <v>#REF!</v>
      </c>
      <c r="BX113" t="str">
        <f>AND(#REF!,"AAAAAH/gfks=")</f>
        <v>#REF!</v>
      </c>
      <c r="BY113" t="str">
        <f>AND(#REF!,"AAAAAH/gfkw=")</f>
        <v>#REF!</v>
      </c>
      <c r="BZ113" t="str">
        <f>AND(#REF!,"AAAAAH/gfk0=")</f>
        <v>#REF!</v>
      </c>
      <c r="CA113" t="str">
        <f>AND(#REF!,"AAAAAH/gfk4=")</f>
        <v>#REF!</v>
      </c>
      <c r="CB113" t="str">
        <f>AND(#REF!,"AAAAAH/gfk8=")</f>
        <v>#REF!</v>
      </c>
      <c r="CC113" t="str">
        <f>AND(#REF!,"AAAAAH/gflA=")</f>
        <v>#REF!</v>
      </c>
      <c r="CD113" t="str">
        <f>AND(#REF!,"AAAAAH/gflE=")</f>
        <v>#REF!</v>
      </c>
      <c r="CE113" t="str">
        <f>AND(#REF!,"AAAAAH/gflI=")</f>
        <v>#REF!</v>
      </c>
      <c r="CF113" t="str">
        <f>AND(#REF!,"AAAAAH/gflM=")</f>
        <v>#REF!</v>
      </c>
      <c r="CG113" t="str">
        <f>AND(#REF!,"AAAAAH/gflQ=")</f>
        <v>#REF!</v>
      </c>
      <c r="CH113" t="str">
        <f>AND(#REF!,"AAAAAH/gflU=")</f>
        <v>#REF!</v>
      </c>
      <c r="CI113" t="str">
        <f>AND(#REF!,"AAAAAH/gflY=")</f>
        <v>#REF!</v>
      </c>
      <c r="CJ113" t="str">
        <f>AND(#REF!,"AAAAAH/gflc=")</f>
        <v>#REF!</v>
      </c>
      <c r="CK113" t="str">
        <f>AND(#REF!,"AAAAAH/gflg=")</f>
        <v>#REF!</v>
      </c>
      <c r="CL113" t="str">
        <f>AND(#REF!,"AAAAAH/gflk=")</f>
        <v>#REF!</v>
      </c>
      <c r="CM113" t="str">
        <f>AND(#REF!,"AAAAAH/gflo=")</f>
        <v>#REF!</v>
      </c>
      <c r="CN113" t="str">
        <f>AND(#REF!,"AAAAAH/gfls=")</f>
        <v>#REF!</v>
      </c>
      <c r="CO113" t="str">
        <f>AND(#REF!,"AAAAAH/gflw=")</f>
        <v>#REF!</v>
      </c>
      <c r="CP113" t="str">
        <f>AND(#REF!,"AAAAAH/gfl0=")</f>
        <v>#REF!</v>
      </c>
      <c r="CQ113" t="str">
        <f>AND(#REF!,"AAAAAH/gfl4=")</f>
        <v>#REF!</v>
      </c>
      <c r="CR113" t="str">
        <f>AND(#REF!,"AAAAAH/gfl8=")</f>
        <v>#REF!</v>
      </c>
      <c r="CS113" t="str">
        <f>AND(#REF!,"AAAAAH/gfmA=")</f>
        <v>#REF!</v>
      </c>
      <c r="CT113" t="str">
        <f>AND(#REF!,"AAAAAH/gfmE=")</f>
        <v>#REF!</v>
      </c>
      <c r="CU113" t="str">
        <f>AND(#REF!,"AAAAAH/gfmI=")</f>
        <v>#REF!</v>
      </c>
      <c r="CV113" t="str">
        <f>AND(#REF!,"AAAAAH/gfmM=")</f>
        <v>#REF!</v>
      </c>
      <c r="CW113" t="str">
        <f>AND(#REF!,"AAAAAH/gfmQ=")</f>
        <v>#REF!</v>
      </c>
      <c r="CX113" t="str">
        <f>AND(#REF!,"AAAAAH/gfmU=")</f>
        <v>#REF!</v>
      </c>
      <c r="CY113" t="str">
        <f>AND(#REF!,"AAAAAH/gfmY=")</f>
        <v>#REF!</v>
      </c>
      <c r="CZ113" t="str">
        <f>AND(#REF!,"AAAAAH/gfmc=")</f>
        <v>#REF!</v>
      </c>
      <c r="DA113" t="str">
        <f>AND(#REF!,"AAAAAH/gfmg=")</f>
        <v>#REF!</v>
      </c>
      <c r="DB113" t="str">
        <f>AND(#REF!,"AAAAAH/gfmk=")</f>
        <v>#REF!</v>
      </c>
      <c r="DC113" t="str">
        <f>AND(#REF!,"AAAAAH/gfmo=")</f>
        <v>#REF!</v>
      </c>
      <c r="DD113" t="str">
        <f>AND(#REF!,"AAAAAH/gfms=")</f>
        <v>#REF!</v>
      </c>
      <c r="DE113" t="str">
        <f>AND(#REF!,"AAAAAH/gfmw=")</f>
        <v>#REF!</v>
      </c>
      <c r="DF113" t="str">
        <f>AND(#REF!,"AAAAAH/gfm0=")</f>
        <v>#REF!</v>
      </c>
      <c r="DG113" t="str">
        <f>AND(#REF!,"AAAAAH/gfm4=")</f>
        <v>#REF!</v>
      </c>
      <c r="DH113" t="str">
        <f>AND(#REF!,"AAAAAH/gfm8=")</f>
        <v>#REF!</v>
      </c>
      <c r="DI113" t="str">
        <f>AND(#REF!,"AAAAAH/gfnA=")</f>
        <v>#REF!</v>
      </c>
      <c r="DJ113" t="str">
        <f>AND(#REF!,"AAAAAH/gfnE=")</f>
        <v>#REF!</v>
      </c>
      <c r="DK113" t="str">
        <f>AND(#REF!,"AAAAAH/gfnI=")</f>
        <v>#REF!</v>
      </c>
      <c r="DL113" t="str">
        <f>AND(#REF!,"AAAAAH/gfnM=")</f>
        <v>#REF!</v>
      </c>
      <c r="DM113" t="str">
        <f>AND(#REF!,"AAAAAH/gfnQ=")</f>
        <v>#REF!</v>
      </c>
      <c r="DN113" t="str">
        <f>AND(#REF!,"AAAAAH/gfnU=")</f>
        <v>#REF!</v>
      </c>
      <c r="DO113" t="str">
        <f>IF(#REF!,"AAAAAH/gfnY=",0)</f>
        <v>#REF!</v>
      </c>
      <c r="DP113" t="str">
        <f>AND(#REF!,"AAAAAH/gfnc=")</f>
        <v>#REF!</v>
      </c>
      <c r="DQ113" t="str">
        <f>AND(#REF!,"AAAAAH/gfng=")</f>
        <v>#REF!</v>
      </c>
      <c r="DR113" t="str">
        <f>AND(#REF!,"AAAAAH/gfnk=")</f>
        <v>#REF!</v>
      </c>
      <c r="DS113" t="str">
        <f>AND(#REF!,"AAAAAH/gfno=")</f>
        <v>#REF!</v>
      </c>
      <c r="DT113" t="str">
        <f>AND(#REF!,"AAAAAH/gfns=")</f>
        <v>#REF!</v>
      </c>
      <c r="DU113" t="str">
        <f>AND(#REF!,"AAAAAH/gfnw=")</f>
        <v>#REF!</v>
      </c>
      <c r="DV113" t="str">
        <f>AND(#REF!,"AAAAAH/gfn0=")</f>
        <v>#REF!</v>
      </c>
      <c r="DW113" t="str">
        <f>AND(#REF!,"AAAAAH/gfn4=")</f>
        <v>#REF!</v>
      </c>
      <c r="DX113" t="str">
        <f>AND(#REF!,"AAAAAH/gfn8=")</f>
        <v>#REF!</v>
      </c>
      <c r="DY113" t="str">
        <f>AND(#REF!,"AAAAAH/gfoA=")</f>
        <v>#REF!</v>
      </c>
      <c r="DZ113" t="str">
        <f>AND(#REF!,"AAAAAH/gfoE=")</f>
        <v>#REF!</v>
      </c>
      <c r="EA113" t="str">
        <f>AND(#REF!,"AAAAAH/gfoI=")</f>
        <v>#REF!</v>
      </c>
      <c r="EB113" t="str">
        <f>AND(#REF!,"AAAAAH/gfoM=")</f>
        <v>#REF!</v>
      </c>
      <c r="EC113" t="str">
        <f>AND(#REF!,"AAAAAH/gfoQ=")</f>
        <v>#REF!</v>
      </c>
      <c r="ED113" t="str">
        <f>AND(#REF!,"AAAAAH/gfoU=")</f>
        <v>#REF!</v>
      </c>
      <c r="EE113" t="str">
        <f>AND(#REF!,"AAAAAH/gfoY=")</f>
        <v>#REF!</v>
      </c>
      <c r="EF113" t="str">
        <f>AND(#REF!,"AAAAAH/gfoc=")</f>
        <v>#REF!</v>
      </c>
      <c r="EG113" t="str">
        <f>AND(#REF!,"AAAAAH/gfog=")</f>
        <v>#REF!</v>
      </c>
      <c r="EH113" t="str">
        <f>AND(#REF!,"AAAAAH/gfok=")</f>
        <v>#REF!</v>
      </c>
      <c r="EI113" t="str">
        <f>AND(#REF!,"AAAAAH/gfoo=")</f>
        <v>#REF!</v>
      </c>
      <c r="EJ113" t="str">
        <f>AND(#REF!,"AAAAAH/gfos=")</f>
        <v>#REF!</v>
      </c>
      <c r="EK113" t="str">
        <f>AND(#REF!,"AAAAAH/gfow=")</f>
        <v>#REF!</v>
      </c>
      <c r="EL113" t="str">
        <f>AND(#REF!,"AAAAAH/gfo0=")</f>
        <v>#REF!</v>
      </c>
      <c r="EM113" t="str">
        <f>AND(#REF!,"AAAAAH/gfo4=")</f>
        <v>#REF!</v>
      </c>
      <c r="EN113" t="str">
        <f>AND(#REF!,"AAAAAH/gfo8=")</f>
        <v>#REF!</v>
      </c>
      <c r="EO113" t="str">
        <f>AND(#REF!,"AAAAAH/gfpA=")</f>
        <v>#REF!</v>
      </c>
      <c r="EP113" t="str">
        <f>AND(#REF!,"AAAAAH/gfpE=")</f>
        <v>#REF!</v>
      </c>
      <c r="EQ113" t="str">
        <f>AND(#REF!,"AAAAAH/gfpI=")</f>
        <v>#REF!</v>
      </c>
      <c r="ER113" t="str">
        <f>AND(#REF!,"AAAAAH/gfpM=")</f>
        <v>#REF!</v>
      </c>
      <c r="ES113" t="str">
        <f>AND(#REF!,"AAAAAH/gfpQ=")</f>
        <v>#REF!</v>
      </c>
      <c r="ET113" t="str">
        <f>AND(#REF!,"AAAAAH/gfpU=")</f>
        <v>#REF!</v>
      </c>
      <c r="EU113" t="str">
        <f>AND(#REF!,"AAAAAH/gfpY=")</f>
        <v>#REF!</v>
      </c>
      <c r="EV113" t="str">
        <f>AND(#REF!,"AAAAAH/gfpc=")</f>
        <v>#REF!</v>
      </c>
      <c r="EW113" t="str">
        <f>AND(#REF!,"AAAAAH/gfpg=")</f>
        <v>#REF!</v>
      </c>
      <c r="EX113" t="str">
        <f>AND(#REF!,"AAAAAH/gfpk=")</f>
        <v>#REF!</v>
      </c>
      <c r="EY113" t="str">
        <f>AND(#REF!,"AAAAAH/gfpo=")</f>
        <v>#REF!</v>
      </c>
      <c r="EZ113" t="str">
        <f>AND(#REF!,"AAAAAH/gfps=")</f>
        <v>#REF!</v>
      </c>
      <c r="FA113" t="str">
        <f>AND(#REF!,"AAAAAH/gfpw=")</f>
        <v>#REF!</v>
      </c>
      <c r="FB113" t="str">
        <f>AND(#REF!,"AAAAAH/gfp0=")</f>
        <v>#REF!</v>
      </c>
      <c r="FC113" t="str">
        <f>AND(#REF!,"AAAAAH/gfp4=")</f>
        <v>#REF!</v>
      </c>
      <c r="FD113" t="str">
        <f>AND(#REF!,"AAAAAH/gfp8=")</f>
        <v>#REF!</v>
      </c>
      <c r="FE113" t="str">
        <f>AND(#REF!,"AAAAAH/gfqA=")</f>
        <v>#REF!</v>
      </c>
      <c r="FF113" t="str">
        <f>AND(#REF!,"AAAAAH/gfqE=")</f>
        <v>#REF!</v>
      </c>
      <c r="FG113" t="str">
        <f>AND(#REF!,"AAAAAH/gfqI=")</f>
        <v>#REF!</v>
      </c>
      <c r="FH113" t="str">
        <f>AND(#REF!,"AAAAAH/gfqM=")</f>
        <v>#REF!</v>
      </c>
      <c r="FI113" t="str">
        <f>AND(#REF!,"AAAAAH/gfqQ=")</f>
        <v>#REF!</v>
      </c>
      <c r="FJ113" t="str">
        <f>AND(#REF!,"AAAAAH/gfqU=")</f>
        <v>#REF!</v>
      </c>
      <c r="FK113" t="str">
        <f>AND(#REF!,"AAAAAH/gfqY=")</f>
        <v>#REF!</v>
      </c>
      <c r="FL113" t="str">
        <f>AND(#REF!,"AAAAAH/gfqc=")</f>
        <v>#REF!</v>
      </c>
      <c r="FM113" t="str">
        <f>AND(#REF!,"AAAAAH/gfqg=")</f>
        <v>#REF!</v>
      </c>
      <c r="FN113" t="str">
        <f>AND(#REF!,"AAAAAH/gfqk=")</f>
        <v>#REF!</v>
      </c>
      <c r="FO113" t="str">
        <f>AND(#REF!,"AAAAAH/gfqo=")</f>
        <v>#REF!</v>
      </c>
      <c r="FP113" t="str">
        <f>AND(#REF!,"AAAAAH/gfqs=")</f>
        <v>#REF!</v>
      </c>
      <c r="FQ113" t="str">
        <f>AND(#REF!,"AAAAAH/gfqw=")</f>
        <v>#REF!</v>
      </c>
      <c r="FR113" t="str">
        <f>AND(#REF!,"AAAAAH/gfq0=")</f>
        <v>#REF!</v>
      </c>
      <c r="FS113" t="str">
        <f>AND(#REF!,"AAAAAH/gfq4=")</f>
        <v>#REF!</v>
      </c>
      <c r="FT113" t="str">
        <f>AND(#REF!,"AAAAAH/gfq8=")</f>
        <v>#REF!</v>
      </c>
      <c r="FU113" t="str">
        <f>AND(#REF!,"AAAAAH/gfrA=")</f>
        <v>#REF!</v>
      </c>
      <c r="FV113" t="str">
        <f>AND(#REF!,"AAAAAH/gfrE=")</f>
        <v>#REF!</v>
      </c>
      <c r="FW113" t="str">
        <f>AND(#REF!,"AAAAAH/gfrI=")</f>
        <v>#REF!</v>
      </c>
      <c r="FX113" t="str">
        <f>AND(#REF!,"AAAAAH/gfrM=")</f>
        <v>#REF!</v>
      </c>
      <c r="FY113" t="str">
        <f>AND(#REF!,"AAAAAH/gfrQ=")</f>
        <v>#REF!</v>
      </c>
      <c r="FZ113" t="str">
        <f>AND(#REF!,"AAAAAH/gfrU=")</f>
        <v>#REF!</v>
      </c>
      <c r="GA113" t="str">
        <f>AND(#REF!,"AAAAAH/gfrY=")</f>
        <v>#REF!</v>
      </c>
      <c r="GB113" t="str">
        <f>AND(#REF!,"AAAAAH/gfrc=")</f>
        <v>#REF!</v>
      </c>
      <c r="GC113" t="str">
        <f>AND(#REF!,"AAAAAH/gfrg=")</f>
        <v>#REF!</v>
      </c>
      <c r="GD113" t="str">
        <f>AND(#REF!,"AAAAAH/gfrk=")</f>
        <v>#REF!</v>
      </c>
      <c r="GE113" t="str">
        <f>AND(#REF!,"AAAAAH/gfro=")</f>
        <v>#REF!</v>
      </c>
      <c r="GF113" t="str">
        <f>AND(#REF!,"AAAAAH/gfrs=")</f>
        <v>#REF!</v>
      </c>
      <c r="GG113" t="str">
        <f>AND(#REF!,"AAAAAH/gfrw=")</f>
        <v>#REF!</v>
      </c>
      <c r="GH113" t="str">
        <f>AND(#REF!,"AAAAAH/gfr0=")</f>
        <v>#REF!</v>
      </c>
      <c r="GI113" t="str">
        <f>AND(#REF!,"AAAAAH/gfr4=")</f>
        <v>#REF!</v>
      </c>
      <c r="GJ113" t="str">
        <f>AND(#REF!,"AAAAAH/gfr8=")</f>
        <v>#REF!</v>
      </c>
      <c r="GK113" t="str">
        <f>AND(#REF!,"AAAAAH/gfsA=")</f>
        <v>#REF!</v>
      </c>
      <c r="GL113" t="str">
        <f>AND(#REF!,"AAAAAH/gfsE=")</f>
        <v>#REF!</v>
      </c>
      <c r="GM113" t="str">
        <f>IF(#REF!,"AAAAAH/gfsI=",0)</f>
        <v>#REF!</v>
      </c>
      <c r="GN113" t="str">
        <f>AND(#REF!,"AAAAAH/gfsM=")</f>
        <v>#REF!</v>
      </c>
      <c r="GO113" t="str">
        <f>AND(#REF!,"AAAAAH/gfsQ=")</f>
        <v>#REF!</v>
      </c>
      <c r="GP113" t="str">
        <f>AND(#REF!,"AAAAAH/gfsU=")</f>
        <v>#REF!</v>
      </c>
      <c r="GQ113" t="str">
        <f>AND(#REF!,"AAAAAH/gfsY=")</f>
        <v>#REF!</v>
      </c>
      <c r="GR113" t="str">
        <f>AND(#REF!,"AAAAAH/gfsc=")</f>
        <v>#REF!</v>
      </c>
      <c r="GS113" t="str">
        <f>AND(#REF!,"AAAAAH/gfsg=")</f>
        <v>#REF!</v>
      </c>
      <c r="GT113" t="str">
        <f>AND(#REF!,"AAAAAH/gfsk=")</f>
        <v>#REF!</v>
      </c>
      <c r="GU113" t="str">
        <f>AND(#REF!,"AAAAAH/gfso=")</f>
        <v>#REF!</v>
      </c>
      <c r="GV113" t="str">
        <f>AND(#REF!,"AAAAAH/gfss=")</f>
        <v>#REF!</v>
      </c>
      <c r="GW113" t="str">
        <f>AND(#REF!,"AAAAAH/gfsw=")</f>
        <v>#REF!</v>
      </c>
      <c r="GX113" t="str">
        <f>AND(#REF!,"AAAAAH/gfs0=")</f>
        <v>#REF!</v>
      </c>
      <c r="GY113" t="str">
        <f>AND(#REF!,"AAAAAH/gfs4=")</f>
        <v>#REF!</v>
      </c>
      <c r="GZ113" t="str">
        <f>AND(#REF!,"AAAAAH/gfs8=")</f>
        <v>#REF!</v>
      </c>
      <c r="HA113" t="str">
        <f>AND(#REF!,"AAAAAH/gftA=")</f>
        <v>#REF!</v>
      </c>
      <c r="HB113" t="str">
        <f>AND(#REF!,"AAAAAH/gftE=")</f>
        <v>#REF!</v>
      </c>
      <c r="HC113" t="str">
        <f>AND(#REF!,"AAAAAH/gftI=")</f>
        <v>#REF!</v>
      </c>
      <c r="HD113" t="str">
        <f>AND(#REF!,"AAAAAH/gftM=")</f>
        <v>#REF!</v>
      </c>
      <c r="HE113" t="str">
        <f>AND(#REF!,"AAAAAH/gftQ=")</f>
        <v>#REF!</v>
      </c>
      <c r="HF113" t="str">
        <f>AND(#REF!,"AAAAAH/gftU=")</f>
        <v>#REF!</v>
      </c>
      <c r="HG113" t="str">
        <f>AND(#REF!,"AAAAAH/gftY=")</f>
        <v>#REF!</v>
      </c>
      <c r="HH113" t="str">
        <f>AND(#REF!,"AAAAAH/gftc=")</f>
        <v>#REF!</v>
      </c>
      <c r="HI113" t="str">
        <f>AND(#REF!,"AAAAAH/gftg=")</f>
        <v>#REF!</v>
      </c>
      <c r="HJ113" t="str">
        <f>AND(#REF!,"AAAAAH/gftk=")</f>
        <v>#REF!</v>
      </c>
      <c r="HK113" t="str">
        <f>AND(#REF!,"AAAAAH/gfto=")</f>
        <v>#REF!</v>
      </c>
      <c r="HL113" t="str">
        <f>AND(#REF!,"AAAAAH/gfts=")</f>
        <v>#REF!</v>
      </c>
      <c r="HM113" t="str">
        <f>AND(#REF!,"AAAAAH/gftw=")</f>
        <v>#REF!</v>
      </c>
      <c r="HN113" t="str">
        <f>AND(#REF!,"AAAAAH/gft0=")</f>
        <v>#REF!</v>
      </c>
      <c r="HO113" t="str">
        <f>AND(#REF!,"AAAAAH/gft4=")</f>
        <v>#REF!</v>
      </c>
      <c r="HP113" t="str">
        <f>AND(#REF!,"AAAAAH/gft8=")</f>
        <v>#REF!</v>
      </c>
      <c r="HQ113" t="str">
        <f>AND(#REF!,"AAAAAH/gfuA=")</f>
        <v>#REF!</v>
      </c>
      <c r="HR113" t="str">
        <f>AND(#REF!,"AAAAAH/gfuE=")</f>
        <v>#REF!</v>
      </c>
      <c r="HS113" t="str">
        <f>AND(#REF!,"AAAAAH/gfuI=")</f>
        <v>#REF!</v>
      </c>
      <c r="HT113" t="str">
        <f>AND(#REF!,"AAAAAH/gfuM=")</f>
        <v>#REF!</v>
      </c>
      <c r="HU113" t="str">
        <f>AND(#REF!,"AAAAAH/gfuQ=")</f>
        <v>#REF!</v>
      </c>
      <c r="HV113" t="str">
        <f>AND(#REF!,"AAAAAH/gfuU=")</f>
        <v>#REF!</v>
      </c>
      <c r="HW113" t="str">
        <f>AND(#REF!,"AAAAAH/gfuY=")</f>
        <v>#REF!</v>
      </c>
      <c r="HX113" t="str">
        <f>AND(#REF!,"AAAAAH/gfuc=")</f>
        <v>#REF!</v>
      </c>
      <c r="HY113" t="str">
        <f>AND(#REF!,"AAAAAH/gfug=")</f>
        <v>#REF!</v>
      </c>
      <c r="HZ113" t="str">
        <f>AND(#REF!,"AAAAAH/gfuk=")</f>
        <v>#REF!</v>
      </c>
      <c r="IA113" t="str">
        <f>AND(#REF!,"AAAAAH/gfuo=")</f>
        <v>#REF!</v>
      </c>
      <c r="IB113" t="str">
        <f>AND(#REF!,"AAAAAH/gfus=")</f>
        <v>#REF!</v>
      </c>
      <c r="IC113" t="str">
        <f>AND(#REF!,"AAAAAH/gfuw=")</f>
        <v>#REF!</v>
      </c>
      <c r="ID113" t="str">
        <f>AND(#REF!,"AAAAAH/gfu0=")</f>
        <v>#REF!</v>
      </c>
      <c r="IE113" t="str">
        <f>AND(#REF!,"AAAAAH/gfu4=")</f>
        <v>#REF!</v>
      </c>
      <c r="IF113" t="str">
        <f>AND(#REF!,"AAAAAH/gfu8=")</f>
        <v>#REF!</v>
      </c>
      <c r="IG113" t="str">
        <f>AND(#REF!,"AAAAAH/gfvA=")</f>
        <v>#REF!</v>
      </c>
      <c r="IH113" t="str">
        <f>AND(#REF!,"AAAAAH/gfvE=")</f>
        <v>#REF!</v>
      </c>
      <c r="II113" t="str">
        <f>AND(#REF!,"AAAAAH/gfvI=")</f>
        <v>#REF!</v>
      </c>
      <c r="IJ113" t="str">
        <f>AND(#REF!,"AAAAAH/gfvM=")</f>
        <v>#REF!</v>
      </c>
      <c r="IK113" t="str">
        <f>AND(#REF!,"AAAAAH/gfvQ=")</f>
        <v>#REF!</v>
      </c>
      <c r="IL113" t="str">
        <f>AND(#REF!,"AAAAAH/gfvU=")</f>
        <v>#REF!</v>
      </c>
      <c r="IM113" t="str">
        <f>AND(#REF!,"AAAAAH/gfvY=")</f>
        <v>#REF!</v>
      </c>
      <c r="IN113" t="str">
        <f>AND(#REF!,"AAAAAH/gfvc=")</f>
        <v>#REF!</v>
      </c>
      <c r="IO113" t="str">
        <f>AND(#REF!,"AAAAAH/gfvg=")</f>
        <v>#REF!</v>
      </c>
      <c r="IP113" t="str">
        <f>AND(#REF!,"AAAAAH/gfvk=")</f>
        <v>#REF!</v>
      </c>
      <c r="IQ113" t="str">
        <f>AND(#REF!,"AAAAAH/gfvo=")</f>
        <v>#REF!</v>
      </c>
      <c r="IR113" t="str">
        <f>AND(#REF!,"AAAAAH/gfvs=")</f>
        <v>#REF!</v>
      </c>
      <c r="IS113" t="str">
        <f>AND(#REF!,"AAAAAH/gfvw=")</f>
        <v>#REF!</v>
      </c>
      <c r="IT113" t="str">
        <f>AND(#REF!,"AAAAAH/gfv0=")</f>
        <v>#REF!</v>
      </c>
      <c r="IU113" t="str">
        <f>AND(#REF!,"AAAAAH/gfv4=")</f>
        <v>#REF!</v>
      </c>
      <c r="IV113" t="str">
        <f>AND(#REF!,"AAAAAH/gfv8=")</f>
        <v>#REF!</v>
      </c>
    </row>
    <row r="114" ht="15.75" customHeight="1">
      <c r="A114" t="str">
        <f>AND(#REF!,"AAAAAHWajwA=")</f>
        <v>#REF!</v>
      </c>
      <c r="B114" t="str">
        <f>AND(#REF!,"AAAAAHWajwE=")</f>
        <v>#REF!</v>
      </c>
      <c r="C114" t="str">
        <f>AND(#REF!,"AAAAAHWajwI=")</f>
        <v>#REF!</v>
      </c>
      <c r="D114" t="str">
        <f>AND(#REF!,"AAAAAHWajwM=")</f>
        <v>#REF!</v>
      </c>
      <c r="E114" t="str">
        <f>AND(#REF!,"AAAAAHWajwQ=")</f>
        <v>#REF!</v>
      </c>
      <c r="F114" t="str">
        <f>AND(#REF!,"AAAAAHWajwU=")</f>
        <v>#REF!</v>
      </c>
      <c r="G114" t="str">
        <f>AND(#REF!,"AAAAAHWajwY=")</f>
        <v>#REF!</v>
      </c>
      <c r="H114" t="str">
        <f>AND(#REF!,"AAAAAHWajwc=")</f>
        <v>#REF!</v>
      </c>
      <c r="I114" t="str">
        <f>AND(#REF!,"AAAAAHWajwg=")</f>
        <v>#REF!</v>
      </c>
      <c r="J114" t="str">
        <f>AND(#REF!,"AAAAAHWajwk=")</f>
        <v>#REF!</v>
      </c>
      <c r="K114" t="str">
        <f>AND(#REF!,"AAAAAHWajwo=")</f>
        <v>#REF!</v>
      </c>
      <c r="L114" t="str">
        <f>AND(#REF!,"AAAAAHWajws=")</f>
        <v>#REF!</v>
      </c>
      <c r="M114" t="str">
        <f>AND(#REF!,"AAAAAHWajww=")</f>
        <v>#REF!</v>
      </c>
      <c r="N114" t="str">
        <f>AND(#REF!,"AAAAAHWajw0=")</f>
        <v>#REF!</v>
      </c>
      <c r="O114" t="str">
        <f>IF(#REF!,"AAAAAHWajw4=",0)</f>
        <v>#REF!</v>
      </c>
      <c r="P114" t="str">
        <f>AND(#REF!,"AAAAAHWajw8=")</f>
        <v>#REF!</v>
      </c>
      <c r="Q114" t="str">
        <f>AND(#REF!,"AAAAAHWajxA=")</f>
        <v>#REF!</v>
      </c>
      <c r="R114" t="str">
        <f>AND(#REF!,"AAAAAHWajxE=")</f>
        <v>#REF!</v>
      </c>
      <c r="S114" t="str">
        <f>AND(#REF!,"AAAAAHWajxI=")</f>
        <v>#REF!</v>
      </c>
      <c r="T114" t="str">
        <f>AND(#REF!,"AAAAAHWajxM=")</f>
        <v>#REF!</v>
      </c>
      <c r="U114" t="str">
        <f>AND(#REF!,"AAAAAHWajxQ=")</f>
        <v>#REF!</v>
      </c>
      <c r="V114" t="str">
        <f>AND(#REF!,"AAAAAHWajxU=")</f>
        <v>#REF!</v>
      </c>
      <c r="W114" t="str">
        <f>AND(#REF!,"AAAAAHWajxY=")</f>
        <v>#REF!</v>
      </c>
      <c r="X114" t="str">
        <f>AND(#REF!,"AAAAAHWajxc=")</f>
        <v>#REF!</v>
      </c>
      <c r="Y114" t="str">
        <f>AND(#REF!,"AAAAAHWajxg=")</f>
        <v>#REF!</v>
      </c>
      <c r="Z114" t="str">
        <f>AND(#REF!,"AAAAAHWajxk=")</f>
        <v>#REF!</v>
      </c>
      <c r="AA114" t="str">
        <f>AND(#REF!,"AAAAAHWajxo=")</f>
        <v>#REF!</v>
      </c>
      <c r="AB114" t="str">
        <f>AND(#REF!,"AAAAAHWajxs=")</f>
        <v>#REF!</v>
      </c>
      <c r="AC114" t="str">
        <f>AND(#REF!,"AAAAAHWajxw=")</f>
        <v>#REF!</v>
      </c>
      <c r="AD114" t="str">
        <f>AND(#REF!,"AAAAAHWajx0=")</f>
        <v>#REF!</v>
      </c>
      <c r="AE114" t="str">
        <f>AND(#REF!,"AAAAAHWajx4=")</f>
        <v>#REF!</v>
      </c>
      <c r="AF114" t="str">
        <f>AND(#REF!,"AAAAAHWajx8=")</f>
        <v>#REF!</v>
      </c>
      <c r="AG114" t="str">
        <f>AND(#REF!,"AAAAAHWajyA=")</f>
        <v>#REF!</v>
      </c>
      <c r="AH114" t="str">
        <f>AND(#REF!,"AAAAAHWajyE=")</f>
        <v>#REF!</v>
      </c>
      <c r="AI114" t="str">
        <f>AND(#REF!,"AAAAAHWajyI=")</f>
        <v>#REF!</v>
      </c>
      <c r="AJ114" t="str">
        <f>AND(#REF!,"AAAAAHWajyM=")</f>
        <v>#REF!</v>
      </c>
      <c r="AK114" t="str">
        <f>AND(#REF!,"AAAAAHWajyQ=")</f>
        <v>#REF!</v>
      </c>
      <c r="AL114" t="str">
        <f>AND(#REF!,"AAAAAHWajyU=")</f>
        <v>#REF!</v>
      </c>
      <c r="AM114" t="str">
        <f>AND(#REF!,"AAAAAHWajyY=")</f>
        <v>#REF!</v>
      </c>
      <c r="AN114" t="str">
        <f>AND(#REF!,"AAAAAHWajyc=")</f>
        <v>#REF!</v>
      </c>
      <c r="AO114" t="str">
        <f>AND(#REF!,"AAAAAHWajyg=")</f>
        <v>#REF!</v>
      </c>
      <c r="AP114" t="str">
        <f>AND(#REF!,"AAAAAHWajyk=")</f>
        <v>#REF!</v>
      </c>
      <c r="AQ114" t="str">
        <f>AND(#REF!,"AAAAAHWajyo=")</f>
        <v>#REF!</v>
      </c>
      <c r="AR114" t="str">
        <f>AND(#REF!,"AAAAAHWajys=")</f>
        <v>#REF!</v>
      </c>
      <c r="AS114" t="str">
        <f>AND(#REF!,"AAAAAHWajyw=")</f>
        <v>#REF!</v>
      </c>
      <c r="AT114" t="str">
        <f>AND(#REF!,"AAAAAHWajy0=")</f>
        <v>#REF!</v>
      </c>
      <c r="AU114" t="str">
        <f>AND(#REF!,"AAAAAHWajy4=")</f>
        <v>#REF!</v>
      </c>
      <c r="AV114" t="str">
        <f>AND(#REF!,"AAAAAHWajy8=")</f>
        <v>#REF!</v>
      </c>
      <c r="AW114" t="str">
        <f>AND(#REF!,"AAAAAHWajzA=")</f>
        <v>#REF!</v>
      </c>
      <c r="AX114" t="str">
        <f>AND(#REF!,"AAAAAHWajzE=")</f>
        <v>#REF!</v>
      </c>
      <c r="AY114" t="str">
        <f>AND(#REF!,"AAAAAHWajzI=")</f>
        <v>#REF!</v>
      </c>
      <c r="AZ114" t="str">
        <f>AND(#REF!,"AAAAAHWajzM=")</f>
        <v>#REF!</v>
      </c>
      <c r="BA114" t="str">
        <f>AND(#REF!,"AAAAAHWajzQ=")</f>
        <v>#REF!</v>
      </c>
      <c r="BB114" t="str">
        <f>AND(#REF!,"AAAAAHWajzU=")</f>
        <v>#REF!</v>
      </c>
      <c r="BC114" t="str">
        <f>AND(#REF!,"AAAAAHWajzY=")</f>
        <v>#REF!</v>
      </c>
      <c r="BD114" t="str">
        <f>AND(#REF!,"AAAAAHWajzc=")</f>
        <v>#REF!</v>
      </c>
      <c r="BE114" t="str">
        <f>AND(#REF!,"AAAAAHWajzg=")</f>
        <v>#REF!</v>
      </c>
      <c r="BF114" t="str">
        <f>AND(#REF!,"AAAAAHWajzk=")</f>
        <v>#REF!</v>
      </c>
      <c r="BG114" t="str">
        <f>AND(#REF!,"AAAAAHWajzo=")</f>
        <v>#REF!</v>
      </c>
      <c r="BH114" t="str">
        <f>AND(#REF!,"AAAAAHWajzs=")</f>
        <v>#REF!</v>
      </c>
      <c r="BI114" t="str">
        <f>AND(#REF!,"AAAAAHWajzw=")</f>
        <v>#REF!</v>
      </c>
      <c r="BJ114" t="str">
        <f>AND(#REF!,"AAAAAHWajz0=")</f>
        <v>#REF!</v>
      </c>
      <c r="BK114" t="str">
        <f>AND(#REF!,"AAAAAHWajz4=")</f>
        <v>#REF!</v>
      </c>
      <c r="BL114" t="str">
        <f>AND(#REF!,"AAAAAHWajz8=")</f>
        <v>#REF!</v>
      </c>
      <c r="BM114" t="str">
        <f>AND(#REF!,"AAAAAHWaj0A=")</f>
        <v>#REF!</v>
      </c>
      <c r="BN114" t="str">
        <f>AND(#REF!,"AAAAAHWaj0E=")</f>
        <v>#REF!</v>
      </c>
      <c r="BO114" t="str">
        <f>AND(#REF!,"AAAAAHWaj0I=")</f>
        <v>#REF!</v>
      </c>
      <c r="BP114" t="str">
        <f>AND(#REF!,"AAAAAHWaj0M=")</f>
        <v>#REF!</v>
      </c>
      <c r="BQ114" t="str">
        <f>AND(#REF!,"AAAAAHWaj0Q=")</f>
        <v>#REF!</v>
      </c>
      <c r="BR114" t="str">
        <f>AND(#REF!,"AAAAAHWaj0U=")</f>
        <v>#REF!</v>
      </c>
      <c r="BS114" t="str">
        <f>AND(#REF!,"AAAAAHWaj0Y=")</f>
        <v>#REF!</v>
      </c>
      <c r="BT114" t="str">
        <f>AND(#REF!,"AAAAAHWaj0c=")</f>
        <v>#REF!</v>
      </c>
      <c r="BU114" t="str">
        <f>AND(#REF!,"AAAAAHWaj0g=")</f>
        <v>#REF!</v>
      </c>
      <c r="BV114" t="str">
        <f>AND(#REF!,"AAAAAHWaj0k=")</f>
        <v>#REF!</v>
      </c>
      <c r="BW114" t="str">
        <f>AND(#REF!,"AAAAAHWaj0o=")</f>
        <v>#REF!</v>
      </c>
      <c r="BX114" t="str">
        <f>AND(#REF!,"AAAAAHWaj0s=")</f>
        <v>#REF!</v>
      </c>
      <c r="BY114" t="str">
        <f>AND(#REF!,"AAAAAHWaj0w=")</f>
        <v>#REF!</v>
      </c>
      <c r="BZ114" t="str">
        <f>AND(#REF!,"AAAAAHWaj00=")</f>
        <v>#REF!</v>
      </c>
      <c r="CA114" t="str">
        <f>AND(#REF!,"AAAAAHWaj04=")</f>
        <v>#REF!</v>
      </c>
      <c r="CB114" t="str">
        <f>AND(#REF!,"AAAAAHWaj08=")</f>
        <v>#REF!</v>
      </c>
      <c r="CC114" t="str">
        <f>AND(#REF!,"AAAAAHWaj1A=")</f>
        <v>#REF!</v>
      </c>
      <c r="CD114" t="str">
        <f>AND(#REF!,"AAAAAHWaj1E=")</f>
        <v>#REF!</v>
      </c>
      <c r="CE114" t="str">
        <f>AND(#REF!,"AAAAAHWaj1I=")</f>
        <v>#REF!</v>
      </c>
      <c r="CF114" t="str">
        <f>AND(#REF!,"AAAAAHWaj1M=")</f>
        <v>#REF!</v>
      </c>
      <c r="CG114" t="str">
        <f>AND(#REF!,"AAAAAHWaj1Q=")</f>
        <v>#REF!</v>
      </c>
      <c r="CH114" t="str">
        <f>AND(#REF!,"AAAAAHWaj1U=")</f>
        <v>#REF!</v>
      </c>
      <c r="CI114" t="str">
        <f>AND(#REF!,"AAAAAHWaj1Y=")</f>
        <v>#REF!</v>
      </c>
      <c r="CJ114" t="str">
        <f>AND(#REF!,"AAAAAHWaj1c=")</f>
        <v>#REF!</v>
      </c>
      <c r="CK114" t="str">
        <f>AND(#REF!,"AAAAAHWaj1g=")</f>
        <v>#REF!</v>
      </c>
      <c r="CL114" t="str">
        <f>AND(#REF!,"AAAAAHWaj1k=")</f>
        <v>#REF!</v>
      </c>
      <c r="CM114" t="str">
        <f>IF(#REF!,"AAAAAHWaj1o=",0)</f>
        <v>#REF!</v>
      </c>
      <c r="CN114" t="str">
        <f>AND(#REF!,"AAAAAHWaj1s=")</f>
        <v>#REF!</v>
      </c>
      <c r="CO114" t="str">
        <f>AND(#REF!,"AAAAAHWaj1w=")</f>
        <v>#REF!</v>
      </c>
      <c r="CP114" t="str">
        <f>AND(#REF!,"AAAAAHWaj10=")</f>
        <v>#REF!</v>
      </c>
      <c r="CQ114" t="str">
        <f>AND(#REF!,"AAAAAHWaj14=")</f>
        <v>#REF!</v>
      </c>
      <c r="CR114" t="str">
        <f>AND(#REF!,"AAAAAHWaj18=")</f>
        <v>#REF!</v>
      </c>
      <c r="CS114" t="str">
        <f>AND(#REF!,"AAAAAHWaj2A=")</f>
        <v>#REF!</v>
      </c>
      <c r="CT114" t="str">
        <f>AND(#REF!,"AAAAAHWaj2E=")</f>
        <v>#REF!</v>
      </c>
      <c r="CU114" t="str">
        <f>AND(#REF!,"AAAAAHWaj2I=")</f>
        <v>#REF!</v>
      </c>
      <c r="CV114" t="str">
        <f>AND(#REF!,"AAAAAHWaj2M=")</f>
        <v>#REF!</v>
      </c>
      <c r="CW114" t="str">
        <f>AND(#REF!,"AAAAAHWaj2Q=")</f>
        <v>#REF!</v>
      </c>
      <c r="CX114" t="str">
        <f>AND(#REF!,"AAAAAHWaj2U=")</f>
        <v>#REF!</v>
      </c>
      <c r="CY114" t="str">
        <f>AND(#REF!,"AAAAAHWaj2Y=")</f>
        <v>#REF!</v>
      </c>
      <c r="CZ114" t="str">
        <f>AND(#REF!,"AAAAAHWaj2c=")</f>
        <v>#REF!</v>
      </c>
      <c r="DA114" t="str">
        <f>AND(#REF!,"AAAAAHWaj2g=")</f>
        <v>#REF!</v>
      </c>
      <c r="DB114" t="str">
        <f>AND(#REF!,"AAAAAHWaj2k=")</f>
        <v>#REF!</v>
      </c>
      <c r="DC114" t="str">
        <f>AND(#REF!,"AAAAAHWaj2o=")</f>
        <v>#REF!</v>
      </c>
      <c r="DD114" t="str">
        <f>AND(#REF!,"AAAAAHWaj2s=")</f>
        <v>#REF!</v>
      </c>
      <c r="DE114" t="str">
        <f>AND(#REF!,"AAAAAHWaj2w=")</f>
        <v>#REF!</v>
      </c>
      <c r="DF114" t="str">
        <f>AND(#REF!,"AAAAAHWaj20=")</f>
        <v>#REF!</v>
      </c>
      <c r="DG114" t="str">
        <f>AND(#REF!,"AAAAAHWaj24=")</f>
        <v>#REF!</v>
      </c>
      <c r="DH114" t="str">
        <f>AND(#REF!,"AAAAAHWaj28=")</f>
        <v>#REF!</v>
      </c>
      <c r="DI114" t="str">
        <f>AND(#REF!,"AAAAAHWaj3A=")</f>
        <v>#REF!</v>
      </c>
      <c r="DJ114" t="str">
        <f>AND(#REF!,"AAAAAHWaj3E=")</f>
        <v>#REF!</v>
      </c>
      <c r="DK114" t="str">
        <f>AND(#REF!,"AAAAAHWaj3I=")</f>
        <v>#REF!</v>
      </c>
      <c r="DL114" t="str">
        <f>AND(#REF!,"AAAAAHWaj3M=")</f>
        <v>#REF!</v>
      </c>
      <c r="DM114" t="str">
        <f>AND(#REF!,"AAAAAHWaj3Q=")</f>
        <v>#REF!</v>
      </c>
      <c r="DN114" t="str">
        <f>AND(#REF!,"AAAAAHWaj3U=")</f>
        <v>#REF!</v>
      </c>
      <c r="DO114" t="str">
        <f>AND(#REF!,"AAAAAHWaj3Y=")</f>
        <v>#REF!</v>
      </c>
      <c r="DP114" t="str">
        <f>AND(#REF!,"AAAAAHWaj3c=")</f>
        <v>#REF!</v>
      </c>
      <c r="DQ114" t="str">
        <f>AND(#REF!,"AAAAAHWaj3g=")</f>
        <v>#REF!</v>
      </c>
      <c r="DR114" t="str">
        <f>AND(#REF!,"AAAAAHWaj3k=")</f>
        <v>#REF!</v>
      </c>
      <c r="DS114" t="str">
        <f>AND(#REF!,"AAAAAHWaj3o=")</f>
        <v>#REF!</v>
      </c>
      <c r="DT114" t="str">
        <f>AND(#REF!,"AAAAAHWaj3s=")</f>
        <v>#REF!</v>
      </c>
      <c r="DU114" t="str">
        <f>AND(#REF!,"AAAAAHWaj3w=")</f>
        <v>#REF!</v>
      </c>
      <c r="DV114" t="str">
        <f>AND(#REF!,"AAAAAHWaj30=")</f>
        <v>#REF!</v>
      </c>
      <c r="DW114" t="str">
        <f>AND(#REF!,"AAAAAHWaj34=")</f>
        <v>#REF!</v>
      </c>
      <c r="DX114" t="str">
        <f>AND(#REF!,"AAAAAHWaj38=")</f>
        <v>#REF!</v>
      </c>
      <c r="DY114" t="str">
        <f>AND(#REF!,"AAAAAHWaj4A=")</f>
        <v>#REF!</v>
      </c>
      <c r="DZ114" t="str">
        <f>AND(#REF!,"AAAAAHWaj4E=")</f>
        <v>#REF!</v>
      </c>
      <c r="EA114" t="str">
        <f>AND(#REF!,"AAAAAHWaj4I=")</f>
        <v>#REF!</v>
      </c>
      <c r="EB114" t="str">
        <f>AND(#REF!,"AAAAAHWaj4M=")</f>
        <v>#REF!</v>
      </c>
      <c r="EC114" t="str">
        <f>AND(#REF!,"AAAAAHWaj4Q=")</f>
        <v>#REF!</v>
      </c>
      <c r="ED114" t="str">
        <f>AND(#REF!,"AAAAAHWaj4U=")</f>
        <v>#REF!</v>
      </c>
      <c r="EE114" t="str">
        <f>AND(#REF!,"AAAAAHWaj4Y=")</f>
        <v>#REF!</v>
      </c>
      <c r="EF114" t="str">
        <f>AND(#REF!,"AAAAAHWaj4c=")</f>
        <v>#REF!</v>
      </c>
      <c r="EG114" t="str">
        <f>AND(#REF!,"AAAAAHWaj4g=")</f>
        <v>#REF!</v>
      </c>
      <c r="EH114" t="str">
        <f>AND(#REF!,"AAAAAHWaj4k=")</f>
        <v>#REF!</v>
      </c>
      <c r="EI114" t="str">
        <f>AND(#REF!,"AAAAAHWaj4o=")</f>
        <v>#REF!</v>
      </c>
      <c r="EJ114" t="str">
        <f>AND(#REF!,"AAAAAHWaj4s=")</f>
        <v>#REF!</v>
      </c>
      <c r="EK114" t="str">
        <f>AND(#REF!,"AAAAAHWaj4w=")</f>
        <v>#REF!</v>
      </c>
      <c r="EL114" t="str">
        <f>AND(#REF!,"AAAAAHWaj40=")</f>
        <v>#REF!</v>
      </c>
      <c r="EM114" t="str">
        <f>AND(#REF!,"AAAAAHWaj44=")</f>
        <v>#REF!</v>
      </c>
      <c r="EN114" t="str">
        <f>AND(#REF!,"AAAAAHWaj48=")</f>
        <v>#REF!</v>
      </c>
      <c r="EO114" t="str">
        <f>AND(#REF!,"AAAAAHWaj5A=")</f>
        <v>#REF!</v>
      </c>
      <c r="EP114" t="str">
        <f>AND(#REF!,"AAAAAHWaj5E=")</f>
        <v>#REF!</v>
      </c>
      <c r="EQ114" t="str">
        <f>AND(#REF!,"AAAAAHWaj5I=")</f>
        <v>#REF!</v>
      </c>
      <c r="ER114" t="str">
        <f>AND(#REF!,"AAAAAHWaj5M=")</f>
        <v>#REF!</v>
      </c>
      <c r="ES114" t="str">
        <f>AND(#REF!,"AAAAAHWaj5Q=")</f>
        <v>#REF!</v>
      </c>
      <c r="ET114" t="str">
        <f>AND(#REF!,"AAAAAHWaj5U=")</f>
        <v>#REF!</v>
      </c>
      <c r="EU114" t="str">
        <f>AND(#REF!,"AAAAAHWaj5Y=")</f>
        <v>#REF!</v>
      </c>
      <c r="EV114" t="str">
        <f>AND(#REF!,"AAAAAHWaj5c=")</f>
        <v>#REF!</v>
      </c>
      <c r="EW114" t="str">
        <f>AND(#REF!,"AAAAAHWaj5g=")</f>
        <v>#REF!</v>
      </c>
      <c r="EX114" t="str">
        <f>AND(#REF!,"AAAAAHWaj5k=")</f>
        <v>#REF!</v>
      </c>
      <c r="EY114" t="str">
        <f>AND(#REF!,"AAAAAHWaj5o=")</f>
        <v>#REF!</v>
      </c>
      <c r="EZ114" t="str">
        <f>AND(#REF!,"AAAAAHWaj5s=")</f>
        <v>#REF!</v>
      </c>
      <c r="FA114" t="str">
        <f>AND(#REF!,"AAAAAHWaj5w=")</f>
        <v>#REF!</v>
      </c>
      <c r="FB114" t="str">
        <f>AND(#REF!,"AAAAAHWaj50=")</f>
        <v>#REF!</v>
      </c>
      <c r="FC114" t="str">
        <f>AND(#REF!,"AAAAAHWaj54=")</f>
        <v>#REF!</v>
      </c>
      <c r="FD114" t="str">
        <f>AND(#REF!,"AAAAAHWaj58=")</f>
        <v>#REF!</v>
      </c>
      <c r="FE114" t="str">
        <f>AND(#REF!,"AAAAAHWaj6A=")</f>
        <v>#REF!</v>
      </c>
      <c r="FF114" t="str">
        <f>AND(#REF!,"AAAAAHWaj6E=")</f>
        <v>#REF!</v>
      </c>
      <c r="FG114" t="str">
        <f>AND(#REF!,"AAAAAHWaj6I=")</f>
        <v>#REF!</v>
      </c>
      <c r="FH114" t="str">
        <f>AND(#REF!,"AAAAAHWaj6M=")</f>
        <v>#REF!</v>
      </c>
      <c r="FI114" t="str">
        <f>AND(#REF!,"AAAAAHWaj6Q=")</f>
        <v>#REF!</v>
      </c>
      <c r="FJ114" t="str">
        <f>AND(#REF!,"AAAAAHWaj6U=")</f>
        <v>#REF!</v>
      </c>
      <c r="FK114" t="str">
        <f>IF(#REF!,"AAAAAHWaj6Y=",0)</f>
        <v>#REF!</v>
      </c>
      <c r="FL114" t="str">
        <f>AND(#REF!,"AAAAAHWaj6c=")</f>
        <v>#REF!</v>
      </c>
      <c r="FM114" t="str">
        <f>AND(#REF!,"AAAAAHWaj6g=")</f>
        <v>#REF!</v>
      </c>
      <c r="FN114" t="str">
        <f>AND(#REF!,"AAAAAHWaj6k=")</f>
        <v>#REF!</v>
      </c>
      <c r="FO114" t="str">
        <f>AND(#REF!,"AAAAAHWaj6o=")</f>
        <v>#REF!</v>
      </c>
      <c r="FP114" t="str">
        <f>AND(#REF!,"AAAAAHWaj6s=")</f>
        <v>#REF!</v>
      </c>
      <c r="FQ114" t="str">
        <f>AND(#REF!,"AAAAAHWaj6w=")</f>
        <v>#REF!</v>
      </c>
      <c r="FR114" t="str">
        <f>AND(#REF!,"AAAAAHWaj60=")</f>
        <v>#REF!</v>
      </c>
      <c r="FS114" t="str">
        <f>AND(#REF!,"AAAAAHWaj64=")</f>
        <v>#REF!</v>
      </c>
      <c r="FT114" t="str">
        <f>AND(#REF!,"AAAAAHWaj68=")</f>
        <v>#REF!</v>
      </c>
      <c r="FU114" t="str">
        <f>AND(#REF!,"AAAAAHWaj7A=")</f>
        <v>#REF!</v>
      </c>
      <c r="FV114" t="str">
        <f>AND(#REF!,"AAAAAHWaj7E=")</f>
        <v>#REF!</v>
      </c>
      <c r="FW114" t="str">
        <f>AND(#REF!,"AAAAAHWaj7I=")</f>
        <v>#REF!</v>
      </c>
      <c r="FX114" t="str">
        <f>AND(#REF!,"AAAAAHWaj7M=")</f>
        <v>#REF!</v>
      </c>
      <c r="FY114" t="str">
        <f>AND(#REF!,"AAAAAHWaj7Q=")</f>
        <v>#REF!</v>
      </c>
      <c r="FZ114" t="str">
        <f>AND(#REF!,"AAAAAHWaj7U=")</f>
        <v>#REF!</v>
      </c>
      <c r="GA114" t="str">
        <f>AND(#REF!,"AAAAAHWaj7Y=")</f>
        <v>#REF!</v>
      </c>
      <c r="GB114" t="str">
        <f>AND(#REF!,"AAAAAHWaj7c=")</f>
        <v>#REF!</v>
      </c>
      <c r="GC114" t="str">
        <f>AND(#REF!,"AAAAAHWaj7g=")</f>
        <v>#REF!</v>
      </c>
      <c r="GD114" t="str">
        <f>AND(#REF!,"AAAAAHWaj7k=")</f>
        <v>#REF!</v>
      </c>
      <c r="GE114" t="str">
        <f>AND(#REF!,"AAAAAHWaj7o=")</f>
        <v>#REF!</v>
      </c>
      <c r="GF114" t="str">
        <f>AND(#REF!,"AAAAAHWaj7s=")</f>
        <v>#REF!</v>
      </c>
      <c r="GG114" t="str">
        <f>AND(#REF!,"AAAAAHWaj7w=")</f>
        <v>#REF!</v>
      </c>
      <c r="GH114" t="str">
        <f>AND(#REF!,"AAAAAHWaj70=")</f>
        <v>#REF!</v>
      </c>
      <c r="GI114" t="str">
        <f>AND(#REF!,"AAAAAHWaj74=")</f>
        <v>#REF!</v>
      </c>
      <c r="GJ114" t="str">
        <f>AND(#REF!,"AAAAAHWaj78=")</f>
        <v>#REF!</v>
      </c>
      <c r="GK114" t="str">
        <f>AND(#REF!,"AAAAAHWaj8A=")</f>
        <v>#REF!</v>
      </c>
      <c r="GL114" t="str">
        <f>AND(#REF!,"AAAAAHWaj8E=")</f>
        <v>#REF!</v>
      </c>
      <c r="GM114" t="str">
        <f>AND(#REF!,"AAAAAHWaj8I=")</f>
        <v>#REF!</v>
      </c>
      <c r="GN114" t="str">
        <f>AND(#REF!,"AAAAAHWaj8M=")</f>
        <v>#REF!</v>
      </c>
      <c r="GO114" t="str">
        <f>AND(#REF!,"AAAAAHWaj8Q=")</f>
        <v>#REF!</v>
      </c>
      <c r="GP114" t="str">
        <f>AND(#REF!,"AAAAAHWaj8U=")</f>
        <v>#REF!</v>
      </c>
      <c r="GQ114" t="str">
        <f>AND(#REF!,"AAAAAHWaj8Y=")</f>
        <v>#REF!</v>
      </c>
      <c r="GR114" t="str">
        <f>AND(#REF!,"AAAAAHWaj8c=")</f>
        <v>#REF!</v>
      </c>
      <c r="GS114" t="str">
        <f>AND(#REF!,"AAAAAHWaj8g=")</f>
        <v>#REF!</v>
      </c>
      <c r="GT114" t="str">
        <f>AND(#REF!,"AAAAAHWaj8k=")</f>
        <v>#REF!</v>
      </c>
      <c r="GU114" t="str">
        <f>AND(#REF!,"AAAAAHWaj8o=")</f>
        <v>#REF!</v>
      </c>
      <c r="GV114" t="str">
        <f>AND(#REF!,"AAAAAHWaj8s=")</f>
        <v>#REF!</v>
      </c>
      <c r="GW114" t="str">
        <f>AND(#REF!,"AAAAAHWaj8w=")</f>
        <v>#REF!</v>
      </c>
      <c r="GX114" t="str">
        <f>AND(#REF!,"AAAAAHWaj80=")</f>
        <v>#REF!</v>
      </c>
      <c r="GY114" t="str">
        <f>AND(#REF!,"AAAAAHWaj84=")</f>
        <v>#REF!</v>
      </c>
      <c r="GZ114" t="str">
        <f>AND(#REF!,"AAAAAHWaj88=")</f>
        <v>#REF!</v>
      </c>
      <c r="HA114" t="str">
        <f>AND(#REF!,"AAAAAHWaj9A=")</f>
        <v>#REF!</v>
      </c>
      <c r="HB114" t="str">
        <f>AND(#REF!,"AAAAAHWaj9E=")</f>
        <v>#REF!</v>
      </c>
      <c r="HC114" t="str">
        <f>AND(#REF!,"AAAAAHWaj9I=")</f>
        <v>#REF!</v>
      </c>
      <c r="HD114" t="str">
        <f>AND(#REF!,"AAAAAHWaj9M=")</f>
        <v>#REF!</v>
      </c>
      <c r="HE114" t="str">
        <f>AND(#REF!,"AAAAAHWaj9Q=")</f>
        <v>#REF!</v>
      </c>
      <c r="HF114" t="str">
        <f>AND(#REF!,"AAAAAHWaj9U=")</f>
        <v>#REF!</v>
      </c>
      <c r="HG114" t="str">
        <f>AND(#REF!,"AAAAAHWaj9Y=")</f>
        <v>#REF!</v>
      </c>
      <c r="HH114" t="str">
        <f>AND(#REF!,"AAAAAHWaj9c=")</f>
        <v>#REF!</v>
      </c>
      <c r="HI114" t="str">
        <f>AND(#REF!,"AAAAAHWaj9g=")</f>
        <v>#REF!</v>
      </c>
      <c r="HJ114" t="str">
        <f>AND(#REF!,"AAAAAHWaj9k=")</f>
        <v>#REF!</v>
      </c>
      <c r="HK114" t="str">
        <f>AND(#REF!,"AAAAAHWaj9o=")</f>
        <v>#REF!</v>
      </c>
      <c r="HL114" t="str">
        <f>AND(#REF!,"AAAAAHWaj9s=")</f>
        <v>#REF!</v>
      </c>
      <c r="HM114" t="str">
        <f>AND(#REF!,"AAAAAHWaj9w=")</f>
        <v>#REF!</v>
      </c>
      <c r="HN114" t="str">
        <f>AND(#REF!,"AAAAAHWaj90=")</f>
        <v>#REF!</v>
      </c>
      <c r="HO114" t="str">
        <f>AND(#REF!,"AAAAAHWaj94=")</f>
        <v>#REF!</v>
      </c>
      <c r="HP114" t="str">
        <f>AND(#REF!,"AAAAAHWaj98=")</f>
        <v>#REF!</v>
      </c>
      <c r="HQ114" t="str">
        <f>AND(#REF!,"AAAAAHWaj+A=")</f>
        <v>#REF!</v>
      </c>
      <c r="HR114" t="str">
        <f>AND(#REF!,"AAAAAHWaj+E=")</f>
        <v>#REF!</v>
      </c>
      <c r="HS114" t="str">
        <f>AND(#REF!,"AAAAAHWaj+I=")</f>
        <v>#REF!</v>
      </c>
      <c r="HT114" t="str">
        <f>AND(#REF!,"AAAAAHWaj+M=")</f>
        <v>#REF!</v>
      </c>
      <c r="HU114" t="str">
        <f>AND(#REF!,"AAAAAHWaj+Q=")</f>
        <v>#REF!</v>
      </c>
      <c r="HV114" t="str">
        <f>AND(#REF!,"AAAAAHWaj+U=")</f>
        <v>#REF!</v>
      </c>
      <c r="HW114" t="str">
        <f>AND(#REF!,"AAAAAHWaj+Y=")</f>
        <v>#REF!</v>
      </c>
      <c r="HX114" t="str">
        <f>AND(#REF!,"AAAAAHWaj+c=")</f>
        <v>#REF!</v>
      </c>
      <c r="HY114" t="str">
        <f>AND(#REF!,"AAAAAHWaj+g=")</f>
        <v>#REF!</v>
      </c>
      <c r="HZ114" t="str">
        <f>AND(#REF!,"AAAAAHWaj+k=")</f>
        <v>#REF!</v>
      </c>
      <c r="IA114" t="str">
        <f>AND(#REF!,"AAAAAHWaj+o=")</f>
        <v>#REF!</v>
      </c>
      <c r="IB114" t="str">
        <f>AND(#REF!,"AAAAAHWaj+s=")</f>
        <v>#REF!</v>
      </c>
      <c r="IC114" t="str">
        <f>AND(#REF!,"AAAAAHWaj+w=")</f>
        <v>#REF!</v>
      </c>
      <c r="ID114" t="str">
        <f>AND(#REF!,"AAAAAHWaj+0=")</f>
        <v>#REF!</v>
      </c>
      <c r="IE114" t="str">
        <f>AND(#REF!,"AAAAAHWaj+4=")</f>
        <v>#REF!</v>
      </c>
      <c r="IF114" t="str">
        <f>AND(#REF!,"AAAAAHWaj+8=")</f>
        <v>#REF!</v>
      </c>
      <c r="IG114" t="str">
        <f>AND(#REF!,"AAAAAHWaj/A=")</f>
        <v>#REF!</v>
      </c>
      <c r="IH114" t="str">
        <f>AND(#REF!,"AAAAAHWaj/E=")</f>
        <v>#REF!</v>
      </c>
      <c r="II114" t="str">
        <f>IF(#REF!,"AAAAAHWaj/I=",0)</f>
        <v>#REF!</v>
      </c>
      <c r="IJ114" t="str">
        <f>AND(#REF!,"AAAAAHWaj/M=")</f>
        <v>#REF!</v>
      </c>
      <c r="IK114" t="str">
        <f>AND(#REF!,"AAAAAHWaj/Q=")</f>
        <v>#REF!</v>
      </c>
      <c r="IL114" t="str">
        <f>AND(#REF!,"AAAAAHWaj/U=")</f>
        <v>#REF!</v>
      </c>
      <c r="IM114" t="str">
        <f>AND(#REF!,"AAAAAHWaj/Y=")</f>
        <v>#REF!</v>
      </c>
      <c r="IN114" t="str">
        <f>AND(#REF!,"AAAAAHWaj/c=")</f>
        <v>#REF!</v>
      </c>
      <c r="IO114" t="str">
        <f>AND(#REF!,"AAAAAHWaj/g=")</f>
        <v>#REF!</v>
      </c>
      <c r="IP114" t="str">
        <f>AND(#REF!,"AAAAAHWaj/k=")</f>
        <v>#REF!</v>
      </c>
      <c r="IQ114" t="str">
        <f>AND(#REF!,"AAAAAHWaj/o=")</f>
        <v>#REF!</v>
      </c>
      <c r="IR114" t="str">
        <f>AND(#REF!,"AAAAAHWaj/s=")</f>
        <v>#REF!</v>
      </c>
      <c r="IS114" t="str">
        <f>AND(#REF!,"AAAAAHWaj/w=")</f>
        <v>#REF!</v>
      </c>
      <c r="IT114" t="str">
        <f>AND(#REF!,"AAAAAHWaj/0=")</f>
        <v>#REF!</v>
      </c>
      <c r="IU114" t="str">
        <f>AND(#REF!,"AAAAAHWaj/4=")</f>
        <v>#REF!</v>
      </c>
      <c r="IV114" t="str">
        <f>AND(#REF!,"AAAAAHWaj/8=")</f>
        <v>#REF!</v>
      </c>
    </row>
    <row r="115" ht="15.75" customHeight="1">
      <c r="A115" t="str">
        <f>AND(#REF!,"AAAAADtefwA=")</f>
        <v>#REF!</v>
      </c>
      <c r="B115" t="str">
        <f>AND(#REF!,"AAAAADtefwE=")</f>
        <v>#REF!</v>
      </c>
      <c r="C115" t="str">
        <f>AND(#REF!,"AAAAADtefwI=")</f>
        <v>#REF!</v>
      </c>
      <c r="D115" t="str">
        <f>AND(#REF!,"AAAAADtefwM=")</f>
        <v>#REF!</v>
      </c>
      <c r="E115" t="str">
        <f>AND(#REF!,"AAAAADtefwQ=")</f>
        <v>#REF!</v>
      </c>
      <c r="F115" t="str">
        <f>AND(#REF!,"AAAAADtefwU=")</f>
        <v>#REF!</v>
      </c>
      <c r="G115" t="str">
        <f>AND(#REF!,"AAAAADtefwY=")</f>
        <v>#REF!</v>
      </c>
      <c r="H115" t="str">
        <f>AND(#REF!,"AAAAADtefwc=")</f>
        <v>#REF!</v>
      </c>
      <c r="I115" t="str">
        <f>AND(#REF!,"AAAAADtefwg=")</f>
        <v>#REF!</v>
      </c>
      <c r="J115" t="str">
        <f>AND(#REF!,"AAAAADtefwk=")</f>
        <v>#REF!</v>
      </c>
      <c r="K115" t="str">
        <f>AND(#REF!,"AAAAADtefwo=")</f>
        <v>#REF!</v>
      </c>
      <c r="L115" t="str">
        <f>AND(#REF!,"AAAAADtefws=")</f>
        <v>#REF!</v>
      </c>
      <c r="M115" t="str">
        <f>AND(#REF!,"AAAAADtefww=")</f>
        <v>#REF!</v>
      </c>
      <c r="N115" t="str">
        <f>AND(#REF!,"AAAAADtefw0=")</f>
        <v>#REF!</v>
      </c>
      <c r="O115" t="str">
        <f>AND(#REF!,"AAAAADtefw4=")</f>
        <v>#REF!</v>
      </c>
      <c r="P115" t="str">
        <f>AND(#REF!,"AAAAADtefw8=")</f>
        <v>#REF!</v>
      </c>
      <c r="Q115" t="str">
        <f>AND(#REF!,"AAAAADtefxA=")</f>
        <v>#REF!</v>
      </c>
      <c r="R115" t="str">
        <f>AND(#REF!,"AAAAADtefxE=")</f>
        <v>#REF!</v>
      </c>
      <c r="S115" t="str">
        <f>AND(#REF!,"AAAAADtefxI=")</f>
        <v>#REF!</v>
      </c>
      <c r="T115" t="str">
        <f>AND(#REF!,"AAAAADtefxM=")</f>
        <v>#REF!</v>
      </c>
      <c r="U115" t="str">
        <f>AND(#REF!,"AAAAADtefxQ=")</f>
        <v>#REF!</v>
      </c>
      <c r="V115" t="str">
        <f>AND(#REF!,"AAAAADtefxU=")</f>
        <v>#REF!</v>
      </c>
      <c r="W115" t="str">
        <f>AND(#REF!,"AAAAADtefxY=")</f>
        <v>#REF!</v>
      </c>
      <c r="X115" t="str">
        <f>AND(#REF!,"AAAAADtefxc=")</f>
        <v>#REF!</v>
      </c>
      <c r="Y115" t="str">
        <f>AND(#REF!,"AAAAADtefxg=")</f>
        <v>#REF!</v>
      </c>
      <c r="Z115" t="str">
        <f>AND(#REF!,"AAAAADtefxk=")</f>
        <v>#REF!</v>
      </c>
      <c r="AA115" t="str">
        <f>AND(#REF!,"AAAAADtefxo=")</f>
        <v>#REF!</v>
      </c>
      <c r="AB115" t="str">
        <f>AND(#REF!,"AAAAADtefxs=")</f>
        <v>#REF!</v>
      </c>
      <c r="AC115" t="str">
        <f>AND(#REF!,"AAAAADtefxw=")</f>
        <v>#REF!</v>
      </c>
      <c r="AD115" t="str">
        <f>AND(#REF!,"AAAAADtefx0=")</f>
        <v>#REF!</v>
      </c>
      <c r="AE115" t="str">
        <f>AND(#REF!,"AAAAADtefx4=")</f>
        <v>#REF!</v>
      </c>
      <c r="AF115" t="str">
        <f>AND(#REF!,"AAAAADtefx8=")</f>
        <v>#REF!</v>
      </c>
      <c r="AG115" t="str">
        <f>AND(#REF!,"AAAAADtefyA=")</f>
        <v>#REF!</v>
      </c>
      <c r="AH115" t="str">
        <f>AND(#REF!,"AAAAADtefyE=")</f>
        <v>#REF!</v>
      </c>
      <c r="AI115" t="str">
        <f>AND(#REF!,"AAAAADtefyI=")</f>
        <v>#REF!</v>
      </c>
      <c r="AJ115" t="str">
        <f>AND(#REF!,"AAAAADtefyM=")</f>
        <v>#REF!</v>
      </c>
      <c r="AK115" t="str">
        <f>AND(#REF!,"AAAAADtefyQ=")</f>
        <v>#REF!</v>
      </c>
      <c r="AL115" t="str">
        <f>AND(#REF!,"AAAAADtefyU=")</f>
        <v>#REF!</v>
      </c>
      <c r="AM115" t="str">
        <f>AND(#REF!,"AAAAADtefyY=")</f>
        <v>#REF!</v>
      </c>
      <c r="AN115" t="str">
        <f>AND(#REF!,"AAAAADtefyc=")</f>
        <v>#REF!</v>
      </c>
      <c r="AO115" t="str">
        <f>AND(#REF!,"AAAAADtefyg=")</f>
        <v>#REF!</v>
      </c>
      <c r="AP115" t="str">
        <f>AND(#REF!,"AAAAADtefyk=")</f>
        <v>#REF!</v>
      </c>
      <c r="AQ115" t="str">
        <f>AND(#REF!,"AAAAADtefyo=")</f>
        <v>#REF!</v>
      </c>
      <c r="AR115" t="str">
        <f>AND(#REF!,"AAAAADtefys=")</f>
        <v>#REF!</v>
      </c>
      <c r="AS115" t="str">
        <f>AND(#REF!,"AAAAADtefyw=")</f>
        <v>#REF!</v>
      </c>
      <c r="AT115" t="str">
        <f>AND(#REF!,"AAAAADtefy0=")</f>
        <v>#REF!</v>
      </c>
      <c r="AU115" t="str">
        <f>AND(#REF!,"AAAAADtefy4=")</f>
        <v>#REF!</v>
      </c>
      <c r="AV115" t="str">
        <f>AND(#REF!,"AAAAADtefy8=")</f>
        <v>#REF!</v>
      </c>
      <c r="AW115" t="str">
        <f>AND(#REF!,"AAAAADtefzA=")</f>
        <v>#REF!</v>
      </c>
      <c r="AX115" t="str">
        <f>AND(#REF!,"AAAAADtefzE=")</f>
        <v>#REF!</v>
      </c>
      <c r="AY115" t="str">
        <f>AND(#REF!,"AAAAADtefzI=")</f>
        <v>#REF!</v>
      </c>
      <c r="AZ115" t="str">
        <f>AND(#REF!,"AAAAADtefzM=")</f>
        <v>#REF!</v>
      </c>
      <c r="BA115" t="str">
        <f>AND(#REF!,"AAAAADtefzQ=")</f>
        <v>#REF!</v>
      </c>
      <c r="BB115" t="str">
        <f>AND(#REF!,"AAAAADtefzU=")</f>
        <v>#REF!</v>
      </c>
      <c r="BC115" t="str">
        <f>AND(#REF!,"AAAAADtefzY=")</f>
        <v>#REF!</v>
      </c>
      <c r="BD115" t="str">
        <f>AND(#REF!,"AAAAADtefzc=")</f>
        <v>#REF!</v>
      </c>
      <c r="BE115" t="str">
        <f>AND(#REF!,"AAAAADtefzg=")</f>
        <v>#REF!</v>
      </c>
      <c r="BF115" t="str">
        <f>AND(#REF!,"AAAAADtefzk=")</f>
        <v>#REF!</v>
      </c>
      <c r="BG115" t="str">
        <f>AND(#REF!,"AAAAADtefzo=")</f>
        <v>#REF!</v>
      </c>
      <c r="BH115" t="str">
        <f>AND(#REF!,"AAAAADtefzs=")</f>
        <v>#REF!</v>
      </c>
      <c r="BI115" t="str">
        <f>AND(#REF!,"AAAAADtefzw=")</f>
        <v>#REF!</v>
      </c>
      <c r="BJ115" t="str">
        <f>AND(#REF!,"AAAAADtefz0=")</f>
        <v>#REF!</v>
      </c>
      <c r="BK115" t="str">
        <f>IF(#REF!,"AAAAADtefz4=",0)</f>
        <v>#REF!</v>
      </c>
      <c r="BL115" t="str">
        <f>AND(#REF!,"AAAAADtefz8=")</f>
        <v>#REF!</v>
      </c>
      <c r="BM115" t="str">
        <f>AND(#REF!,"AAAAADtef0A=")</f>
        <v>#REF!</v>
      </c>
      <c r="BN115" t="str">
        <f>AND(#REF!,"AAAAADtef0E=")</f>
        <v>#REF!</v>
      </c>
      <c r="BO115" t="str">
        <f>AND(#REF!,"AAAAADtef0I=")</f>
        <v>#REF!</v>
      </c>
      <c r="BP115" t="str">
        <f>AND(#REF!,"AAAAADtef0M=")</f>
        <v>#REF!</v>
      </c>
      <c r="BQ115" t="str">
        <f>AND(#REF!,"AAAAADtef0Q=")</f>
        <v>#REF!</v>
      </c>
      <c r="BR115" t="str">
        <f>AND(#REF!,"AAAAADtef0U=")</f>
        <v>#REF!</v>
      </c>
      <c r="BS115" t="str">
        <f>AND(#REF!,"AAAAADtef0Y=")</f>
        <v>#REF!</v>
      </c>
      <c r="BT115" t="str">
        <f>AND(#REF!,"AAAAADtef0c=")</f>
        <v>#REF!</v>
      </c>
      <c r="BU115" t="str">
        <f>AND(#REF!,"AAAAADtef0g=")</f>
        <v>#REF!</v>
      </c>
      <c r="BV115" t="str">
        <f>AND(#REF!,"AAAAADtef0k=")</f>
        <v>#REF!</v>
      </c>
      <c r="BW115" t="str">
        <f>AND(#REF!,"AAAAADtef0o=")</f>
        <v>#REF!</v>
      </c>
      <c r="BX115" t="str">
        <f>AND(#REF!,"AAAAADtef0s=")</f>
        <v>#REF!</v>
      </c>
      <c r="BY115" t="str">
        <f>AND(#REF!,"AAAAADtef0w=")</f>
        <v>#REF!</v>
      </c>
      <c r="BZ115" t="str">
        <f>AND(#REF!,"AAAAADtef00=")</f>
        <v>#REF!</v>
      </c>
      <c r="CA115" t="str">
        <f>AND(#REF!,"AAAAADtef04=")</f>
        <v>#REF!</v>
      </c>
      <c r="CB115" t="str">
        <f>AND(#REF!,"AAAAADtef08=")</f>
        <v>#REF!</v>
      </c>
      <c r="CC115" t="str">
        <f>AND(#REF!,"AAAAADtef1A=")</f>
        <v>#REF!</v>
      </c>
      <c r="CD115" t="str">
        <f>AND(#REF!,"AAAAADtef1E=")</f>
        <v>#REF!</v>
      </c>
      <c r="CE115" t="str">
        <f>AND(#REF!,"AAAAADtef1I=")</f>
        <v>#REF!</v>
      </c>
      <c r="CF115" t="str">
        <f>AND(#REF!,"AAAAADtef1M=")</f>
        <v>#REF!</v>
      </c>
      <c r="CG115" t="str">
        <f>AND(#REF!,"AAAAADtef1Q=")</f>
        <v>#REF!</v>
      </c>
      <c r="CH115" t="str">
        <f>AND(#REF!,"AAAAADtef1U=")</f>
        <v>#REF!</v>
      </c>
      <c r="CI115" t="str">
        <f>AND(#REF!,"AAAAADtef1Y=")</f>
        <v>#REF!</v>
      </c>
      <c r="CJ115" t="str">
        <f>AND(#REF!,"AAAAADtef1c=")</f>
        <v>#REF!</v>
      </c>
      <c r="CK115" t="str">
        <f>AND(#REF!,"AAAAADtef1g=")</f>
        <v>#REF!</v>
      </c>
      <c r="CL115" t="str">
        <f>AND(#REF!,"AAAAADtef1k=")</f>
        <v>#REF!</v>
      </c>
      <c r="CM115" t="str">
        <f>AND(#REF!,"AAAAADtef1o=")</f>
        <v>#REF!</v>
      </c>
      <c r="CN115" t="str">
        <f>AND(#REF!,"AAAAADtef1s=")</f>
        <v>#REF!</v>
      </c>
      <c r="CO115" t="str">
        <f>AND(#REF!,"AAAAADtef1w=")</f>
        <v>#REF!</v>
      </c>
      <c r="CP115" t="str">
        <f>AND(#REF!,"AAAAADtef10=")</f>
        <v>#REF!</v>
      </c>
      <c r="CQ115" t="str">
        <f>AND(#REF!,"AAAAADtef14=")</f>
        <v>#REF!</v>
      </c>
      <c r="CR115" t="str">
        <f>AND(#REF!,"AAAAADtef18=")</f>
        <v>#REF!</v>
      </c>
      <c r="CS115" t="str">
        <f>AND(#REF!,"AAAAADtef2A=")</f>
        <v>#REF!</v>
      </c>
      <c r="CT115" t="str">
        <f>AND(#REF!,"AAAAADtef2E=")</f>
        <v>#REF!</v>
      </c>
      <c r="CU115" t="str">
        <f>AND(#REF!,"AAAAADtef2I=")</f>
        <v>#REF!</v>
      </c>
      <c r="CV115" t="str">
        <f>AND(#REF!,"AAAAADtef2M=")</f>
        <v>#REF!</v>
      </c>
      <c r="CW115" t="str">
        <f>AND(#REF!,"AAAAADtef2Q=")</f>
        <v>#REF!</v>
      </c>
      <c r="CX115" t="str">
        <f>AND(#REF!,"AAAAADtef2U=")</f>
        <v>#REF!</v>
      </c>
      <c r="CY115" t="str">
        <f>AND(#REF!,"AAAAADtef2Y=")</f>
        <v>#REF!</v>
      </c>
      <c r="CZ115" t="str">
        <f>AND(#REF!,"AAAAADtef2c=")</f>
        <v>#REF!</v>
      </c>
      <c r="DA115" t="str">
        <f>AND(#REF!,"AAAAADtef2g=")</f>
        <v>#REF!</v>
      </c>
      <c r="DB115" t="str">
        <f>AND(#REF!,"AAAAADtef2k=")</f>
        <v>#REF!</v>
      </c>
      <c r="DC115" t="str">
        <f>AND(#REF!,"AAAAADtef2o=")</f>
        <v>#REF!</v>
      </c>
      <c r="DD115" t="str">
        <f>AND(#REF!,"AAAAADtef2s=")</f>
        <v>#REF!</v>
      </c>
      <c r="DE115" t="str">
        <f>AND(#REF!,"AAAAADtef2w=")</f>
        <v>#REF!</v>
      </c>
      <c r="DF115" t="str">
        <f>AND(#REF!,"AAAAADtef20=")</f>
        <v>#REF!</v>
      </c>
      <c r="DG115" t="str">
        <f>AND(#REF!,"AAAAADtef24=")</f>
        <v>#REF!</v>
      </c>
      <c r="DH115" t="str">
        <f>AND(#REF!,"AAAAADtef28=")</f>
        <v>#REF!</v>
      </c>
      <c r="DI115" t="str">
        <f>AND(#REF!,"AAAAADtef3A=")</f>
        <v>#REF!</v>
      </c>
      <c r="DJ115" t="str">
        <f>AND(#REF!,"AAAAADtef3E=")</f>
        <v>#REF!</v>
      </c>
      <c r="DK115" t="str">
        <f>AND(#REF!,"AAAAADtef3I=")</f>
        <v>#REF!</v>
      </c>
      <c r="DL115" t="str">
        <f>AND(#REF!,"AAAAADtef3M=")</f>
        <v>#REF!</v>
      </c>
      <c r="DM115" t="str">
        <f>AND(#REF!,"AAAAADtef3Q=")</f>
        <v>#REF!</v>
      </c>
      <c r="DN115" t="str">
        <f>AND(#REF!,"AAAAADtef3U=")</f>
        <v>#REF!</v>
      </c>
      <c r="DO115" t="str">
        <f>AND(#REF!,"AAAAADtef3Y=")</f>
        <v>#REF!</v>
      </c>
      <c r="DP115" t="str">
        <f>AND(#REF!,"AAAAADtef3c=")</f>
        <v>#REF!</v>
      </c>
      <c r="DQ115" t="str">
        <f>AND(#REF!,"AAAAADtef3g=")</f>
        <v>#REF!</v>
      </c>
      <c r="DR115" t="str">
        <f>AND(#REF!,"AAAAADtef3k=")</f>
        <v>#REF!</v>
      </c>
      <c r="DS115" t="str">
        <f>AND(#REF!,"AAAAADtef3o=")</f>
        <v>#REF!</v>
      </c>
      <c r="DT115" t="str">
        <f>AND(#REF!,"AAAAADtef3s=")</f>
        <v>#REF!</v>
      </c>
      <c r="DU115" t="str">
        <f>AND(#REF!,"AAAAADtef3w=")</f>
        <v>#REF!</v>
      </c>
      <c r="DV115" t="str">
        <f>AND(#REF!,"AAAAADtef30=")</f>
        <v>#REF!</v>
      </c>
      <c r="DW115" t="str">
        <f>AND(#REF!,"AAAAADtef34=")</f>
        <v>#REF!</v>
      </c>
      <c r="DX115" t="str">
        <f>AND(#REF!,"AAAAADtef38=")</f>
        <v>#REF!</v>
      </c>
      <c r="DY115" t="str">
        <f>AND(#REF!,"AAAAADtef4A=")</f>
        <v>#REF!</v>
      </c>
      <c r="DZ115" t="str">
        <f>AND(#REF!,"AAAAADtef4E=")</f>
        <v>#REF!</v>
      </c>
      <c r="EA115" t="str">
        <f>AND(#REF!,"AAAAADtef4I=")</f>
        <v>#REF!</v>
      </c>
      <c r="EB115" t="str">
        <f>AND(#REF!,"AAAAADtef4M=")</f>
        <v>#REF!</v>
      </c>
      <c r="EC115" t="str">
        <f>AND(#REF!,"AAAAADtef4Q=")</f>
        <v>#REF!</v>
      </c>
      <c r="ED115" t="str">
        <f>AND(#REF!,"AAAAADtef4U=")</f>
        <v>#REF!</v>
      </c>
      <c r="EE115" t="str">
        <f>AND(#REF!,"AAAAADtef4Y=")</f>
        <v>#REF!</v>
      </c>
      <c r="EF115" t="str">
        <f>AND(#REF!,"AAAAADtef4c=")</f>
        <v>#REF!</v>
      </c>
      <c r="EG115" t="str">
        <f>AND(#REF!,"AAAAADtef4g=")</f>
        <v>#REF!</v>
      </c>
      <c r="EH115" t="str">
        <f>AND(#REF!,"AAAAADtef4k=")</f>
        <v>#REF!</v>
      </c>
      <c r="EI115" t="str">
        <f>IF(#REF!,"AAAAADtef4o=",0)</f>
        <v>#REF!</v>
      </c>
      <c r="EJ115" t="str">
        <f>AND(#REF!,"AAAAADtef4s=")</f>
        <v>#REF!</v>
      </c>
      <c r="EK115" t="str">
        <f>AND(#REF!,"AAAAADtef4w=")</f>
        <v>#REF!</v>
      </c>
      <c r="EL115" t="str">
        <f>AND(#REF!,"AAAAADtef40=")</f>
        <v>#REF!</v>
      </c>
      <c r="EM115" t="str">
        <f>AND(#REF!,"AAAAADtef44=")</f>
        <v>#REF!</v>
      </c>
      <c r="EN115" t="str">
        <f>AND(#REF!,"AAAAADtef48=")</f>
        <v>#REF!</v>
      </c>
      <c r="EO115" t="str">
        <f>AND(#REF!,"AAAAADtef5A=")</f>
        <v>#REF!</v>
      </c>
      <c r="EP115" t="str">
        <f>AND(#REF!,"AAAAADtef5E=")</f>
        <v>#REF!</v>
      </c>
      <c r="EQ115" t="str">
        <f>AND(#REF!,"AAAAADtef5I=")</f>
        <v>#REF!</v>
      </c>
      <c r="ER115" t="str">
        <f>AND(#REF!,"AAAAADtef5M=")</f>
        <v>#REF!</v>
      </c>
      <c r="ES115" t="str">
        <f>AND(#REF!,"AAAAADtef5Q=")</f>
        <v>#REF!</v>
      </c>
      <c r="ET115" t="str">
        <f>AND(#REF!,"AAAAADtef5U=")</f>
        <v>#REF!</v>
      </c>
      <c r="EU115" t="str">
        <f>AND(#REF!,"AAAAADtef5Y=")</f>
        <v>#REF!</v>
      </c>
      <c r="EV115" t="str">
        <f>AND(#REF!,"AAAAADtef5c=")</f>
        <v>#REF!</v>
      </c>
      <c r="EW115" t="str">
        <f>AND(#REF!,"AAAAADtef5g=")</f>
        <v>#REF!</v>
      </c>
      <c r="EX115" t="str">
        <f>AND(#REF!,"AAAAADtef5k=")</f>
        <v>#REF!</v>
      </c>
      <c r="EY115" t="str">
        <f>AND(#REF!,"AAAAADtef5o=")</f>
        <v>#REF!</v>
      </c>
      <c r="EZ115" t="str">
        <f>AND(#REF!,"AAAAADtef5s=")</f>
        <v>#REF!</v>
      </c>
      <c r="FA115" t="str">
        <f>AND(#REF!,"AAAAADtef5w=")</f>
        <v>#REF!</v>
      </c>
      <c r="FB115" t="str">
        <f>AND(#REF!,"AAAAADtef50=")</f>
        <v>#REF!</v>
      </c>
      <c r="FC115" t="str">
        <f>AND(#REF!,"AAAAADtef54=")</f>
        <v>#REF!</v>
      </c>
      <c r="FD115" t="str">
        <f>AND(#REF!,"AAAAADtef58=")</f>
        <v>#REF!</v>
      </c>
      <c r="FE115" t="str">
        <f>AND(#REF!,"AAAAADtef6A=")</f>
        <v>#REF!</v>
      </c>
      <c r="FF115" t="str">
        <f>AND(#REF!,"AAAAADtef6E=")</f>
        <v>#REF!</v>
      </c>
      <c r="FG115" t="str">
        <f>AND(#REF!,"AAAAADtef6I=")</f>
        <v>#REF!</v>
      </c>
      <c r="FH115" t="str">
        <f>AND(#REF!,"AAAAADtef6M=")</f>
        <v>#REF!</v>
      </c>
      <c r="FI115" t="str">
        <f>AND(#REF!,"AAAAADtef6Q=")</f>
        <v>#REF!</v>
      </c>
      <c r="FJ115" t="str">
        <f>AND(#REF!,"AAAAADtef6U=")</f>
        <v>#REF!</v>
      </c>
      <c r="FK115" t="str">
        <f>AND(#REF!,"AAAAADtef6Y=")</f>
        <v>#REF!</v>
      </c>
      <c r="FL115" t="str">
        <f>AND(#REF!,"AAAAADtef6c=")</f>
        <v>#REF!</v>
      </c>
      <c r="FM115" t="str">
        <f>AND(#REF!,"AAAAADtef6g=")</f>
        <v>#REF!</v>
      </c>
      <c r="FN115" t="str">
        <f>AND(#REF!,"AAAAADtef6k=")</f>
        <v>#REF!</v>
      </c>
      <c r="FO115" t="str">
        <f>AND(#REF!,"AAAAADtef6o=")</f>
        <v>#REF!</v>
      </c>
      <c r="FP115" t="str">
        <f>AND(#REF!,"AAAAADtef6s=")</f>
        <v>#REF!</v>
      </c>
      <c r="FQ115" t="str">
        <f>AND(#REF!,"AAAAADtef6w=")</f>
        <v>#REF!</v>
      </c>
      <c r="FR115" t="str">
        <f>AND(#REF!,"AAAAADtef60=")</f>
        <v>#REF!</v>
      </c>
      <c r="FS115" t="str">
        <f>AND(#REF!,"AAAAADtef64=")</f>
        <v>#REF!</v>
      </c>
      <c r="FT115" t="str">
        <f>AND(#REF!,"AAAAADtef68=")</f>
        <v>#REF!</v>
      </c>
      <c r="FU115" t="str">
        <f>AND(#REF!,"AAAAADtef7A=")</f>
        <v>#REF!</v>
      </c>
      <c r="FV115" t="str">
        <f>AND(#REF!,"AAAAADtef7E=")</f>
        <v>#REF!</v>
      </c>
      <c r="FW115" t="str">
        <f>AND(#REF!,"AAAAADtef7I=")</f>
        <v>#REF!</v>
      </c>
      <c r="FX115" t="str">
        <f>AND(#REF!,"AAAAADtef7M=")</f>
        <v>#REF!</v>
      </c>
      <c r="FY115" t="str">
        <f>AND(#REF!,"AAAAADtef7Q=")</f>
        <v>#REF!</v>
      </c>
      <c r="FZ115" t="str">
        <f>AND(#REF!,"AAAAADtef7U=")</f>
        <v>#REF!</v>
      </c>
      <c r="GA115" t="str">
        <f>AND(#REF!,"AAAAADtef7Y=")</f>
        <v>#REF!</v>
      </c>
      <c r="GB115" t="str">
        <f>AND(#REF!,"AAAAADtef7c=")</f>
        <v>#REF!</v>
      </c>
      <c r="GC115" t="str">
        <f>AND(#REF!,"AAAAADtef7g=")</f>
        <v>#REF!</v>
      </c>
      <c r="GD115" t="str">
        <f>AND(#REF!,"AAAAADtef7k=")</f>
        <v>#REF!</v>
      </c>
      <c r="GE115" t="str">
        <f>AND(#REF!,"AAAAADtef7o=")</f>
        <v>#REF!</v>
      </c>
      <c r="GF115" t="str">
        <f>AND(#REF!,"AAAAADtef7s=")</f>
        <v>#REF!</v>
      </c>
      <c r="GG115" t="str">
        <f>AND(#REF!,"AAAAADtef7w=")</f>
        <v>#REF!</v>
      </c>
      <c r="GH115" t="str">
        <f>AND(#REF!,"AAAAADtef70=")</f>
        <v>#REF!</v>
      </c>
      <c r="GI115" t="str">
        <f>AND(#REF!,"AAAAADtef74=")</f>
        <v>#REF!</v>
      </c>
      <c r="GJ115" t="str">
        <f>AND(#REF!,"AAAAADtef78=")</f>
        <v>#REF!</v>
      </c>
      <c r="GK115" t="str">
        <f>AND(#REF!,"AAAAADtef8A=")</f>
        <v>#REF!</v>
      </c>
      <c r="GL115" t="str">
        <f>AND(#REF!,"AAAAADtef8E=")</f>
        <v>#REF!</v>
      </c>
      <c r="GM115" t="str">
        <f>AND(#REF!,"AAAAADtef8I=")</f>
        <v>#REF!</v>
      </c>
      <c r="GN115" t="str">
        <f>AND(#REF!,"AAAAADtef8M=")</f>
        <v>#REF!</v>
      </c>
      <c r="GO115" t="str">
        <f>AND(#REF!,"AAAAADtef8Q=")</f>
        <v>#REF!</v>
      </c>
      <c r="GP115" t="str">
        <f>AND(#REF!,"AAAAADtef8U=")</f>
        <v>#REF!</v>
      </c>
      <c r="GQ115" t="str">
        <f>AND(#REF!,"AAAAADtef8Y=")</f>
        <v>#REF!</v>
      </c>
      <c r="GR115" t="str">
        <f>AND(#REF!,"AAAAADtef8c=")</f>
        <v>#REF!</v>
      </c>
      <c r="GS115" t="str">
        <f>AND(#REF!,"AAAAADtef8g=")</f>
        <v>#REF!</v>
      </c>
      <c r="GT115" t="str">
        <f>AND(#REF!,"AAAAADtef8k=")</f>
        <v>#REF!</v>
      </c>
      <c r="GU115" t="str">
        <f>AND(#REF!,"AAAAADtef8o=")</f>
        <v>#REF!</v>
      </c>
      <c r="GV115" t="str">
        <f>AND(#REF!,"AAAAADtef8s=")</f>
        <v>#REF!</v>
      </c>
      <c r="GW115" t="str">
        <f>AND(#REF!,"AAAAADtef8w=")</f>
        <v>#REF!</v>
      </c>
      <c r="GX115" t="str">
        <f>AND(#REF!,"AAAAADtef80=")</f>
        <v>#REF!</v>
      </c>
      <c r="GY115" t="str">
        <f>AND(#REF!,"AAAAADtef84=")</f>
        <v>#REF!</v>
      </c>
      <c r="GZ115" t="str">
        <f>AND(#REF!,"AAAAADtef88=")</f>
        <v>#REF!</v>
      </c>
      <c r="HA115" t="str">
        <f>AND(#REF!,"AAAAADtef9A=")</f>
        <v>#REF!</v>
      </c>
      <c r="HB115" t="str">
        <f>AND(#REF!,"AAAAADtef9E=")</f>
        <v>#REF!</v>
      </c>
      <c r="HC115" t="str">
        <f>AND(#REF!,"AAAAADtef9I=")</f>
        <v>#REF!</v>
      </c>
      <c r="HD115" t="str">
        <f>AND(#REF!,"AAAAADtef9M=")</f>
        <v>#REF!</v>
      </c>
      <c r="HE115" t="str">
        <f>AND(#REF!,"AAAAADtef9Q=")</f>
        <v>#REF!</v>
      </c>
      <c r="HF115" t="str">
        <f>AND(#REF!,"AAAAADtef9U=")</f>
        <v>#REF!</v>
      </c>
      <c r="HG115" t="str">
        <f>IF(#REF!,"AAAAADtef9Y=",0)</f>
        <v>#REF!</v>
      </c>
      <c r="HH115" t="str">
        <f>AND(#REF!,"AAAAADtef9c=")</f>
        <v>#REF!</v>
      </c>
      <c r="HI115" t="str">
        <f>AND(#REF!,"AAAAADtef9g=")</f>
        <v>#REF!</v>
      </c>
      <c r="HJ115" t="str">
        <f>AND(#REF!,"AAAAADtef9k=")</f>
        <v>#REF!</v>
      </c>
      <c r="HK115" t="str">
        <f>AND(#REF!,"AAAAADtef9o=")</f>
        <v>#REF!</v>
      </c>
      <c r="HL115" t="str">
        <f>AND(#REF!,"AAAAADtef9s=")</f>
        <v>#REF!</v>
      </c>
      <c r="HM115" t="str">
        <f>AND(#REF!,"AAAAADtef9w=")</f>
        <v>#REF!</v>
      </c>
      <c r="HN115" t="str">
        <f>AND(#REF!,"AAAAADtef90=")</f>
        <v>#REF!</v>
      </c>
      <c r="HO115" t="str">
        <f>AND(#REF!,"AAAAADtef94=")</f>
        <v>#REF!</v>
      </c>
      <c r="HP115" t="str">
        <f>AND(#REF!,"AAAAADtef98=")</f>
        <v>#REF!</v>
      </c>
      <c r="HQ115" t="str">
        <f>AND(#REF!,"AAAAADtef+A=")</f>
        <v>#REF!</v>
      </c>
      <c r="HR115" t="str">
        <f>AND(#REF!,"AAAAADtef+E=")</f>
        <v>#REF!</v>
      </c>
      <c r="HS115" t="str">
        <f>AND(#REF!,"AAAAADtef+I=")</f>
        <v>#REF!</v>
      </c>
      <c r="HT115" t="str">
        <f>AND(#REF!,"AAAAADtef+M=")</f>
        <v>#REF!</v>
      </c>
      <c r="HU115" t="str">
        <f>AND(#REF!,"AAAAADtef+Q=")</f>
        <v>#REF!</v>
      </c>
      <c r="HV115" t="str">
        <f>AND(#REF!,"AAAAADtef+U=")</f>
        <v>#REF!</v>
      </c>
      <c r="HW115" t="str">
        <f>AND(#REF!,"AAAAADtef+Y=")</f>
        <v>#REF!</v>
      </c>
      <c r="HX115" t="str">
        <f>AND(#REF!,"AAAAADtef+c=")</f>
        <v>#REF!</v>
      </c>
      <c r="HY115" t="str">
        <f>AND(#REF!,"AAAAADtef+g=")</f>
        <v>#REF!</v>
      </c>
      <c r="HZ115" t="str">
        <f>AND(#REF!,"AAAAADtef+k=")</f>
        <v>#REF!</v>
      </c>
      <c r="IA115" t="str">
        <f>AND(#REF!,"AAAAADtef+o=")</f>
        <v>#REF!</v>
      </c>
      <c r="IB115" t="str">
        <f>AND(#REF!,"AAAAADtef+s=")</f>
        <v>#REF!</v>
      </c>
      <c r="IC115" t="str">
        <f>AND(#REF!,"AAAAADtef+w=")</f>
        <v>#REF!</v>
      </c>
      <c r="ID115" t="str">
        <f>AND(#REF!,"AAAAADtef+0=")</f>
        <v>#REF!</v>
      </c>
      <c r="IE115" t="str">
        <f>AND(#REF!,"AAAAADtef+4=")</f>
        <v>#REF!</v>
      </c>
      <c r="IF115" t="str">
        <f>AND(#REF!,"AAAAADtef+8=")</f>
        <v>#REF!</v>
      </c>
      <c r="IG115" t="str">
        <f>AND(#REF!,"AAAAADtef/A=")</f>
        <v>#REF!</v>
      </c>
      <c r="IH115" t="str">
        <f>AND(#REF!,"AAAAADtef/E=")</f>
        <v>#REF!</v>
      </c>
      <c r="II115" t="str">
        <f>AND(#REF!,"AAAAADtef/I=")</f>
        <v>#REF!</v>
      </c>
      <c r="IJ115" t="str">
        <f>AND(#REF!,"AAAAADtef/M=")</f>
        <v>#REF!</v>
      </c>
      <c r="IK115" t="str">
        <f>AND(#REF!,"AAAAADtef/Q=")</f>
        <v>#REF!</v>
      </c>
      <c r="IL115" t="str">
        <f>AND(#REF!,"AAAAADtef/U=")</f>
        <v>#REF!</v>
      </c>
      <c r="IM115" t="str">
        <f>AND(#REF!,"AAAAADtef/Y=")</f>
        <v>#REF!</v>
      </c>
      <c r="IN115" t="str">
        <f>AND(#REF!,"AAAAADtef/c=")</f>
        <v>#REF!</v>
      </c>
      <c r="IO115" t="str">
        <f>AND(#REF!,"AAAAADtef/g=")</f>
        <v>#REF!</v>
      </c>
      <c r="IP115" t="str">
        <f>AND(#REF!,"AAAAADtef/k=")</f>
        <v>#REF!</v>
      </c>
      <c r="IQ115" t="str">
        <f>AND(#REF!,"AAAAADtef/o=")</f>
        <v>#REF!</v>
      </c>
      <c r="IR115" t="str">
        <f>AND(#REF!,"AAAAADtef/s=")</f>
        <v>#REF!</v>
      </c>
      <c r="IS115" t="str">
        <f>AND(#REF!,"AAAAADtef/w=")</f>
        <v>#REF!</v>
      </c>
      <c r="IT115" t="str">
        <f>AND(#REF!,"AAAAADtef/0=")</f>
        <v>#REF!</v>
      </c>
      <c r="IU115" t="str">
        <f>AND(#REF!,"AAAAADtef/4=")</f>
        <v>#REF!</v>
      </c>
      <c r="IV115" t="str">
        <f>AND(#REF!,"AAAAADtef/8=")</f>
        <v>#REF!</v>
      </c>
    </row>
    <row r="116" ht="15.75" customHeight="1">
      <c r="A116" t="str">
        <f>AND(#REF!,"AAAAAF/d9gA=")</f>
        <v>#REF!</v>
      </c>
      <c r="B116" t="str">
        <f>AND(#REF!,"AAAAAF/d9gE=")</f>
        <v>#REF!</v>
      </c>
      <c r="C116" t="str">
        <f>AND(#REF!,"AAAAAF/d9gI=")</f>
        <v>#REF!</v>
      </c>
      <c r="D116" t="str">
        <f>AND(#REF!,"AAAAAF/d9gM=")</f>
        <v>#REF!</v>
      </c>
      <c r="E116" t="str">
        <f>AND(#REF!,"AAAAAF/d9gQ=")</f>
        <v>#REF!</v>
      </c>
      <c r="F116" t="str">
        <f>AND(#REF!,"AAAAAF/d9gU=")</f>
        <v>#REF!</v>
      </c>
      <c r="G116" t="str">
        <f>AND(#REF!,"AAAAAF/d9gY=")</f>
        <v>#REF!</v>
      </c>
      <c r="H116" t="str">
        <f>AND(#REF!,"AAAAAF/d9gc=")</f>
        <v>#REF!</v>
      </c>
      <c r="I116" t="str">
        <f>AND(#REF!,"AAAAAF/d9gg=")</f>
        <v>#REF!</v>
      </c>
      <c r="J116" t="str">
        <f>AND(#REF!,"AAAAAF/d9gk=")</f>
        <v>#REF!</v>
      </c>
      <c r="K116" t="str">
        <f>AND(#REF!,"AAAAAF/d9go=")</f>
        <v>#REF!</v>
      </c>
      <c r="L116" t="str">
        <f>AND(#REF!,"AAAAAF/d9gs=")</f>
        <v>#REF!</v>
      </c>
      <c r="M116" t="str">
        <f>AND(#REF!,"AAAAAF/d9gw=")</f>
        <v>#REF!</v>
      </c>
      <c r="N116" t="str">
        <f>AND(#REF!,"AAAAAF/d9g0=")</f>
        <v>#REF!</v>
      </c>
      <c r="O116" t="str">
        <f>AND(#REF!,"AAAAAF/d9g4=")</f>
        <v>#REF!</v>
      </c>
      <c r="P116" t="str">
        <f>AND(#REF!,"AAAAAF/d9g8=")</f>
        <v>#REF!</v>
      </c>
      <c r="Q116" t="str">
        <f>AND(#REF!,"AAAAAF/d9hA=")</f>
        <v>#REF!</v>
      </c>
      <c r="R116" t="str">
        <f>AND(#REF!,"AAAAAF/d9hE=")</f>
        <v>#REF!</v>
      </c>
      <c r="S116" t="str">
        <f>AND(#REF!,"AAAAAF/d9hI=")</f>
        <v>#REF!</v>
      </c>
      <c r="T116" t="str">
        <f>AND(#REF!,"AAAAAF/d9hM=")</f>
        <v>#REF!</v>
      </c>
      <c r="U116" t="str">
        <f>AND(#REF!,"AAAAAF/d9hQ=")</f>
        <v>#REF!</v>
      </c>
      <c r="V116" t="str">
        <f>AND(#REF!,"AAAAAF/d9hU=")</f>
        <v>#REF!</v>
      </c>
      <c r="W116" t="str">
        <f>AND(#REF!,"AAAAAF/d9hY=")</f>
        <v>#REF!</v>
      </c>
      <c r="X116" t="str">
        <f>AND(#REF!,"AAAAAF/d9hc=")</f>
        <v>#REF!</v>
      </c>
      <c r="Y116" t="str">
        <f>AND(#REF!,"AAAAAF/d9hg=")</f>
        <v>#REF!</v>
      </c>
      <c r="Z116" t="str">
        <f>AND(#REF!,"AAAAAF/d9hk=")</f>
        <v>#REF!</v>
      </c>
      <c r="AA116" t="str">
        <f>AND(#REF!,"AAAAAF/d9ho=")</f>
        <v>#REF!</v>
      </c>
      <c r="AB116" t="str">
        <f>AND(#REF!,"AAAAAF/d9hs=")</f>
        <v>#REF!</v>
      </c>
      <c r="AC116" t="str">
        <f>AND(#REF!,"AAAAAF/d9hw=")</f>
        <v>#REF!</v>
      </c>
      <c r="AD116" t="str">
        <f>AND(#REF!,"AAAAAF/d9h0=")</f>
        <v>#REF!</v>
      </c>
      <c r="AE116" t="str">
        <f>AND(#REF!,"AAAAAF/d9h4=")</f>
        <v>#REF!</v>
      </c>
      <c r="AF116" t="str">
        <f>AND(#REF!,"AAAAAF/d9h8=")</f>
        <v>#REF!</v>
      </c>
      <c r="AG116" t="str">
        <f>AND(#REF!,"AAAAAF/d9iA=")</f>
        <v>#REF!</v>
      </c>
      <c r="AH116" t="str">
        <f>AND(#REF!,"AAAAAF/d9iE=")</f>
        <v>#REF!</v>
      </c>
      <c r="AI116" t="str">
        <f>IF(#REF!,"AAAAAF/d9iI=",0)</f>
        <v>#REF!</v>
      </c>
      <c r="AJ116" t="str">
        <f>AND(#REF!,"AAAAAF/d9iM=")</f>
        <v>#REF!</v>
      </c>
      <c r="AK116" t="str">
        <f>AND(#REF!,"AAAAAF/d9iQ=")</f>
        <v>#REF!</v>
      </c>
      <c r="AL116" t="str">
        <f>AND(#REF!,"AAAAAF/d9iU=")</f>
        <v>#REF!</v>
      </c>
      <c r="AM116" t="str">
        <f>AND(#REF!,"AAAAAF/d9iY=")</f>
        <v>#REF!</v>
      </c>
      <c r="AN116" t="str">
        <f>AND(#REF!,"AAAAAF/d9ic=")</f>
        <v>#REF!</v>
      </c>
      <c r="AO116" t="str">
        <f>AND(#REF!,"AAAAAF/d9ig=")</f>
        <v>#REF!</v>
      </c>
      <c r="AP116" t="str">
        <f>AND(#REF!,"AAAAAF/d9ik=")</f>
        <v>#REF!</v>
      </c>
      <c r="AQ116" t="str">
        <f>AND(#REF!,"AAAAAF/d9io=")</f>
        <v>#REF!</v>
      </c>
      <c r="AR116" t="str">
        <f>AND(#REF!,"AAAAAF/d9is=")</f>
        <v>#REF!</v>
      </c>
      <c r="AS116" t="str">
        <f>AND(#REF!,"AAAAAF/d9iw=")</f>
        <v>#REF!</v>
      </c>
      <c r="AT116" t="str">
        <f>AND(#REF!,"AAAAAF/d9i0=")</f>
        <v>#REF!</v>
      </c>
      <c r="AU116" t="str">
        <f>AND(#REF!,"AAAAAF/d9i4=")</f>
        <v>#REF!</v>
      </c>
      <c r="AV116" t="str">
        <f>AND(#REF!,"AAAAAF/d9i8=")</f>
        <v>#REF!</v>
      </c>
      <c r="AW116" t="str">
        <f>AND(#REF!,"AAAAAF/d9jA=")</f>
        <v>#REF!</v>
      </c>
      <c r="AX116" t="str">
        <f>AND(#REF!,"AAAAAF/d9jE=")</f>
        <v>#REF!</v>
      </c>
      <c r="AY116" t="str">
        <f>AND(#REF!,"AAAAAF/d9jI=")</f>
        <v>#REF!</v>
      </c>
      <c r="AZ116" t="str">
        <f>AND(#REF!,"AAAAAF/d9jM=")</f>
        <v>#REF!</v>
      </c>
      <c r="BA116" t="str">
        <f>AND(#REF!,"AAAAAF/d9jQ=")</f>
        <v>#REF!</v>
      </c>
      <c r="BB116" t="str">
        <f>AND(#REF!,"AAAAAF/d9jU=")</f>
        <v>#REF!</v>
      </c>
      <c r="BC116" t="str">
        <f>AND(#REF!,"AAAAAF/d9jY=")</f>
        <v>#REF!</v>
      </c>
      <c r="BD116" t="str">
        <f>AND(#REF!,"AAAAAF/d9jc=")</f>
        <v>#REF!</v>
      </c>
      <c r="BE116" t="str">
        <f>AND(#REF!,"AAAAAF/d9jg=")</f>
        <v>#REF!</v>
      </c>
      <c r="BF116" t="str">
        <f>AND(#REF!,"AAAAAF/d9jk=")</f>
        <v>#REF!</v>
      </c>
      <c r="BG116" t="str">
        <f>AND(#REF!,"AAAAAF/d9jo=")</f>
        <v>#REF!</v>
      </c>
      <c r="BH116" t="str">
        <f>AND(#REF!,"AAAAAF/d9js=")</f>
        <v>#REF!</v>
      </c>
      <c r="BI116" t="str">
        <f>AND(#REF!,"AAAAAF/d9jw=")</f>
        <v>#REF!</v>
      </c>
      <c r="BJ116" t="str">
        <f>AND(#REF!,"AAAAAF/d9j0=")</f>
        <v>#REF!</v>
      </c>
      <c r="BK116" t="str">
        <f>AND(#REF!,"AAAAAF/d9j4=")</f>
        <v>#REF!</v>
      </c>
      <c r="BL116" t="str">
        <f>AND(#REF!,"AAAAAF/d9j8=")</f>
        <v>#REF!</v>
      </c>
      <c r="BM116" t="str">
        <f>AND(#REF!,"AAAAAF/d9kA=")</f>
        <v>#REF!</v>
      </c>
      <c r="BN116" t="str">
        <f>AND(#REF!,"AAAAAF/d9kE=")</f>
        <v>#REF!</v>
      </c>
      <c r="BO116" t="str">
        <f>AND(#REF!,"AAAAAF/d9kI=")</f>
        <v>#REF!</v>
      </c>
      <c r="BP116" t="str">
        <f>AND(#REF!,"AAAAAF/d9kM=")</f>
        <v>#REF!</v>
      </c>
      <c r="BQ116" t="str">
        <f>AND(#REF!,"AAAAAF/d9kQ=")</f>
        <v>#REF!</v>
      </c>
      <c r="BR116" t="str">
        <f>AND(#REF!,"AAAAAF/d9kU=")</f>
        <v>#REF!</v>
      </c>
      <c r="BS116" t="str">
        <f>AND(#REF!,"AAAAAF/d9kY=")</f>
        <v>#REF!</v>
      </c>
      <c r="BT116" t="str">
        <f>AND(#REF!,"AAAAAF/d9kc=")</f>
        <v>#REF!</v>
      </c>
      <c r="BU116" t="str">
        <f>AND(#REF!,"AAAAAF/d9kg=")</f>
        <v>#REF!</v>
      </c>
      <c r="BV116" t="str">
        <f>AND(#REF!,"AAAAAF/d9kk=")</f>
        <v>#REF!</v>
      </c>
      <c r="BW116" t="str">
        <f>AND(#REF!,"AAAAAF/d9ko=")</f>
        <v>#REF!</v>
      </c>
      <c r="BX116" t="str">
        <f>AND(#REF!,"AAAAAF/d9ks=")</f>
        <v>#REF!</v>
      </c>
      <c r="BY116" t="str">
        <f>AND(#REF!,"AAAAAF/d9kw=")</f>
        <v>#REF!</v>
      </c>
      <c r="BZ116" t="str">
        <f>AND(#REF!,"AAAAAF/d9k0=")</f>
        <v>#REF!</v>
      </c>
      <c r="CA116" t="str">
        <f>AND(#REF!,"AAAAAF/d9k4=")</f>
        <v>#REF!</v>
      </c>
      <c r="CB116" t="str">
        <f>AND(#REF!,"AAAAAF/d9k8=")</f>
        <v>#REF!</v>
      </c>
      <c r="CC116" t="str">
        <f>AND(#REF!,"AAAAAF/d9lA=")</f>
        <v>#REF!</v>
      </c>
      <c r="CD116" t="str">
        <f>AND(#REF!,"AAAAAF/d9lE=")</f>
        <v>#REF!</v>
      </c>
      <c r="CE116" t="str">
        <f>AND(#REF!,"AAAAAF/d9lI=")</f>
        <v>#REF!</v>
      </c>
      <c r="CF116" t="str">
        <f>AND(#REF!,"AAAAAF/d9lM=")</f>
        <v>#REF!</v>
      </c>
      <c r="CG116" t="str">
        <f>AND(#REF!,"AAAAAF/d9lQ=")</f>
        <v>#REF!</v>
      </c>
      <c r="CH116" t="str">
        <f>AND(#REF!,"AAAAAF/d9lU=")</f>
        <v>#REF!</v>
      </c>
      <c r="CI116" t="str">
        <f>AND(#REF!,"AAAAAF/d9lY=")</f>
        <v>#REF!</v>
      </c>
      <c r="CJ116" t="str">
        <f>AND(#REF!,"AAAAAF/d9lc=")</f>
        <v>#REF!</v>
      </c>
      <c r="CK116" t="str">
        <f>AND(#REF!,"AAAAAF/d9lg=")</f>
        <v>#REF!</v>
      </c>
      <c r="CL116" t="str">
        <f>AND(#REF!,"AAAAAF/d9lk=")</f>
        <v>#REF!</v>
      </c>
      <c r="CM116" t="str">
        <f>AND(#REF!,"AAAAAF/d9lo=")</f>
        <v>#REF!</v>
      </c>
      <c r="CN116" t="str">
        <f>AND(#REF!,"AAAAAF/d9ls=")</f>
        <v>#REF!</v>
      </c>
      <c r="CO116" t="str">
        <f>AND(#REF!,"AAAAAF/d9lw=")</f>
        <v>#REF!</v>
      </c>
      <c r="CP116" t="str">
        <f>AND(#REF!,"AAAAAF/d9l0=")</f>
        <v>#REF!</v>
      </c>
      <c r="CQ116" t="str">
        <f>AND(#REF!,"AAAAAF/d9l4=")</f>
        <v>#REF!</v>
      </c>
      <c r="CR116" t="str">
        <f>AND(#REF!,"AAAAAF/d9l8=")</f>
        <v>#REF!</v>
      </c>
      <c r="CS116" t="str">
        <f>AND(#REF!,"AAAAAF/d9mA=")</f>
        <v>#REF!</v>
      </c>
      <c r="CT116" t="str">
        <f>AND(#REF!,"AAAAAF/d9mE=")</f>
        <v>#REF!</v>
      </c>
      <c r="CU116" t="str">
        <f>AND(#REF!,"AAAAAF/d9mI=")</f>
        <v>#REF!</v>
      </c>
      <c r="CV116" t="str">
        <f>AND(#REF!,"AAAAAF/d9mM=")</f>
        <v>#REF!</v>
      </c>
      <c r="CW116" t="str">
        <f>AND(#REF!,"AAAAAF/d9mQ=")</f>
        <v>#REF!</v>
      </c>
      <c r="CX116" t="str">
        <f>AND(#REF!,"AAAAAF/d9mU=")</f>
        <v>#REF!</v>
      </c>
      <c r="CY116" t="str">
        <f>AND(#REF!,"AAAAAF/d9mY=")</f>
        <v>#REF!</v>
      </c>
      <c r="CZ116" t="str">
        <f>AND(#REF!,"AAAAAF/d9mc=")</f>
        <v>#REF!</v>
      </c>
      <c r="DA116" t="str">
        <f>AND(#REF!,"AAAAAF/d9mg=")</f>
        <v>#REF!</v>
      </c>
      <c r="DB116" t="str">
        <f>AND(#REF!,"AAAAAF/d9mk=")</f>
        <v>#REF!</v>
      </c>
      <c r="DC116" t="str">
        <f>AND(#REF!,"AAAAAF/d9mo=")</f>
        <v>#REF!</v>
      </c>
      <c r="DD116" t="str">
        <f>AND(#REF!,"AAAAAF/d9ms=")</f>
        <v>#REF!</v>
      </c>
      <c r="DE116" t="str">
        <f>AND(#REF!,"AAAAAF/d9mw=")</f>
        <v>#REF!</v>
      </c>
      <c r="DF116" t="str">
        <f>AND(#REF!,"AAAAAF/d9m0=")</f>
        <v>#REF!</v>
      </c>
      <c r="DG116" t="str">
        <f>IF(#REF!,"AAAAAF/d9m4=",0)</f>
        <v>#REF!</v>
      </c>
      <c r="DH116" t="str">
        <f>AND(#REF!,"AAAAAF/d9m8=")</f>
        <v>#REF!</v>
      </c>
      <c r="DI116" t="str">
        <f>AND(#REF!,"AAAAAF/d9nA=")</f>
        <v>#REF!</v>
      </c>
      <c r="DJ116" t="str">
        <f>AND(#REF!,"AAAAAF/d9nE=")</f>
        <v>#REF!</v>
      </c>
      <c r="DK116" t="str">
        <f>AND(#REF!,"AAAAAF/d9nI=")</f>
        <v>#REF!</v>
      </c>
      <c r="DL116" t="str">
        <f>AND(#REF!,"AAAAAF/d9nM=")</f>
        <v>#REF!</v>
      </c>
      <c r="DM116" t="str">
        <f>AND(#REF!,"AAAAAF/d9nQ=")</f>
        <v>#REF!</v>
      </c>
      <c r="DN116" t="str">
        <f>AND(#REF!,"AAAAAF/d9nU=")</f>
        <v>#REF!</v>
      </c>
      <c r="DO116" t="str">
        <f>AND(#REF!,"AAAAAF/d9nY=")</f>
        <v>#REF!</v>
      </c>
      <c r="DP116" t="str">
        <f>AND(#REF!,"AAAAAF/d9nc=")</f>
        <v>#REF!</v>
      </c>
      <c r="DQ116" t="str">
        <f>AND(#REF!,"AAAAAF/d9ng=")</f>
        <v>#REF!</v>
      </c>
      <c r="DR116" t="str">
        <f>AND(#REF!,"AAAAAF/d9nk=")</f>
        <v>#REF!</v>
      </c>
      <c r="DS116" t="str">
        <f>AND(#REF!,"AAAAAF/d9no=")</f>
        <v>#REF!</v>
      </c>
      <c r="DT116" t="str">
        <f>AND(#REF!,"AAAAAF/d9ns=")</f>
        <v>#REF!</v>
      </c>
      <c r="DU116" t="str">
        <f>AND(#REF!,"AAAAAF/d9nw=")</f>
        <v>#REF!</v>
      </c>
      <c r="DV116" t="str">
        <f>AND(#REF!,"AAAAAF/d9n0=")</f>
        <v>#REF!</v>
      </c>
      <c r="DW116" t="str">
        <f>AND(#REF!,"AAAAAF/d9n4=")</f>
        <v>#REF!</v>
      </c>
      <c r="DX116" t="str">
        <f>AND(#REF!,"AAAAAF/d9n8=")</f>
        <v>#REF!</v>
      </c>
      <c r="DY116" t="str">
        <f>AND(#REF!,"AAAAAF/d9oA=")</f>
        <v>#REF!</v>
      </c>
      <c r="DZ116" t="str">
        <f>AND(#REF!,"AAAAAF/d9oE=")</f>
        <v>#REF!</v>
      </c>
      <c r="EA116" t="str">
        <f>AND(#REF!,"AAAAAF/d9oI=")</f>
        <v>#REF!</v>
      </c>
      <c r="EB116" t="str">
        <f>AND(#REF!,"AAAAAF/d9oM=")</f>
        <v>#REF!</v>
      </c>
      <c r="EC116" t="str">
        <f>AND(#REF!,"AAAAAF/d9oQ=")</f>
        <v>#REF!</v>
      </c>
      <c r="ED116" t="str">
        <f>AND(#REF!,"AAAAAF/d9oU=")</f>
        <v>#REF!</v>
      </c>
      <c r="EE116" t="str">
        <f>AND(#REF!,"AAAAAF/d9oY=")</f>
        <v>#REF!</v>
      </c>
      <c r="EF116" t="str">
        <f>AND(#REF!,"AAAAAF/d9oc=")</f>
        <v>#REF!</v>
      </c>
      <c r="EG116" t="str">
        <f>AND(#REF!,"AAAAAF/d9og=")</f>
        <v>#REF!</v>
      </c>
      <c r="EH116" t="str">
        <f>AND(#REF!,"AAAAAF/d9ok=")</f>
        <v>#REF!</v>
      </c>
      <c r="EI116" t="str">
        <f>AND(#REF!,"AAAAAF/d9oo=")</f>
        <v>#REF!</v>
      </c>
      <c r="EJ116" t="str">
        <f>AND(#REF!,"AAAAAF/d9os=")</f>
        <v>#REF!</v>
      </c>
      <c r="EK116" t="str">
        <f>AND(#REF!,"AAAAAF/d9ow=")</f>
        <v>#REF!</v>
      </c>
      <c r="EL116" t="str">
        <f>AND(#REF!,"AAAAAF/d9o0=")</f>
        <v>#REF!</v>
      </c>
      <c r="EM116" t="str">
        <f>AND(#REF!,"AAAAAF/d9o4=")</f>
        <v>#REF!</v>
      </c>
      <c r="EN116" t="str">
        <f>AND(#REF!,"AAAAAF/d9o8=")</f>
        <v>#REF!</v>
      </c>
      <c r="EO116" t="str">
        <f>AND(#REF!,"AAAAAF/d9pA=")</f>
        <v>#REF!</v>
      </c>
      <c r="EP116" t="str">
        <f>AND(#REF!,"AAAAAF/d9pE=")</f>
        <v>#REF!</v>
      </c>
      <c r="EQ116" t="str">
        <f>AND(#REF!,"AAAAAF/d9pI=")</f>
        <v>#REF!</v>
      </c>
      <c r="ER116" t="str">
        <f>AND(#REF!,"AAAAAF/d9pM=")</f>
        <v>#REF!</v>
      </c>
      <c r="ES116" t="str">
        <f>AND(#REF!,"AAAAAF/d9pQ=")</f>
        <v>#REF!</v>
      </c>
      <c r="ET116" t="str">
        <f>AND(#REF!,"AAAAAF/d9pU=")</f>
        <v>#REF!</v>
      </c>
      <c r="EU116" t="str">
        <f>AND(#REF!,"AAAAAF/d9pY=")</f>
        <v>#REF!</v>
      </c>
      <c r="EV116" t="str">
        <f>AND(#REF!,"AAAAAF/d9pc=")</f>
        <v>#REF!</v>
      </c>
      <c r="EW116" t="str">
        <f>AND(#REF!,"AAAAAF/d9pg=")</f>
        <v>#REF!</v>
      </c>
      <c r="EX116" t="str">
        <f>AND(#REF!,"AAAAAF/d9pk=")</f>
        <v>#REF!</v>
      </c>
      <c r="EY116" t="str">
        <f>AND(#REF!,"AAAAAF/d9po=")</f>
        <v>#REF!</v>
      </c>
      <c r="EZ116" t="str">
        <f>AND(#REF!,"AAAAAF/d9ps=")</f>
        <v>#REF!</v>
      </c>
      <c r="FA116" t="str">
        <f>AND(#REF!,"AAAAAF/d9pw=")</f>
        <v>#REF!</v>
      </c>
      <c r="FB116" t="str">
        <f>AND(#REF!,"AAAAAF/d9p0=")</f>
        <v>#REF!</v>
      </c>
      <c r="FC116" t="str">
        <f>AND(#REF!,"AAAAAF/d9p4=")</f>
        <v>#REF!</v>
      </c>
      <c r="FD116" t="str">
        <f>AND(#REF!,"AAAAAF/d9p8=")</f>
        <v>#REF!</v>
      </c>
      <c r="FE116" t="str">
        <f>AND(#REF!,"AAAAAF/d9qA=")</f>
        <v>#REF!</v>
      </c>
      <c r="FF116" t="str">
        <f>AND(#REF!,"AAAAAF/d9qE=")</f>
        <v>#REF!</v>
      </c>
      <c r="FG116" t="str">
        <f>AND(#REF!,"AAAAAF/d9qI=")</f>
        <v>#REF!</v>
      </c>
      <c r="FH116" t="str">
        <f>AND(#REF!,"AAAAAF/d9qM=")</f>
        <v>#REF!</v>
      </c>
      <c r="FI116" t="str">
        <f>AND(#REF!,"AAAAAF/d9qQ=")</f>
        <v>#REF!</v>
      </c>
      <c r="FJ116" t="str">
        <f>AND(#REF!,"AAAAAF/d9qU=")</f>
        <v>#REF!</v>
      </c>
      <c r="FK116" t="str">
        <f>AND(#REF!,"AAAAAF/d9qY=")</f>
        <v>#REF!</v>
      </c>
      <c r="FL116" t="str">
        <f>AND(#REF!,"AAAAAF/d9qc=")</f>
        <v>#REF!</v>
      </c>
      <c r="FM116" t="str">
        <f>AND(#REF!,"AAAAAF/d9qg=")</f>
        <v>#REF!</v>
      </c>
      <c r="FN116" t="str">
        <f>AND(#REF!,"AAAAAF/d9qk=")</f>
        <v>#REF!</v>
      </c>
      <c r="FO116" t="str">
        <f>AND(#REF!,"AAAAAF/d9qo=")</f>
        <v>#REF!</v>
      </c>
      <c r="FP116" t="str">
        <f>AND(#REF!,"AAAAAF/d9qs=")</f>
        <v>#REF!</v>
      </c>
      <c r="FQ116" t="str">
        <f>AND(#REF!,"AAAAAF/d9qw=")</f>
        <v>#REF!</v>
      </c>
      <c r="FR116" t="str">
        <f>AND(#REF!,"AAAAAF/d9q0=")</f>
        <v>#REF!</v>
      </c>
      <c r="FS116" t="str">
        <f>AND(#REF!,"AAAAAF/d9q4=")</f>
        <v>#REF!</v>
      </c>
      <c r="FT116" t="str">
        <f>AND(#REF!,"AAAAAF/d9q8=")</f>
        <v>#REF!</v>
      </c>
      <c r="FU116" t="str">
        <f>AND(#REF!,"AAAAAF/d9rA=")</f>
        <v>#REF!</v>
      </c>
      <c r="FV116" t="str">
        <f>AND(#REF!,"AAAAAF/d9rE=")</f>
        <v>#REF!</v>
      </c>
      <c r="FW116" t="str">
        <f>AND(#REF!,"AAAAAF/d9rI=")</f>
        <v>#REF!</v>
      </c>
      <c r="FX116" t="str">
        <f>AND(#REF!,"AAAAAF/d9rM=")</f>
        <v>#REF!</v>
      </c>
      <c r="FY116" t="str">
        <f>AND(#REF!,"AAAAAF/d9rQ=")</f>
        <v>#REF!</v>
      </c>
      <c r="FZ116" t="str">
        <f>AND(#REF!,"AAAAAF/d9rU=")</f>
        <v>#REF!</v>
      </c>
      <c r="GA116" t="str">
        <f>AND(#REF!,"AAAAAF/d9rY=")</f>
        <v>#REF!</v>
      </c>
      <c r="GB116" t="str">
        <f>AND(#REF!,"AAAAAF/d9rc=")</f>
        <v>#REF!</v>
      </c>
      <c r="GC116" t="str">
        <f>AND(#REF!,"AAAAAF/d9rg=")</f>
        <v>#REF!</v>
      </c>
      <c r="GD116" t="str">
        <f>AND(#REF!,"AAAAAF/d9rk=")</f>
        <v>#REF!</v>
      </c>
      <c r="GE116" t="str">
        <f>IF(#REF!,"AAAAAF/d9ro=",0)</f>
        <v>#REF!</v>
      </c>
      <c r="GF116" t="str">
        <f>AND(#REF!,"AAAAAF/d9rs=")</f>
        <v>#REF!</v>
      </c>
      <c r="GG116" t="str">
        <f>AND(#REF!,"AAAAAF/d9rw=")</f>
        <v>#REF!</v>
      </c>
      <c r="GH116" t="str">
        <f>AND(#REF!,"AAAAAF/d9r0=")</f>
        <v>#REF!</v>
      </c>
      <c r="GI116" t="str">
        <f>AND(#REF!,"AAAAAF/d9r4=")</f>
        <v>#REF!</v>
      </c>
      <c r="GJ116" t="str">
        <f>AND(#REF!,"AAAAAF/d9r8=")</f>
        <v>#REF!</v>
      </c>
      <c r="GK116" t="str">
        <f>AND(#REF!,"AAAAAF/d9sA=")</f>
        <v>#REF!</v>
      </c>
      <c r="GL116" t="str">
        <f>AND(#REF!,"AAAAAF/d9sE=")</f>
        <v>#REF!</v>
      </c>
      <c r="GM116" t="str">
        <f>AND(#REF!,"AAAAAF/d9sI=")</f>
        <v>#REF!</v>
      </c>
      <c r="GN116" t="str">
        <f>AND(#REF!,"AAAAAF/d9sM=")</f>
        <v>#REF!</v>
      </c>
      <c r="GO116" t="str">
        <f>AND(#REF!,"AAAAAF/d9sQ=")</f>
        <v>#REF!</v>
      </c>
      <c r="GP116" t="str">
        <f>AND(#REF!,"AAAAAF/d9sU=")</f>
        <v>#REF!</v>
      </c>
      <c r="GQ116" t="str">
        <f>AND(#REF!,"AAAAAF/d9sY=")</f>
        <v>#REF!</v>
      </c>
      <c r="GR116" t="str">
        <f>AND(#REF!,"AAAAAF/d9sc=")</f>
        <v>#REF!</v>
      </c>
      <c r="GS116" t="str">
        <f>AND(#REF!,"AAAAAF/d9sg=")</f>
        <v>#REF!</v>
      </c>
      <c r="GT116" t="str">
        <f>AND(#REF!,"AAAAAF/d9sk=")</f>
        <v>#REF!</v>
      </c>
      <c r="GU116" t="str">
        <f>AND(#REF!,"AAAAAF/d9so=")</f>
        <v>#REF!</v>
      </c>
      <c r="GV116" t="str">
        <f>AND(#REF!,"AAAAAF/d9ss=")</f>
        <v>#REF!</v>
      </c>
      <c r="GW116" t="str">
        <f>AND(#REF!,"AAAAAF/d9sw=")</f>
        <v>#REF!</v>
      </c>
      <c r="GX116" t="str">
        <f>AND(#REF!,"AAAAAF/d9s0=")</f>
        <v>#REF!</v>
      </c>
      <c r="GY116" t="str">
        <f>AND(#REF!,"AAAAAF/d9s4=")</f>
        <v>#REF!</v>
      </c>
      <c r="GZ116" t="str">
        <f>AND(#REF!,"AAAAAF/d9s8=")</f>
        <v>#REF!</v>
      </c>
      <c r="HA116" t="str">
        <f>AND(#REF!,"AAAAAF/d9tA=")</f>
        <v>#REF!</v>
      </c>
      <c r="HB116" t="str">
        <f>AND(#REF!,"AAAAAF/d9tE=")</f>
        <v>#REF!</v>
      </c>
      <c r="HC116" t="str">
        <f>AND(#REF!,"AAAAAF/d9tI=")</f>
        <v>#REF!</v>
      </c>
      <c r="HD116" t="str">
        <f>AND(#REF!,"AAAAAF/d9tM=")</f>
        <v>#REF!</v>
      </c>
      <c r="HE116" t="str">
        <f>AND(#REF!,"AAAAAF/d9tQ=")</f>
        <v>#REF!</v>
      </c>
      <c r="HF116" t="str">
        <f>AND(#REF!,"AAAAAF/d9tU=")</f>
        <v>#REF!</v>
      </c>
      <c r="HG116" t="str">
        <f>AND(#REF!,"AAAAAF/d9tY=")</f>
        <v>#REF!</v>
      </c>
      <c r="HH116" t="str">
        <f>AND(#REF!,"AAAAAF/d9tc=")</f>
        <v>#REF!</v>
      </c>
      <c r="HI116" t="str">
        <f>AND(#REF!,"AAAAAF/d9tg=")</f>
        <v>#REF!</v>
      </c>
      <c r="HJ116" t="str">
        <f>AND(#REF!,"AAAAAF/d9tk=")</f>
        <v>#REF!</v>
      </c>
      <c r="HK116" t="str">
        <f>AND(#REF!,"AAAAAF/d9to=")</f>
        <v>#REF!</v>
      </c>
      <c r="HL116" t="str">
        <f>AND(#REF!,"AAAAAF/d9ts=")</f>
        <v>#REF!</v>
      </c>
      <c r="HM116" t="str">
        <f>AND(#REF!,"AAAAAF/d9tw=")</f>
        <v>#REF!</v>
      </c>
      <c r="HN116" t="str">
        <f>AND(#REF!,"AAAAAF/d9t0=")</f>
        <v>#REF!</v>
      </c>
      <c r="HO116" t="str">
        <f>AND(#REF!,"AAAAAF/d9t4=")</f>
        <v>#REF!</v>
      </c>
      <c r="HP116" t="str">
        <f>AND(#REF!,"AAAAAF/d9t8=")</f>
        <v>#REF!</v>
      </c>
      <c r="HQ116" t="str">
        <f>AND(#REF!,"AAAAAF/d9uA=")</f>
        <v>#REF!</v>
      </c>
      <c r="HR116" t="str">
        <f>AND(#REF!,"AAAAAF/d9uE=")</f>
        <v>#REF!</v>
      </c>
      <c r="HS116" t="str">
        <f>AND(#REF!,"AAAAAF/d9uI=")</f>
        <v>#REF!</v>
      </c>
      <c r="HT116" t="str">
        <f>AND(#REF!,"AAAAAF/d9uM=")</f>
        <v>#REF!</v>
      </c>
      <c r="HU116" t="str">
        <f>AND(#REF!,"AAAAAF/d9uQ=")</f>
        <v>#REF!</v>
      </c>
      <c r="HV116" t="str">
        <f>AND(#REF!,"AAAAAF/d9uU=")</f>
        <v>#REF!</v>
      </c>
      <c r="HW116" t="str">
        <f>AND(#REF!,"AAAAAF/d9uY=")</f>
        <v>#REF!</v>
      </c>
      <c r="HX116" t="str">
        <f>AND(#REF!,"AAAAAF/d9uc=")</f>
        <v>#REF!</v>
      </c>
      <c r="HY116" t="str">
        <f>AND(#REF!,"AAAAAF/d9ug=")</f>
        <v>#REF!</v>
      </c>
      <c r="HZ116" t="str">
        <f>AND(#REF!,"AAAAAF/d9uk=")</f>
        <v>#REF!</v>
      </c>
      <c r="IA116" t="str">
        <f>AND(#REF!,"AAAAAF/d9uo=")</f>
        <v>#REF!</v>
      </c>
      <c r="IB116" t="str">
        <f>AND(#REF!,"AAAAAF/d9us=")</f>
        <v>#REF!</v>
      </c>
      <c r="IC116" t="str">
        <f>AND(#REF!,"AAAAAF/d9uw=")</f>
        <v>#REF!</v>
      </c>
      <c r="ID116" t="str">
        <f>AND(#REF!,"AAAAAF/d9u0=")</f>
        <v>#REF!</v>
      </c>
      <c r="IE116" t="str">
        <f>AND(#REF!,"AAAAAF/d9u4=")</f>
        <v>#REF!</v>
      </c>
      <c r="IF116" t="str">
        <f>AND(#REF!,"AAAAAF/d9u8=")</f>
        <v>#REF!</v>
      </c>
      <c r="IG116" t="str">
        <f>AND(#REF!,"AAAAAF/d9vA=")</f>
        <v>#REF!</v>
      </c>
      <c r="IH116" t="str">
        <f>AND(#REF!,"AAAAAF/d9vE=")</f>
        <v>#REF!</v>
      </c>
      <c r="II116" t="str">
        <f>AND(#REF!,"AAAAAF/d9vI=")</f>
        <v>#REF!</v>
      </c>
      <c r="IJ116" t="str">
        <f>AND(#REF!,"AAAAAF/d9vM=")</f>
        <v>#REF!</v>
      </c>
      <c r="IK116" t="str">
        <f>AND(#REF!,"AAAAAF/d9vQ=")</f>
        <v>#REF!</v>
      </c>
      <c r="IL116" t="str">
        <f>AND(#REF!,"AAAAAF/d9vU=")</f>
        <v>#REF!</v>
      </c>
      <c r="IM116" t="str">
        <f>AND(#REF!,"AAAAAF/d9vY=")</f>
        <v>#REF!</v>
      </c>
      <c r="IN116" t="str">
        <f>AND(#REF!,"AAAAAF/d9vc=")</f>
        <v>#REF!</v>
      </c>
      <c r="IO116" t="str">
        <f>AND(#REF!,"AAAAAF/d9vg=")</f>
        <v>#REF!</v>
      </c>
      <c r="IP116" t="str">
        <f>AND(#REF!,"AAAAAF/d9vk=")</f>
        <v>#REF!</v>
      </c>
      <c r="IQ116" t="str">
        <f>AND(#REF!,"AAAAAF/d9vo=")</f>
        <v>#REF!</v>
      </c>
      <c r="IR116" t="str">
        <f>AND(#REF!,"AAAAAF/d9vs=")</f>
        <v>#REF!</v>
      </c>
      <c r="IS116" t="str">
        <f>AND(#REF!,"AAAAAF/d9vw=")</f>
        <v>#REF!</v>
      </c>
      <c r="IT116" t="str">
        <f>AND(#REF!,"AAAAAF/d9v0=")</f>
        <v>#REF!</v>
      </c>
      <c r="IU116" t="str">
        <f>AND(#REF!,"AAAAAF/d9v4=")</f>
        <v>#REF!</v>
      </c>
      <c r="IV116" t="str">
        <f>AND(#REF!,"AAAAAF/d9v8=")</f>
        <v>#REF!</v>
      </c>
    </row>
    <row r="117" ht="15.75" customHeight="1">
      <c r="A117" t="str">
        <f>AND(#REF!,"AAAAABO/+gA=")</f>
        <v>#REF!</v>
      </c>
      <c r="B117" t="str">
        <f>AND(#REF!,"AAAAABO/+gE=")</f>
        <v>#REF!</v>
      </c>
      <c r="C117" t="str">
        <f>AND(#REF!,"AAAAABO/+gI=")</f>
        <v>#REF!</v>
      </c>
      <c r="D117" t="str">
        <f>AND(#REF!,"AAAAABO/+gM=")</f>
        <v>#REF!</v>
      </c>
      <c r="E117" t="str">
        <f>AND(#REF!,"AAAAABO/+gQ=")</f>
        <v>#REF!</v>
      </c>
      <c r="F117" t="str">
        <f>AND(#REF!,"AAAAABO/+gU=")</f>
        <v>#REF!</v>
      </c>
      <c r="G117" t="str">
        <f>IF(#REF!,"AAAAABO/+gY=",0)</f>
        <v>#REF!</v>
      </c>
      <c r="H117" t="str">
        <f>AND(#REF!,"AAAAABO/+gc=")</f>
        <v>#REF!</v>
      </c>
      <c r="I117" t="str">
        <f>AND(#REF!,"AAAAABO/+gg=")</f>
        <v>#REF!</v>
      </c>
      <c r="J117" t="str">
        <f>AND(#REF!,"AAAAABO/+gk=")</f>
        <v>#REF!</v>
      </c>
      <c r="K117" t="str">
        <f>AND(#REF!,"AAAAABO/+go=")</f>
        <v>#REF!</v>
      </c>
      <c r="L117" t="str">
        <f>AND(#REF!,"AAAAABO/+gs=")</f>
        <v>#REF!</v>
      </c>
      <c r="M117" t="str">
        <f>AND(#REF!,"AAAAABO/+gw=")</f>
        <v>#REF!</v>
      </c>
      <c r="N117" t="str">
        <f>AND(#REF!,"AAAAABO/+g0=")</f>
        <v>#REF!</v>
      </c>
      <c r="O117" t="str">
        <f>AND(#REF!,"AAAAABO/+g4=")</f>
        <v>#REF!</v>
      </c>
      <c r="P117" t="str">
        <f>AND(#REF!,"AAAAABO/+g8=")</f>
        <v>#REF!</v>
      </c>
      <c r="Q117" t="str">
        <f>AND(#REF!,"AAAAABO/+hA=")</f>
        <v>#REF!</v>
      </c>
      <c r="R117" t="str">
        <f>AND(#REF!,"AAAAABO/+hE=")</f>
        <v>#REF!</v>
      </c>
      <c r="S117" t="str">
        <f>AND(#REF!,"AAAAABO/+hI=")</f>
        <v>#REF!</v>
      </c>
      <c r="T117" t="str">
        <f>AND(#REF!,"AAAAABO/+hM=")</f>
        <v>#REF!</v>
      </c>
      <c r="U117" t="str">
        <f>AND(#REF!,"AAAAABO/+hQ=")</f>
        <v>#REF!</v>
      </c>
      <c r="V117" t="str">
        <f>AND(#REF!,"AAAAABO/+hU=")</f>
        <v>#REF!</v>
      </c>
      <c r="W117" t="str">
        <f>AND(#REF!,"AAAAABO/+hY=")</f>
        <v>#REF!</v>
      </c>
      <c r="X117" t="str">
        <f>AND(#REF!,"AAAAABO/+hc=")</f>
        <v>#REF!</v>
      </c>
      <c r="Y117" t="str">
        <f>AND(#REF!,"AAAAABO/+hg=")</f>
        <v>#REF!</v>
      </c>
      <c r="Z117" t="str">
        <f>AND(#REF!,"AAAAABO/+hk=")</f>
        <v>#REF!</v>
      </c>
      <c r="AA117" t="str">
        <f>AND(#REF!,"AAAAABO/+ho=")</f>
        <v>#REF!</v>
      </c>
      <c r="AB117" t="str">
        <f>AND(#REF!,"AAAAABO/+hs=")</f>
        <v>#REF!</v>
      </c>
      <c r="AC117" t="str">
        <f>AND(#REF!,"AAAAABO/+hw=")</f>
        <v>#REF!</v>
      </c>
      <c r="AD117" t="str">
        <f>AND(#REF!,"AAAAABO/+h0=")</f>
        <v>#REF!</v>
      </c>
      <c r="AE117" t="str">
        <f>AND(#REF!,"AAAAABO/+h4=")</f>
        <v>#REF!</v>
      </c>
      <c r="AF117" t="str">
        <f>AND(#REF!,"AAAAABO/+h8=")</f>
        <v>#REF!</v>
      </c>
      <c r="AG117" t="str">
        <f>AND(#REF!,"AAAAABO/+iA=")</f>
        <v>#REF!</v>
      </c>
      <c r="AH117" t="str">
        <f>AND(#REF!,"AAAAABO/+iE=")</f>
        <v>#REF!</v>
      </c>
      <c r="AI117" t="str">
        <f>AND(#REF!,"AAAAABO/+iI=")</f>
        <v>#REF!</v>
      </c>
      <c r="AJ117" t="str">
        <f>AND(#REF!,"AAAAABO/+iM=")</f>
        <v>#REF!</v>
      </c>
      <c r="AK117" t="str">
        <f>AND(#REF!,"AAAAABO/+iQ=")</f>
        <v>#REF!</v>
      </c>
      <c r="AL117" t="str">
        <f>AND(#REF!,"AAAAABO/+iU=")</f>
        <v>#REF!</v>
      </c>
      <c r="AM117" t="str">
        <f>AND(#REF!,"AAAAABO/+iY=")</f>
        <v>#REF!</v>
      </c>
      <c r="AN117" t="str">
        <f>AND(#REF!,"AAAAABO/+ic=")</f>
        <v>#REF!</v>
      </c>
      <c r="AO117" t="str">
        <f>AND(#REF!,"AAAAABO/+ig=")</f>
        <v>#REF!</v>
      </c>
      <c r="AP117" t="str">
        <f>AND(#REF!,"AAAAABO/+ik=")</f>
        <v>#REF!</v>
      </c>
      <c r="AQ117" t="str">
        <f>AND(#REF!,"AAAAABO/+io=")</f>
        <v>#REF!</v>
      </c>
      <c r="AR117" t="str">
        <f>AND(#REF!,"AAAAABO/+is=")</f>
        <v>#REF!</v>
      </c>
      <c r="AS117" t="str">
        <f>AND(#REF!,"AAAAABO/+iw=")</f>
        <v>#REF!</v>
      </c>
      <c r="AT117" t="str">
        <f>AND(#REF!,"AAAAABO/+i0=")</f>
        <v>#REF!</v>
      </c>
      <c r="AU117" t="str">
        <f>AND(#REF!,"AAAAABO/+i4=")</f>
        <v>#REF!</v>
      </c>
      <c r="AV117" t="str">
        <f>AND(#REF!,"AAAAABO/+i8=")</f>
        <v>#REF!</v>
      </c>
      <c r="AW117" t="str">
        <f>AND(#REF!,"AAAAABO/+jA=")</f>
        <v>#REF!</v>
      </c>
      <c r="AX117" t="str">
        <f>AND(#REF!,"AAAAABO/+jE=")</f>
        <v>#REF!</v>
      </c>
      <c r="AY117" t="str">
        <f>AND(#REF!,"AAAAABO/+jI=")</f>
        <v>#REF!</v>
      </c>
      <c r="AZ117" t="str">
        <f>AND(#REF!,"AAAAABO/+jM=")</f>
        <v>#REF!</v>
      </c>
      <c r="BA117" t="str">
        <f>AND(#REF!,"AAAAABO/+jQ=")</f>
        <v>#REF!</v>
      </c>
      <c r="BB117" t="str">
        <f>AND(#REF!,"AAAAABO/+jU=")</f>
        <v>#REF!</v>
      </c>
      <c r="BC117" t="str">
        <f>AND(#REF!,"AAAAABO/+jY=")</f>
        <v>#REF!</v>
      </c>
      <c r="BD117" t="str">
        <f>AND(#REF!,"AAAAABO/+jc=")</f>
        <v>#REF!</v>
      </c>
      <c r="BE117" t="str">
        <f>AND(#REF!,"AAAAABO/+jg=")</f>
        <v>#REF!</v>
      </c>
      <c r="BF117" t="str">
        <f>AND(#REF!,"AAAAABO/+jk=")</f>
        <v>#REF!</v>
      </c>
      <c r="BG117" t="str">
        <f>AND(#REF!,"AAAAABO/+jo=")</f>
        <v>#REF!</v>
      </c>
      <c r="BH117" t="str">
        <f>AND(#REF!,"AAAAABO/+js=")</f>
        <v>#REF!</v>
      </c>
      <c r="BI117" t="str">
        <f>AND(#REF!,"AAAAABO/+jw=")</f>
        <v>#REF!</v>
      </c>
      <c r="BJ117" t="str">
        <f>AND(#REF!,"AAAAABO/+j0=")</f>
        <v>#REF!</v>
      </c>
      <c r="BK117" t="str">
        <f>AND(#REF!,"AAAAABO/+j4=")</f>
        <v>#REF!</v>
      </c>
      <c r="BL117" t="str">
        <f>AND(#REF!,"AAAAABO/+j8=")</f>
        <v>#REF!</v>
      </c>
      <c r="BM117" t="str">
        <f>AND(#REF!,"AAAAABO/+kA=")</f>
        <v>#REF!</v>
      </c>
      <c r="BN117" t="str">
        <f>AND(#REF!,"AAAAABO/+kE=")</f>
        <v>#REF!</v>
      </c>
      <c r="BO117" t="str">
        <f>AND(#REF!,"AAAAABO/+kI=")</f>
        <v>#REF!</v>
      </c>
      <c r="BP117" t="str">
        <f>AND(#REF!,"AAAAABO/+kM=")</f>
        <v>#REF!</v>
      </c>
      <c r="BQ117" t="str">
        <f>AND(#REF!,"AAAAABO/+kQ=")</f>
        <v>#REF!</v>
      </c>
      <c r="BR117" t="str">
        <f>AND(#REF!,"AAAAABO/+kU=")</f>
        <v>#REF!</v>
      </c>
      <c r="BS117" t="str">
        <f>AND(#REF!,"AAAAABO/+kY=")</f>
        <v>#REF!</v>
      </c>
      <c r="BT117" t="str">
        <f>AND(#REF!,"AAAAABO/+kc=")</f>
        <v>#REF!</v>
      </c>
      <c r="BU117" t="str">
        <f>AND(#REF!,"AAAAABO/+kg=")</f>
        <v>#REF!</v>
      </c>
      <c r="BV117" t="str">
        <f>AND(#REF!,"AAAAABO/+kk=")</f>
        <v>#REF!</v>
      </c>
      <c r="BW117" t="str">
        <f>AND(#REF!,"AAAAABO/+ko=")</f>
        <v>#REF!</v>
      </c>
      <c r="BX117" t="str">
        <f>AND(#REF!,"AAAAABO/+ks=")</f>
        <v>#REF!</v>
      </c>
      <c r="BY117" t="str">
        <f>AND(#REF!,"AAAAABO/+kw=")</f>
        <v>#REF!</v>
      </c>
      <c r="BZ117" t="str">
        <f>AND(#REF!,"AAAAABO/+k0=")</f>
        <v>#REF!</v>
      </c>
      <c r="CA117" t="str">
        <f>AND(#REF!,"AAAAABO/+k4=")</f>
        <v>#REF!</v>
      </c>
      <c r="CB117" t="str">
        <f>AND(#REF!,"AAAAABO/+k8=")</f>
        <v>#REF!</v>
      </c>
      <c r="CC117" t="str">
        <f>AND(#REF!,"AAAAABO/+lA=")</f>
        <v>#REF!</v>
      </c>
      <c r="CD117" t="str">
        <f>AND(#REF!,"AAAAABO/+lE=")</f>
        <v>#REF!</v>
      </c>
      <c r="CE117" t="str">
        <f>IF(#REF!,"AAAAABO/+lI=",0)</f>
        <v>#REF!</v>
      </c>
      <c r="CF117" t="str">
        <f>AND(#REF!,"AAAAABO/+lM=")</f>
        <v>#REF!</v>
      </c>
      <c r="CG117" t="str">
        <f>AND(#REF!,"AAAAABO/+lQ=")</f>
        <v>#REF!</v>
      </c>
      <c r="CH117" t="str">
        <f>AND(#REF!,"AAAAABO/+lU=")</f>
        <v>#REF!</v>
      </c>
      <c r="CI117" t="str">
        <f>AND(#REF!,"AAAAABO/+lY=")</f>
        <v>#REF!</v>
      </c>
      <c r="CJ117" t="str">
        <f>AND(#REF!,"AAAAABO/+lc=")</f>
        <v>#REF!</v>
      </c>
      <c r="CK117" t="str">
        <f>AND(#REF!,"AAAAABO/+lg=")</f>
        <v>#REF!</v>
      </c>
      <c r="CL117" t="str">
        <f>AND(#REF!,"AAAAABO/+lk=")</f>
        <v>#REF!</v>
      </c>
      <c r="CM117" t="str">
        <f>AND(#REF!,"AAAAABO/+lo=")</f>
        <v>#REF!</v>
      </c>
      <c r="CN117" t="str">
        <f>AND(#REF!,"AAAAABO/+ls=")</f>
        <v>#REF!</v>
      </c>
      <c r="CO117" t="str">
        <f>AND(#REF!,"AAAAABO/+lw=")</f>
        <v>#REF!</v>
      </c>
      <c r="CP117" t="str">
        <f>AND(#REF!,"AAAAABO/+l0=")</f>
        <v>#REF!</v>
      </c>
      <c r="CQ117" t="str">
        <f>AND(#REF!,"AAAAABO/+l4=")</f>
        <v>#REF!</v>
      </c>
      <c r="CR117" t="str">
        <f>AND(#REF!,"AAAAABO/+l8=")</f>
        <v>#REF!</v>
      </c>
      <c r="CS117" t="str">
        <f>AND(#REF!,"AAAAABO/+mA=")</f>
        <v>#REF!</v>
      </c>
      <c r="CT117" t="str">
        <f>AND(#REF!,"AAAAABO/+mE=")</f>
        <v>#REF!</v>
      </c>
      <c r="CU117" t="str">
        <f>AND(#REF!,"AAAAABO/+mI=")</f>
        <v>#REF!</v>
      </c>
      <c r="CV117" t="str">
        <f>AND(#REF!,"AAAAABO/+mM=")</f>
        <v>#REF!</v>
      </c>
      <c r="CW117" t="str">
        <f>AND(#REF!,"AAAAABO/+mQ=")</f>
        <v>#REF!</v>
      </c>
      <c r="CX117" t="str">
        <f>AND(#REF!,"AAAAABO/+mU=")</f>
        <v>#REF!</v>
      </c>
      <c r="CY117" t="str">
        <f>AND(#REF!,"AAAAABO/+mY=")</f>
        <v>#REF!</v>
      </c>
      <c r="CZ117" t="str">
        <f>AND(#REF!,"AAAAABO/+mc=")</f>
        <v>#REF!</v>
      </c>
      <c r="DA117" t="str">
        <f>AND(#REF!,"AAAAABO/+mg=")</f>
        <v>#REF!</v>
      </c>
      <c r="DB117" t="str">
        <f>AND(#REF!,"AAAAABO/+mk=")</f>
        <v>#REF!</v>
      </c>
      <c r="DC117" t="str">
        <f>AND(#REF!,"AAAAABO/+mo=")</f>
        <v>#REF!</v>
      </c>
      <c r="DD117" t="str">
        <f>AND(#REF!,"AAAAABO/+ms=")</f>
        <v>#REF!</v>
      </c>
      <c r="DE117" t="str">
        <f>AND(#REF!,"AAAAABO/+mw=")</f>
        <v>#REF!</v>
      </c>
      <c r="DF117" t="str">
        <f>AND(#REF!,"AAAAABO/+m0=")</f>
        <v>#REF!</v>
      </c>
      <c r="DG117" t="str">
        <f>AND(#REF!,"AAAAABO/+m4=")</f>
        <v>#REF!</v>
      </c>
      <c r="DH117" t="str">
        <f>AND(#REF!,"AAAAABO/+m8=")</f>
        <v>#REF!</v>
      </c>
      <c r="DI117" t="str">
        <f>AND(#REF!,"AAAAABO/+nA=")</f>
        <v>#REF!</v>
      </c>
      <c r="DJ117" t="str">
        <f>AND(#REF!,"AAAAABO/+nE=")</f>
        <v>#REF!</v>
      </c>
      <c r="DK117" t="str">
        <f>AND(#REF!,"AAAAABO/+nI=")</f>
        <v>#REF!</v>
      </c>
      <c r="DL117" t="str">
        <f>AND(#REF!,"AAAAABO/+nM=")</f>
        <v>#REF!</v>
      </c>
      <c r="DM117" t="str">
        <f>AND(#REF!,"AAAAABO/+nQ=")</f>
        <v>#REF!</v>
      </c>
      <c r="DN117" t="str">
        <f>AND(#REF!,"AAAAABO/+nU=")</f>
        <v>#REF!</v>
      </c>
      <c r="DO117" t="str">
        <f>AND(#REF!,"AAAAABO/+nY=")</f>
        <v>#REF!</v>
      </c>
      <c r="DP117" t="str">
        <f>AND(#REF!,"AAAAABO/+nc=")</f>
        <v>#REF!</v>
      </c>
      <c r="DQ117" t="str">
        <f>AND(#REF!,"AAAAABO/+ng=")</f>
        <v>#REF!</v>
      </c>
      <c r="DR117" t="str">
        <f>AND(#REF!,"AAAAABO/+nk=")</f>
        <v>#REF!</v>
      </c>
      <c r="DS117" t="str">
        <f>AND(#REF!,"AAAAABO/+no=")</f>
        <v>#REF!</v>
      </c>
      <c r="DT117" t="str">
        <f>AND(#REF!,"AAAAABO/+ns=")</f>
        <v>#REF!</v>
      </c>
      <c r="DU117" t="str">
        <f>AND(#REF!,"AAAAABO/+nw=")</f>
        <v>#REF!</v>
      </c>
      <c r="DV117" t="str">
        <f>AND(#REF!,"AAAAABO/+n0=")</f>
        <v>#REF!</v>
      </c>
      <c r="DW117" t="str">
        <f>AND(#REF!,"AAAAABO/+n4=")</f>
        <v>#REF!</v>
      </c>
      <c r="DX117" t="str">
        <f>AND(#REF!,"AAAAABO/+n8=")</f>
        <v>#REF!</v>
      </c>
      <c r="DY117" t="str">
        <f>AND(#REF!,"AAAAABO/+oA=")</f>
        <v>#REF!</v>
      </c>
      <c r="DZ117" t="str">
        <f>AND(#REF!,"AAAAABO/+oE=")</f>
        <v>#REF!</v>
      </c>
      <c r="EA117" t="str">
        <f>AND(#REF!,"AAAAABO/+oI=")</f>
        <v>#REF!</v>
      </c>
      <c r="EB117" t="str">
        <f>AND(#REF!,"AAAAABO/+oM=")</f>
        <v>#REF!</v>
      </c>
      <c r="EC117" t="str">
        <f>AND(#REF!,"AAAAABO/+oQ=")</f>
        <v>#REF!</v>
      </c>
      <c r="ED117" t="str">
        <f>AND(#REF!,"AAAAABO/+oU=")</f>
        <v>#REF!</v>
      </c>
      <c r="EE117" t="str">
        <f>AND(#REF!,"AAAAABO/+oY=")</f>
        <v>#REF!</v>
      </c>
      <c r="EF117" t="str">
        <f>AND(#REF!,"AAAAABO/+oc=")</f>
        <v>#REF!</v>
      </c>
      <c r="EG117" t="str">
        <f>AND(#REF!,"AAAAABO/+og=")</f>
        <v>#REF!</v>
      </c>
      <c r="EH117" t="str">
        <f>AND(#REF!,"AAAAABO/+ok=")</f>
        <v>#REF!</v>
      </c>
      <c r="EI117" t="str">
        <f>AND(#REF!,"AAAAABO/+oo=")</f>
        <v>#REF!</v>
      </c>
      <c r="EJ117" t="str">
        <f>AND(#REF!,"AAAAABO/+os=")</f>
        <v>#REF!</v>
      </c>
      <c r="EK117" t="str">
        <f>AND(#REF!,"AAAAABO/+ow=")</f>
        <v>#REF!</v>
      </c>
      <c r="EL117" t="str">
        <f>AND(#REF!,"AAAAABO/+o0=")</f>
        <v>#REF!</v>
      </c>
      <c r="EM117" t="str">
        <f>AND(#REF!,"AAAAABO/+o4=")</f>
        <v>#REF!</v>
      </c>
      <c r="EN117" t="str">
        <f>AND(#REF!,"AAAAABO/+o8=")</f>
        <v>#REF!</v>
      </c>
      <c r="EO117" t="str">
        <f>AND(#REF!,"AAAAABO/+pA=")</f>
        <v>#REF!</v>
      </c>
      <c r="EP117" t="str">
        <f>AND(#REF!,"AAAAABO/+pE=")</f>
        <v>#REF!</v>
      </c>
      <c r="EQ117" t="str">
        <f>AND(#REF!,"AAAAABO/+pI=")</f>
        <v>#REF!</v>
      </c>
      <c r="ER117" t="str">
        <f>AND(#REF!,"AAAAABO/+pM=")</f>
        <v>#REF!</v>
      </c>
      <c r="ES117" t="str">
        <f>AND(#REF!,"AAAAABO/+pQ=")</f>
        <v>#REF!</v>
      </c>
      <c r="ET117" t="str">
        <f>AND(#REF!,"AAAAABO/+pU=")</f>
        <v>#REF!</v>
      </c>
      <c r="EU117" t="str">
        <f>AND(#REF!,"AAAAABO/+pY=")</f>
        <v>#REF!</v>
      </c>
      <c r="EV117" t="str">
        <f>AND(#REF!,"AAAAABO/+pc=")</f>
        <v>#REF!</v>
      </c>
      <c r="EW117" t="str">
        <f>AND(#REF!,"AAAAABO/+pg=")</f>
        <v>#REF!</v>
      </c>
      <c r="EX117" t="str">
        <f>AND(#REF!,"AAAAABO/+pk=")</f>
        <v>#REF!</v>
      </c>
      <c r="EY117" t="str">
        <f>AND(#REF!,"AAAAABO/+po=")</f>
        <v>#REF!</v>
      </c>
      <c r="EZ117" t="str">
        <f>AND(#REF!,"AAAAABO/+ps=")</f>
        <v>#REF!</v>
      </c>
      <c r="FA117" t="str">
        <f>AND(#REF!,"AAAAABO/+pw=")</f>
        <v>#REF!</v>
      </c>
      <c r="FB117" t="str">
        <f>AND(#REF!,"AAAAABO/+p0=")</f>
        <v>#REF!</v>
      </c>
      <c r="FC117" t="str">
        <f>IF(#REF!,"AAAAABO/+p4=",0)</f>
        <v>#REF!</v>
      </c>
      <c r="FD117" t="str">
        <f>AND(#REF!,"AAAAABO/+p8=")</f>
        <v>#REF!</v>
      </c>
      <c r="FE117" t="str">
        <f>AND(#REF!,"AAAAABO/+qA=")</f>
        <v>#REF!</v>
      </c>
      <c r="FF117" t="str">
        <f>AND(#REF!,"AAAAABO/+qE=")</f>
        <v>#REF!</v>
      </c>
      <c r="FG117" t="str">
        <f>AND(#REF!,"AAAAABO/+qI=")</f>
        <v>#REF!</v>
      </c>
      <c r="FH117" t="str">
        <f>AND(#REF!,"AAAAABO/+qM=")</f>
        <v>#REF!</v>
      </c>
      <c r="FI117" t="str">
        <f>AND(#REF!,"AAAAABO/+qQ=")</f>
        <v>#REF!</v>
      </c>
      <c r="FJ117" t="str">
        <f>AND(#REF!,"AAAAABO/+qU=")</f>
        <v>#REF!</v>
      </c>
      <c r="FK117" t="str">
        <f>AND(#REF!,"AAAAABO/+qY=")</f>
        <v>#REF!</v>
      </c>
      <c r="FL117" t="str">
        <f>AND(#REF!,"AAAAABO/+qc=")</f>
        <v>#REF!</v>
      </c>
      <c r="FM117" t="str">
        <f>AND(#REF!,"AAAAABO/+qg=")</f>
        <v>#REF!</v>
      </c>
      <c r="FN117" t="str">
        <f>AND(#REF!,"AAAAABO/+qk=")</f>
        <v>#REF!</v>
      </c>
      <c r="FO117" t="str">
        <f>AND(#REF!,"AAAAABO/+qo=")</f>
        <v>#REF!</v>
      </c>
      <c r="FP117" t="str">
        <f>AND(#REF!,"AAAAABO/+qs=")</f>
        <v>#REF!</v>
      </c>
      <c r="FQ117" t="str">
        <f>AND(#REF!,"AAAAABO/+qw=")</f>
        <v>#REF!</v>
      </c>
      <c r="FR117" t="str">
        <f>AND(#REF!,"AAAAABO/+q0=")</f>
        <v>#REF!</v>
      </c>
      <c r="FS117" t="str">
        <f>AND(#REF!,"AAAAABO/+q4=")</f>
        <v>#REF!</v>
      </c>
      <c r="FT117" t="str">
        <f>AND(#REF!,"AAAAABO/+q8=")</f>
        <v>#REF!</v>
      </c>
      <c r="FU117" t="str">
        <f>AND(#REF!,"AAAAABO/+rA=")</f>
        <v>#REF!</v>
      </c>
      <c r="FV117" t="str">
        <f>AND(#REF!,"AAAAABO/+rE=")</f>
        <v>#REF!</v>
      </c>
      <c r="FW117" t="str">
        <f>AND(#REF!,"AAAAABO/+rI=")</f>
        <v>#REF!</v>
      </c>
      <c r="FX117" t="str">
        <f>AND(#REF!,"AAAAABO/+rM=")</f>
        <v>#REF!</v>
      </c>
      <c r="FY117" t="str">
        <f>AND(#REF!,"AAAAABO/+rQ=")</f>
        <v>#REF!</v>
      </c>
      <c r="FZ117" t="str">
        <f>AND(#REF!,"AAAAABO/+rU=")</f>
        <v>#REF!</v>
      </c>
      <c r="GA117" t="str">
        <f>AND(#REF!,"AAAAABO/+rY=")</f>
        <v>#REF!</v>
      </c>
      <c r="GB117" t="str">
        <f>AND(#REF!,"AAAAABO/+rc=")</f>
        <v>#REF!</v>
      </c>
      <c r="GC117" t="str">
        <f>AND(#REF!,"AAAAABO/+rg=")</f>
        <v>#REF!</v>
      </c>
      <c r="GD117" t="str">
        <f>AND(#REF!,"AAAAABO/+rk=")</f>
        <v>#REF!</v>
      </c>
      <c r="GE117" t="str">
        <f>AND(#REF!,"AAAAABO/+ro=")</f>
        <v>#REF!</v>
      </c>
      <c r="GF117" t="str">
        <f>AND(#REF!,"AAAAABO/+rs=")</f>
        <v>#REF!</v>
      </c>
      <c r="GG117" t="str">
        <f>AND(#REF!,"AAAAABO/+rw=")</f>
        <v>#REF!</v>
      </c>
      <c r="GH117" t="str">
        <f>AND(#REF!,"AAAAABO/+r0=")</f>
        <v>#REF!</v>
      </c>
      <c r="GI117" t="str">
        <f>AND(#REF!,"AAAAABO/+r4=")</f>
        <v>#REF!</v>
      </c>
      <c r="GJ117" t="str">
        <f>AND(#REF!,"AAAAABO/+r8=")</f>
        <v>#REF!</v>
      </c>
      <c r="GK117" t="str">
        <f>AND(#REF!,"AAAAABO/+sA=")</f>
        <v>#REF!</v>
      </c>
      <c r="GL117" t="str">
        <f>AND(#REF!,"AAAAABO/+sE=")</f>
        <v>#REF!</v>
      </c>
      <c r="GM117" t="str">
        <f>AND(#REF!,"AAAAABO/+sI=")</f>
        <v>#REF!</v>
      </c>
      <c r="GN117" t="str">
        <f>AND(#REF!,"AAAAABO/+sM=")</f>
        <v>#REF!</v>
      </c>
      <c r="GO117" t="str">
        <f>AND(#REF!,"AAAAABO/+sQ=")</f>
        <v>#REF!</v>
      </c>
      <c r="GP117" t="str">
        <f>AND(#REF!,"AAAAABO/+sU=")</f>
        <v>#REF!</v>
      </c>
      <c r="GQ117" t="str">
        <f>AND(#REF!,"AAAAABO/+sY=")</f>
        <v>#REF!</v>
      </c>
      <c r="GR117" t="str">
        <f>AND(#REF!,"AAAAABO/+sc=")</f>
        <v>#REF!</v>
      </c>
      <c r="GS117" t="str">
        <f>AND(#REF!,"AAAAABO/+sg=")</f>
        <v>#REF!</v>
      </c>
      <c r="GT117" t="str">
        <f>AND(#REF!,"AAAAABO/+sk=")</f>
        <v>#REF!</v>
      </c>
      <c r="GU117" t="str">
        <f>AND(#REF!,"AAAAABO/+so=")</f>
        <v>#REF!</v>
      </c>
      <c r="GV117" t="str">
        <f>AND(#REF!,"AAAAABO/+ss=")</f>
        <v>#REF!</v>
      </c>
      <c r="GW117" t="str">
        <f>AND(#REF!,"AAAAABO/+sw=")</f>
        <v>#REF!</v>
      </c>
      <c r="GX117" t="str">
        <f>AND(#REF!,"AAAAABO/+s0=")</f>
        <v>#REF!</v>
      </c>
      <c r="GY117" t="str">
        <f>AND(#REF!,"AAAAABO/+s4=")</f>
        <v>#REF!</v>
      </c>
      <c r="GZ117" t="str">
        <f>AND(#REF!,"AAAAABO/+s8=")</f>
        <v>#REF!</v>
      </c>
      <c r="HA117" t="str">
        <f>AND(#REF!,"AAAAABO/+tA=")</f>
        <v>#REF!</v>
      </c>
      <c r="HB117" t="str">
        <f>AND(#REF!,"AAAAABO/+tE=")</f>
        <v>#REF!</v>
      </c>
      <c r="HC117" t="str">
        <f>AND(#REF!,"AAAAABO/+tI=")</f>
        <v>#REF!</v>
      </c>
      <c r="HD117" t="str">
        <f>AND(#REF!,"AAAAABO/+tM=")</f>
        <v>#REF!</v>
      </c>
      <c r="HE117" t="str">
        <f>AND(#REF!,"AAAAABO/+tQ=")</f>
        <v>#REF!</v>
      </c>
      <c r="HF117" t="str">
        <f>AND(#REF!,"AAAAABO/+tU=")</f>
        <v>#REF!</v>
      </c>
      <c r="HG117" t="str">
        <f>AND(#REF!,"AAAAABO/+tY=")</f>
        <v>#REF!</v>
      </c>
      <c r="HH117" t="str">
        <f>AND(#REF!,"AAAAABO/+tc=")</f>
        <v>#REF!</v>
      </c>
      <c r="HI117" t="str">
        <f>AND(#REF!,"AAAAABO/+tg=")</f>
        <v>#REF!</v>
      </c>
      <c r="HJ117" t="str">
        <f>AND(#REF!,"AAAAABO/+tk=")</f>
        <v>#REF!</v>
      </c>
      <c r="HK117" t="str">
        <f>AND(#REF!,"AAAAABO/+to=")</f>
        <v>#REF!</v>
      </c>
      <c r="HL117" t="str">
        <f>AND(#REF!,"AAAAABO/+ts=")</f>
        <v>#REF!</v>
      </c>
      <c r="HM117" t="str">
        <f>AND(#REF!,"AAAAABO/+tw=")</f>
        <v>#REF!</v>
      </c>
      <c r="HN117" t="str">
        <f>AND(#REF!,"AAAAABO/+t0=")</f>
        <v>#REF!</v>
      </c>
      <c r="HO117" t="str">
        <f>AND(#REF!,"AAAAABO/+t4=")</f>
        <v>#REF!</v>
      </c>
      <c r="HP117" t="str">
        <f>AND(#REF!,"AAAAABO/+t8=")</f>
        <v>#REF!</v>
      </c>
      <c r="HQ117" t="str">
        <f>AND(#REF!,"AAAAABO/+uA=")</f>
        <v>#REF!</v>
      </c>
      <c r="HR117" t="str">
        <f>AND(#REF!,"AAAAABO/+uE=")</f>
        <v>#REF!</v>
      </c>
      <c r="HS117" t="str">
        <f>AND(#REF!,"AAAAABO/+uI=")</f>
        <v>#REF!</v>
      </c>
      <c r="HT117" t="str">
        <f>AND(#REF!,"AAAAABO/+uM=")</f>
        <v>#REF!</v>
      </c>
      <c r="HU117" t="str">
        <f>AND(#REF!,"AAAAABO/+uQ=")</f>
        <v>#REF!</v>
      </c>
      <c r="HV117" t="str">
        <f>AND(#REF!,"AAAAABO/+uU=")</f>
        <v>#REF!</v>
      </c>
      <c r="HW117" t="str">
        <f>AND(#REF!,"AAAAABO/+uY=")</f>
        <v>#REF!</v>
      </c>
      <c r="HX117" t="str">
        <f>AND(#REF!,"AAAAABO/+uc=")</f>
        <v>#REF!</v>
      </c>
      <c r="HY117" t="str">
        <f>AND(#REF!,"AAAAABO/+ug=")</f>
        <v>#REF!</v>
      </c>
      <c r="HZ117" t="str">
        <f>AND(#REF!,"AAAAABO/+uk=")</f>
        <v>#REF!</v>
      </c>
      <c r="IA117" t="str">
        <f>IF(#REF!,"AAAAABO/+uo=",0)</f>
        <v>#REF!</v>
      </c>
      <c r="IB117" t="str">
        <f>AND(#REF!,"AAAAABO/+us=")</f>
        <v>#REF!</v>
      </c>
      <c r="IC117" t="str">
        <f>AND(#REF!,"AAAAABO/+uw=")</f>
        <v>#REF!</v>
      </c>
      <c r="ID117" t="str">
        <f>AND(#REF!,"AAAAABO/+u0=")</f>
        <v>#REF!</v>
      </c>
      <c r="IE117" t="str">
        <f>AND(#REF!,"AAAAABO/+u4=")</f>
        <v>#REF!</v>
      </c>
      <c r="IF117" t="str">
        <f>AND(#REF!,"AAAAABO/+u8=")</f>
        <v>#REF!</v>
      </c>
      <c r="IG117" t="str">
        <f>AND(#REF!,"AAAAABO/+vA=")</f>
        <v>#REF!</v>
      </c>
      <c r="IH117" t="str">
        <f>AND(#REF!,"AAAAABO/+vE=")</f>
        <v>#REF!</v>
      </c>
      <c r="II117" t="str">
        <f>AND(#REF!,"AAAAABO/+vI=")</f>
        <v>#REF!</v>
      </c>
      <c r="IJ117" t="str">
        <f>AND(#REF!,"AAAAABO/+vM=")</f>
        <v>#REF!</v>
      </c>
      <c r="IK117" t="str">
        <f>AND(#REF!,"AAAAABO/+vQ=")</f>
        <v>#REF!</v>
      </c>
      <c r="IL117" t="str">
        <f>AND(#REF!,"AAAAABO/+vU=")</f>
        <v>#REF!</v>
      </c>
      <c r="IM117" t="str">
        <f>AND(#REF!,"AAAAABO/+vY=")</f>
        <v>#REF!</v>
      </c>
      <c r="IN117" t="str">
        <f>AND(#REF!,"AAAAABO/+vc=")</f>
        <v>#REF!</v>
      </c>
      <c r="IO117" t="str">
        <f>AND(#REF!,"AAAAABO/+vg=")</f>
        <v>#REF!</v>
      </c>
      <c r="IP117" t="str">
        <f>AND(#REF!,"AAAAABO/+vk=")</f>
        <v>#REF!</v>
      </c>
      <c r="IQ117" t="str">
        <f>AND(#REF!,"AAAAABO/+vo=")</f>
        <v>#REF!</v>
      </c>
      <c r="IR117" t="str">
        <f>AND(#REF!,"AAAAABO/+vs=")</f>
        <v>#REF!</v>
      </c>
      <c r="IS117" t="str">
        <f>AND(#REF!,"AAAAABO/+vw=")</f>
        <v>#REF!</v>
      </c>
      <c r="IT117" t="str">
        <f>AND(#REF!,"AAAAABO/+v0=")</f>
        <v>#REF!</v>
      </c>
      <c r="IU117" t="str">
        <f>AND(#REF!,"AAAAABO/+v4=")</f>
        <v>#REF!</v>
      </c>
      <c r="IV117" t="str">
        <f>AND(#REF!,"AAAAABO/+v8=")</f>
        <v>#REF!</v>
      </c>
    </row>
    <row r="118" ht="15.75" customHeight="1">
      <c r="A118" t="str">
        <f>AND(#REF!,"AAAAAH6/cwA=")</f>
        <v>#REF!</v>
      </c>
      <c r="B118" t="str">
        <f>AND(#REF!,"AAAAAH6/cwE=")</f>
        <v>#REF!</v>
      </c>
      <c r="C118" t="str">
        <f>AND(#REF!,"AAAAAH6/cwI=")</f>
        <v>#REF!</v>
      </c>
      <c r="D118" t="str">
        <f>AND(#REF!,"AAAAAH6/cwM=")</f>
        <v>#REF!</v>
      </c>
      <c r="E118" t="str">
        <f>AND(#REF!,"AAAAAH6/cwQ=")</f>
        <v>#REF!</v>
      </c>
      <c r="F118" t="str">
        <f>AND(#REF!,"AAAAAH6/cwU=")</f>
        <v>#REF!</v>
      </c>
      <c r="G118" t="str">
        <f>AND(#REF!,"AAAAAH6/cwY=")</f>
        <v>#REF!</v>
      </c>
      <c r="H118" t="str">
        <f>AND(#REF!,"AAAAAH6/cwc=")</f>
        <v>#REF!</v>
      </c>
      <c r="I118" t="str">
        <f>AND(#REF!,"AAAAAH6/cwg=")</f>
        <v>#REF!</v>
      </c>
      <c r="J118" t="str">
        <f>AND(#REF!,"AAAAAH6/cwk=")</f>
        <v>#REF!</v>
      </c>
      <c r="K118" t="str">
        <f>AND(#REF!,"AAAAAH6/cwo=")</f>
        <v>#REF!</v>
      </c>
      <c r="L118" t="str">
        <f>AND(#REF!,"AAAAAH6/cws=")</f>
        <v>#REF!</v>
      </c>
      <c r="M118" t="str">
        <f>AND(#REF!,"AAAAAH6/cww=")</f>
        <v>#REF!</v>
      </c>
      <c r="N118" t="str">
        <f>AND(#REF!,"AAAAAH6/cw0=")</f>
        <v>#REF!</v>
      </c>
      <c r="O118" t="str">
        <f>AND(#REF!,"AAAAAH6/cw4=")</f>
        <v>#REF!</v>
      </c>
      <c r="P118" t="str">
        <f>AND(#REF!,"AAAAAH6/cw8=")</f>
        <v>#REF!</v>
      </c>
      <c r="Q118" t="str">
        <f>AND(#REF!,"AAAAAH6/cxA=")</f>
        <v>#REF!</v>
      </c>
      <c r="R118" t="str">
        <f>AND(#REF!,"AAAAAH6/cxE=")</f>
        <v>#REF!</v>
      </c>
      <c r="S118" t="str">
        <f>AND(#REF!,"AAAAAH6/cxI=")</f>
        <v>#REF!</v>
      </c>
      <c r="T118" t="str">
        <f>AND(#REF!,"AAAAAH6/cxM=")</f>
        <v>#REF!</v>
      </c>
      <c r="U118" t="str">
        <f>AND(#REF!,"AAAAAH6/cxQ=")</f>
        <v>#REF!</v>
      </c>
      <c r="V118" t="str">
        <f>AND(#REF!,"AAAAAH6/cxU=")</f>
        <v>#REF!</v>
      </c>
      <c r="W118" t="str">
        <f>AND(#REF!,"AAAAAH6/cxY=")</f>
        <v>#REF!</v>
      </c>
      <c r="X118" t="str">
        <f>AND(#REF!,"AAAAAH6/cxc=")</f>
        <v>#REF!</v>
      </c>
      <c r="Y118" t="str">
        <f>AND(#REF!,"AAAAAH6/cxg=")</f>
        <v>#REF!</v>
      </c>
      <c r="Z118" t="str">
        <f>AND(#REF!,"AAAAAH6/cxk=")</f>
        <v>#REF!</v>
      </c>
      <c r="AA118" t="str">
        <f>AND(#REF!,"AAAAAH6/cxo=")</f>
        <v>#REF!</v>
      </c>
      <c r="AB118" t="str">
        <f>AND(#REF!,"AAAAAH6/cxs=")</f>
        <v>#REF!</v>
      </c>
      <c r="AC118" t="str">
        <f>AND(#REF!,"AAAAAH6/cxw=")</f>
        <v>#REF!</v>
      </c>
      <c r="AD118" t="str">
        <f>AND(#REF!,"AAAAAH6/cx0=")</f>
        <v>#REF!</v>
      </c>
      <c r="AE118" t="str">
        <f>AND(#REF!,"AAAAAH6/cx4=")</f>
        <v>#REF!</v>
      </c>
      <c r="AF118" t="str">
        <f>AND(#REF!,"AAAAAH6/cx8=")</f>
        <v>#REF!</v>
      </c>
      <c r="AG118" t="str">
        <f>AND(#REF!,"AAAAAH6/cyA=")</f>
        <v>#REF!</v>
      </c>
      <c r="AH118" t="str">
        <f>AND(#REF!,"AAAAAH6/cyE=")</f>
        <v>#REF!</v>
      </c>
      <c r="AI118" t="str">
        <f>AND(#REF!,"AAAAAH6/cyI=")</f>
        <v>#REF!</v>
      </c>
      <c r="AJ118" t="str">
        <f>AND(#REF!,"AAAAAH6/cyM=")</f>
        <v>#REF!</v>
      </c>
      <c r="AK118" t="str">
        <f>AND(#REF!,"AAAAAH6/cyQ=")</f>
        <v>#REF!</v>
      </c>
      <c r="AL118" t="str">
        <f>AND(#REF!,"AAAAAH6/cyU=")</f>
        <v>#REF!</v>
      </c>
      <c r="AM118" t="str">
        <f>AND(#REF!,"AAAAAH6/cyY=")</f>
        <v>#REF!</v>
      </c>
      <c r="AN118" t="str">
        <f>AND(#REF!,"AAAAAH6/cyc=")</f>
        <v>#REF!</v>
      </c>
      <c r="AO118" t="str">
        <f>AND(#REF!,"AAAAAH6/cyg=")</f>
        <v>#REF!</v>
      </c>
      <c r="AP118" t="str">
        <f>AND(#REF!,"AAAAAH6/cyk=")</f>
        <v>#REF!</v>
      </c>
      <c r="AQ118" t="str">
        <f>AND(#REF!,"AAAAAH6/cyo=")</f>
        <v>#REF!</v>
      </c>
      <c r="AR118" t="str">
        <f>AND(#REF!,"AAAAAH6/cys=")</f>
        <v>#REF!</v>
      </c>
      <c r="AS118" t="str">
        <f>AND(#REF!,"AAAAAH6/cyw=")</f>
        <v>#REF!</v>
      </c>
      <c r="AT118" t="str">
        <f>AND(#REF!,"AAAAAH6/cy0=")</f>
        <v>#REF!</v>
      </c>
      <c r="AU118" t="str">
        <f>AND(#REF!,"AAAAAH6/cy4=")</f>
        <v>#REF!</v>
      </c>
      <c r="AV118" t="str">
        <f>AND(#REF!,"AAAAAH6/cy8=")</f>
        <v>#REF!</v>
      </c>
      <c r="AW118" t="str">
        <f>AND(#REF!,"AAAAAH6/czA=")</f>
        <v>#REF!</v>
      </c>
      <c r="AX118" t="str">
        <f>AND(#REF!,"AAAAAH6/czE=")</f>
        <v>#REF!</v>
      </c>
      <c r="AY118" t="str">
        <f>AND(#REF!,"AAAAAH6/czI=")</f>
        <v>#REF!</v>
      </c>
      <c r="AZ118" t="str">
        <f>AND(#REF!,"AAAAAH6/czM=")</f>
        <v>#REF!</v>
      </c>
      <c r="BA118" t="str">
        <f>AND(#REF!,"AAAAAH6/czQ=")</f>
        <v>#REF!</v>
      </c>
      <c r="BB118" t="str">
        <f>AND(#REF!,"AAAAAH6/czU=")</f>
        <v>#REF!</v>
      </c>
      <c r="BC118" t="str">
        <f>IF(#REF!,"AAAAAH6/czY=",0)</f>
        <v>#REF!</v>
      </c>
      <c r="BD118" t="str">
        <f>AND(#REF!,"AAAAAH6/czc=")</f>
        <v>#REF!</v>
      </c>
      <c r="BE118" t="str">
        <f>AND(#REF!,"AAAAAH6/czg=")</f>
        <v>#REF!</v>
      </c>
      <c r="BF118" t="str">
        <f>AND(#REF!,"AAAAAH6/czk=")</f>
        <v>#REF!</v>
      </c>
      <c r="BG118" t="str">
        <f>AND(#REF!,"AAAAAH6/czo=")</f>
        <v>#REF!</v>
      </c>
      <c r="BH118" t="str">
        <f>AND(#REF!,"AAAAAH6/czs=")</f>
        <v>#REF!</v>
      </c>
      <c r="BI118" t="str">
        <f>AND(#REF!,"AAAAAH6/czw=")</f>
        <v>#REF!</v>
      </c>
      <c r="BJ118" t="str">
        <f>AND(#REF!,"AAAAAH6/cz0=")</f>
        <v>#REF!</v>
      </c>
      <c r="BK118" t="str">
        <f>AND(#REF!,"AAAAAH6/cz4=")</f>
        <v>#REF!</v>
      </c>
      <c r="BL118" t="str">
        <f>AND(#REF!,"AAAAAH6/cz8=")</f>
        <v>#REF!</v>
      </c>
      <c r="BM118" t="str">
        <f>AND(#REF!,"AAAAAH6/c0A=")</f>
        <v>#REF!</v>
      </c>
      <c r="BN118" t="str">
        <f>AND(#REF!,"AAAAAH6/c0E=")</f>
        <v>#REF!</v>
      </c>
      <c r="BO118" t="str">
        <f>AND(#REF!,"AAAAAH6/c0I=")</f>
        <v>#REF!</v>
      </c>
      <c r="BP118" t="str">
        <f>AND(#REF!,"AAAAAH6/c0M=")</f>
        <v>#REF!</v>
      </c>
      <c r="BQ118" t="str">
        <f>AND(#REF!,"AAAAAH6/c0Q=")</f>
        <v>#REF!</v>
      </c>
      <c r="BR118" t="str">
        <f>AND(#REF!,"AAAAAH6/c0U=")</f>
        <v>#REF!</v>
      </c>
      <c r="BS118" t="str">
        <f>AND(#REF!,"AAAAAH6/c0Y=")</f>
        <v>#REF!</v>
      </c>
      <c r="BT118" t="str">
        <f>AND(#REF!,"AAAAAH6/c0c=")</f>
        <v>#REF!</v>
      </c>
      <c r="BU118" t="str">
        <f>AND(#REF!,"AAAAAH6/c0g=")</f>
        <v>#REF!</v>
      </c>
      <c r="BV118" t="str">
        <f>AND(#REF!,"AAAAAH6/c0k=")</f>
        <v>#REF!</v>
      </c>
      <c r="BW118" t="str">
        <f>AND(#REF!,"AAAAAH6/c0o=")</f>
        <v>#REF!</v>
      </c>
      <c r="BX118" t="str">
        <f>AND(#REF!,"AAAAAH6/c0s=")</f>
        <v>#REF!</v>
      </c>
      <c r="BY118" t="str">
        <f>AND(#REF!,"AAAAAH6/c0w=")</f>
        <v>#REF!</v>
      </c>
      <c r="BZ118" t="str">
        <f>AND(#REF!,"AAAAAH6/c00=")</f>
        <v>#REF!</v>
      </c>
      <c r="CA118" t="str">
        <f>AND(#REF!,"AAAAAH6/c04=")</f>
        <v>#REF!</v>
      </c>
      <c r="CB118" t="str">
        <f>AND(#REF!,"AAAAAH6/c08=")</f>
        <v>#REF!</v>
      </c>
      <c r="CC118" t="str">
        <f>AND(#REF!,"AAAAAH6/c1A=")</f>
        <v>#REF!</v>
      </c>
      <c r="CD118" t="str">
        <f>AND(#REF!,"AAAAAH6/c1E=")</f>
        <v>#REF!</v>
      </c>
      <c r="CE118" t="str">
        <f>AND(#REF!,"AAAAAH6/c1I=")</f>
        <v>#REF!</v>
      </c>
      <c r="CF118" t="str">
        <f>AND(#REF!,"AAAAAH6/c1M=")</f>
        <v>#REF!</v>
      </c>
      <c r="CG118" t="str">
        <f>AND(#REF!,"AAAAAH6/c1Q=")</f>
        <v>#REF!</v>
      </c>
      <c r="CH118" t="str">
        <f>AND(#REF!,"AAAAAH6/c1U=")</f>
        <v>#REF!</v>
      </c>
      <c r="CI118" t="str">
        <f>AND(#REF!,"AAAAAH6/c1Y=")</f>
        <v>#REF!</v>
      </c>
      <c r="CJ118" t="str">
        <f>AND(#REF!,"AAAAAH6/c1c=")</f>
        <v>#REF!</v>
      </c>
      <c r="CK118" t="str">
        <f>AND(#REF!,"AAAAAH6/c1g=")</f>
        <v>#REF!</v>
      </c>
      <c r="CL118" t="str">
        <f>AND(#REF!,"AAAAAH6/c1k=")</f>
        <v>#REF!</v>
      </c>
      <c r="CM118" t="str">
        <f>AND(#REF!,"AAAAAH6/c1o=")</f>
        <v>#REF!</v>
      </c>
      <c r="CN118" t="str">
        <f>AND(#REF!,"AAAAAH6/c1s=")</f>
        <v>#REF!</v>
      </c>
      <c r="CO118" t="str">
        <f>AND(#REF!,"AAAAAH6/c1w=")</f>
        <v>#REF!</v>
      </c>
      <c r="CP118" t="str">
        <f>AND(#REF!,"AAAAAH6/c10=")</f>
        <v>#REF!</v>
      </c>
      <c r="CQ118" t="str">
        <f>AND(#REF!,"AAAAAH6/c14=")</f>
        <v>#REF!</v>
      </c>
      <c r="CR118" t="str">
        <f>AND(#REF!,"AAAAAH6/c18=")</f>
        <v>#REF!</v>
      </c>
      <c r="CS118" t="str">
        <f>AND(#REF!,"AAAAAH6/c2A=")</f>
        <v>#REF!</v>
      </c>
      <c r="CT118" t="str">
        <f>AND(#REF!,"AAAAAH6/c2E=")</f>
        <v>#REF!</v>
      </c>
      <c r="CU118" t="str">
        <f>AND(#REF!,"AAAAAH6/c2I=")</f>
        <v>#REF!</v>
      </c>
      <c r="CV118" t="str">
        <f>AND(#REF!,"AAAAAH6/c2M=")</f>
        <v>#REF!</v>
      </c>
      <c r="CW118" t="str">
        <f>AND(#REF!,"AAAAAH6/c2Q=")</f>
        <v>#REF!</v>
      </c>
      <c r="CX118" t="str">
        <f>AND(#REF!,"AAAAAH6/c2U=")</f>
        <v>#REF!</v>
      </c>
      <c r="CY118" t="str">
        <f>AND(#REF!,"AAAAAH6/c2Y=")</f>
        <v>#REF!</v>
      </c>
      <c r="CZ118" t="str">
        <f>AND(#REF!,"AAAAAH6/c2c=")</f>
        <v>#REF!</v>
      </c>
      <c r="DA118" t="str">
        <f>AND(#REF!,"AAAAAH6/c2g=")</f>
        <v>#REF!</v>
      </c>
      <c r="DB118" t="str">
        <f>AND(#REF!,"AAAAAH6/c2k=")</f>
        <v>#REF!</v>
      </c>
      <c r="DC118" t="str">
        <f>AND(#REF!,"AAAAAH6/c2o=")</f>
        <v>#REF!</v>
      </c>
      <c r="DD118" t="str">
        <f>AND(#REF!,"AAAAAH6/c2s=")</f>
        <v>#REF!</v>
      </c>
      <c r="DE118" t="str">
        <f>AND(#REF!,"AAAAAH6/c2w=")</f>
        <v>#REF!</v>
      </c>
      <c r="DF118" t="str">
        <f>AND(#REF!,"AAAAAH6/c20=")</f>
        <v>#REF!</v>
      </c>
      <c r="DG118" t="str">
        <f>AND(#REF!,"AAAAAH6/c24=")</f>
        <v>#REF!</v>
      </c>
      <c r="DH118" t="str">
        <f>AND(#REF!,"AAAAAH6/c28=")</f>
        <v>#REF!</v>
      </c>
      <c r="DI118" t="str">
        <f>AND(#REF!,"AAAAAH6/c3A=")</f>
        <v>#REF!</v>
      </c>
      <c r="DJ118" t="str">
        <f>AND(#REF!,"AAAAAH6/c3E=")</f>
        <v>#REF!</v>
      </c>
      <c r="DK118" t="str">
        <f>AND(#REF!,"AAAAAH6/c3I=")</f>
        <v>#REF!</v>
      </c>
      <c r="DL118" t="str">
        <f>AND(#REF!,"AAAAAH6/c3M=")</f>
        <v>#REF!</v>
      </c>
      <c r="DM118" t="str">
        <f>AND(#REF!,"AAAAAH6/c3Q=")</f>
        <v>#REF!</v>
      </c>
      <c r="DN118" t="str">
        <f>AND(#REF!,"AAAAAH6/c3U=")</f>
        <v>#REF!</v>
      </c>
      <c r="DO118" t="str">
        <f>AND(#REF!,"AAAAAH6/c3Y=")</f>
        <v>#REF!</v>
      </c>
      <c r="DP118" t="str">
        <f>AND(#REF!,"AAAAAH6/c3c=")</f>
        <v>#REF!</v>
      </c>
      <c r="DQ118" t="str">
        <f>AND(#REF!,"AAAAAH6/c3g=")</f>
        <v>#REF!</v>
      </c>
      <c r="DR118" t="str">
        <f>AND(#REF!,"AAAAAH6/c3k=")</f>
        <v>#REF!</v>
      </c>
      <c r="DS118" t="str">
        <f>AND(#REF!,"AAAAAH6/c3o=")</f>
        <v>#REF!</v>
      </c>
      <c r="DT118" t="str">
        <f>AND(#REF!,"AAAAAH6/c3s=")</f>
        <v>#REF!</v>
      </c>
      <c r="DU118" t="str">
        <f>AND(#REF!,"AAAAAH6/c3w=")</f>
        <v>#REF!</v>
      </c>
      <c r="DV118" t="str">
        <f>AND(#REF!,"AAAAAH6/c30=")</f>
        <v>#REF!</v>
      </c>
      <c r="DW118" t="str">
        <f>AND(#REF!,"AAAAAH6/c34=")</f>
        <v>#REF!</v>
      </c>
      <c r="DX118" t="str">
        <f>AND(#REF!,"AAAAAH6/c38=")</f>
        <v>#REF!</v>
      </c>
      <c r="DY118" t="str">
        <f>AND(#REF!,"AAAAAH6/c4A=")</f>
        <v>#REF!</v>
      </c>
      <c r="DZ118" t="str">
        <f>AND(#REF!,"AAAAAH6/c4E=")</f>
        <v>#REF!</v>
      </c>
      <c r="EA118" t="str">
        <f>IF(#REF!,"AAAAAH6/c4I=",0)</f>
        <v>#REF!</v>
      </c>
      <c r="EB118" t="str">
        <f>AND(#REF!,"AAAAAH6/c4M=")</f>
        <v>#REF!</v>
      </c>
      <c r="EC118" t="str">
        <f>AND(#REF!,"AAAAAH6/c4Q=")</f>
        <v>#REF!</v>
      </c>
      <c r="ED118" t="str">
        <f>AND(#REF!,"AAAAAH6/c4U=")</f>
        <v>#REF!</v>
      </c>
      <c r="EE118" t="str">
        <f>AND(#REF!,"AAAAAH6/c4Y=")</f>
        <v>#REF!</v>
      </c>
      <c r="EF118" t="str">
        <f>AND(#REF!,"AAAAAH6/c4c=")</f>
        <v>#REF!</v>
      </c>
      <c r="EG118" t="str">
        <f>AND(#REF!,"AAAAAH6/c4g=")</f>
        <v>#REF!</v>
      </c>
      <c r="EH118" t="str">
        <f>AND(#REF!,"AAAAAH6/c4k=")</f>
        <v>#REF!</v>
      </c>
      <c r="EI118" t="str">
        <f>AND(#REF!,"AAAAAH6/c4o=")</f>
        <v>#REF!</v>
      </c>
      <c r="EJ118" t="str">
        <f>AND(#REF!,"AAAAAH6/c4s=")</f>
        <v>#REF!</v>
      </c>
      <c r="EK118" t="str">
        <f>AND(#REF!,"AAAAAH6/c4w=")</f>
        <v>#REF!</v>
      </c>
      <c r="EL118" t="str">
        <f>AND(#REF!,"AAAAAH6/c40=")</f>
        <v>#REF!</v>
      </c>
      <c r="EM118" t="str">
        <f>AND(#REF!,"AAAAAH6/c44=")</f>
        <v>#REF!</v>
      </c>
      <c r="EN118" t="str">
        <f>AND(#REF!,"AAAAAH6/c48=")</f>
        <v>#REF!</v>
      </c>
      <c r="EO118" t="str">
        <f>AND(#REF!,"AAAAAH6/c5A=")</f>
        <v>#REF!</v>
      </c>
      <c r="EP118" t="str">
        <f>AND(#REF!,"AAAAAH6/c5E=")</f>
        <v>#REF!</v>
      </c>
      <c r="EQ118" t="str">
        <f>AND(#REF!,"AAAAAH6/c5I=")</f>
        <v>#REF!</v>
      </c>
      <c r="ER118" t="str">
        <f>AND(#REF!,"AAAAAH6/c5M=")</f>
        <v>#REF!</v>
      </c>
      <c r="ES118" t="str">
        <f>AND(#REF!,"AAAAAH6/c5Q=")</f>
        <v>#REF!</v>
      </c>
      <c r="ET118" t="str">
        <f>AND(#REF!,"AAAAAH6/c5U=")</f>
        <v>#REF!</v>
      </c>
      <c r="EU118" t="str">
        <f>AND(#REF!,"AAAAAH6/c5Y=")</f>
        <v>#REF!</v>
      </c>
      <c r="EV118" t="str">
        <f>AND(#REF!,"AAAAAH6/c5c=")</f>
        <v>#REF!</v>
      </c>
      <c r="EW118" t="str">
        <f>AND(#REF!,"AAAAAH6/c5g=")</f>
        <v>#REF!</v>
      </c>
      <c r="EX118" t="str">
        <f>AND(#REF!,"AAAAAH6/c5k=")</f>
        <v>#REF!</v>
      </c>
      <c r="EY118" t="str">
        <f>AND(#REF!,"AAAAAH6/c5o=")</f>
        <v>#REF!</v>
      </c>
      <c r="EZ118" t="str">
        <f>AND(#REF!,"AAAAAH6/c5s=")</f>
        <v>#REF!</v>
      </c>
      <c r="FA118" t="str">
        <f>AND(#REF!,"AAAAAH6/c5w=")</f>
        <v>#REF!</v>
      </c>
      <c r="FB118" t="str">
        <f>AND(#REF!,"AAAAAH6/c50=")</f>
        <v>#REF!</v>
      </c>
      <c r="FC118" t="str">
        <f>AND(#REF!,"AAAAAH6/c54=")</f>
        <v>#REF!</v>
      </c>
      <c r="FD118" t="str">
        <f>AND(#REF!,"AAAAAH6/c58=")</f>
        <v>#REF!</v>
      </c>
      <c r="FE118" t="str">
        <f>AND(#REF!,"AAAAAH6/c6A=")</f>
        <v>#REF!</v>
      </c>
      <c r="FF118" t="str">
        <f>AND(#REF!,"AAAAAH6/c6E=")</f>
        <v>#REF!</v>
      </c>
      <c r="FG118" t="str">
        <f>AND(#REF!,"AAAAAH6/c6I=")</f>
        <v>#REF!</v>
      </c>
      <c r="FH118" t="str">
        <f>AND(#REF!,"AAAAAH6/c6M=")</f>
        <v>#REF!</v>
      </c>
      <c r="FI118" t="str">
        <f>AND(#REF!,"AAAAAH6/c6Q=")</f>
        <v>#REF!</v>
      </c>
      <c r="FJ118" t="str">
        <f>AND(#REF!,"AAAAAH6/c6U=")</f>
        <v>#REF!</v>
      </c>
      <c r="FK118" t="str">
        <f>AND(#REF!,"AAAAAH6/c6Y=")</f>
        <v>#REF!</v>
      </c>
      <c r="FL118" t="str">
        <f>AND(#REF!,"AAAAAH6/c6c=")</f>
        <v>#REF!</v>
      </c>
      <c r="FM118" t="str">
        <f>AND(#REF!,"AAAAAH6/c6g=")</f>
        <v>#REF!</v>
      </c>
      <c r="FN118" t="str">
        <f>AND(#REF!,"AAAAAH6/c6k=")</f>
        <v>#REF!</v>
      </c>
      <c r="FO118" t="str">
        <f>AND(#REF!,"AAAAAH6/c6o=")</f>
        <v>#REF!</v>
      </c>
      <c r="FP118" t="str">
        <f>AND(#REF!,"AAAAAH6/c6s=")</f>
        <v>#REF!</v>
      </c>
      <c r="FQ118" t="str">
        <f>AND(#REF!,"AAAAAH6/c6w=")</f>
        <v>#REF!</v>
      </c>
      <c r="FR118" t="str">
        <f>AND(#REF!,"AAAAAH6/c60=")</f>
        <v>#REF!</v>
      </c>
      <c r="FS118" t="str">
        <f>AND(#REF!,"AAAAAH6/c64=")</f>
        <v>#REF!</v>
      </c>
      <c r="FT118" t="str">
        <f>AND(#REF!,"AAAAAH6/c68=")</f>
        <v>#REF!</v>
      </c>
      <c r="FU118" t="str">
        <f>AND(#REF!,"AAAAAH6/c7A=")</f>
        <v>#REF!</v>
      </c>
      <c r="FV118" t="str">
        <f>AND(#REF!,"AAAAAH6/c7E=")</f>
        <v>#REF!</v>
      </c>
      <c r="FW118" t="str">
        <f>AND(#REF!,"AAAAAH6/c7I=")</f>
        <v>#REF!</v>
      </c>
      <c r="FX118" t="str">
        <f>AND(#REF!,"AAAAAH6/c7M=")</f>
        <v>#REF!</v>
      </c>
      <c r="FY118" t="str">
        <f>AND(#REF!,"AAAAAH6/c7Q=")</f>
        <v>#REF!</v>
      </c>
      <c r="FZ118" t="str">
        <f>AND(#REF!,"AAAAAH6/c7U=")</f>
        <v>#REF!</v>
      </c>
      <c r="GA118" t="str">
        <f>AND(#REF!,"AAAAAH6/c7Y=")</f>
        <v>#REF!</v>
      </c>
      <c r="GB118" t="str">
        <f>AND(#REF!,"AAAAAH6/c7c=")</f>
        <v>#REF!</v>
      </c>
      <c r="GC118" t="str">
        <f>AND(#REF!,"AAAAAH6/c7g=")</f>
        <v>#REF!</v>
      </c>
      <c r="GD118" t="str">
        <f>AND(#REF!,"AAAAAH6/c7k=")</f>
        <v>#REF!</v>
      </c>
      <c r="GE118" t="str">
        <f>AND(#REF!,"AAAAAH6/c7o=")</f>
        <v>#REF!</v>
      </c>
      <c r="GF118" t="str">
        <f>AND(#REF!,"AAAAAH6/c7s=")</f>
        <v>#REF!</v>
      </c>
      <c r="GG118" t="str">
        <f>AND(#REF!,"AAAAAH6/c7w=")</f>
        <v>#REF!</v>
      </c>
      <c r="GH118" t="str">
        <f>AND(#REF!,"AAAAAH6/c70=")</f>
        <v>#REF!</v>
      </c>
      <c r="GI118" t="str">
        <f>AND(#REF!,"AAAAAH6/c74=")</f>
        <v>#REF!</v>
      </c>
      <c r="GJ118" t="str">
        <f>AND(#REF!,"AAAAAH6/c78=")</f>
        <v>#REF!</v>
      </c>
      <c r="GK118" t="str">
        <f>AND(#REF!,"AAAAAH6/c8A=")</f>
        <v>#REF!</v>
      </c>
      <c r="GL118" t="str">
        <f>AND(#REF!,"AAAAAH6/c8E=")</f>
        <v>#REF!</v>
      </c>
      <c r="GM118" t="str">
        <f>AND(#REF!,"AAAAAH6/c8I=")</f>
        <v>#REF!</v>
      </c>
      <c r="GN118" t="str">
        <f>AND(#REF!,"AAAAAH6/c8M=")</f>
        <v>#REF!</v>
      </c>
      <c r="GO118" t="str">
        <f>AND(#REF!,"AAAAAH6/c8Q=")</f>
        <v>#REF!</v>
      </c>
      <c r="GP118" t="str">
        <f>AND(#REF!,"AAAAAH6/c8U=")</f>
        <v>#REF!</v>
      </c>
      <c r="GQ118" t="str">
        <f>AND(#REF!,"AAAAAH6/c8Y=")</f>
        <v>#REF!</v>
      </c>
      <c r="GR118" t="str">
        <f>AND(#REF!,"AAAAAH6/c8c=")</f>
        <v>#REF!</v>
      </c>
      <c r="GS118" t="str">
        <f>AND(#REF!,"AAAAAH6/c8g=")</f>
        <v>#REF!</v>
      </c>
      <c r="GT118" t="str">
        <f>AND(#REF!,"AAAAAH6/c8k=")</f>
        <v>#REF!</v>
      </c>
      <c r="GU118" t="str">
        <f>AND(#REF!,"AAAAAH6/c8o=")</f>
        <v>#REF!</v>
      </c>
      <c r="GV118" t="str">
        <f>AND(#REF!,"AAAAAH6/c8s=")</f>
        <v>#REF!</v>
      </c>
      <c r="GW118" t="str">
        <f>AND(#REF!,"AAAAAH6/c8w=")</f>
        <v>#REF!</v>
      </c>
      <c r="GX118" t="str">
        <f>AND(#REF!,"AAAAAH6/c80=")</f>
        <v>#REF!</v>
      </c>
      <c r="GY118" t="str">
        <f>IF(#REF!,"AAAAAH6/c84=",0)</f>
        <v>#REF!</v>
      </c>
      <c r="GZ118" t="str">
        <f>AND(#REF!,"AAAAAH6/c88=")</f>
        <v>#REF!</v>
      </c>
      <c r="HA118" t="str">
        <f>AND(#REF!,"AAAAAH6/c9A=")</f>
        <v>#REF!</v>
      </c>
      <c r="HB118" t="str">
        <f>AND(#REF!,"AAAAAH6/c9E=")</f>
        <v>#REF!</v>
      </c>
      <c r="HC118" t="str">
        <f>AND(#REF!,"AAAAAH6/c9I=")</f>
        <v>#REF!</v>
      </c>
      <c r="HD118" t="str">
        <f>AND(#REF!,"AAAAAH6/c9M=")</f>
        <v>#REF!</v>
      </c>
      <c r="HE118" t="str">
        <f>AND(#REF!,"AAAAAH6/c9Q=")</f>
        <v>#REF!</v>
      </c>
      <c r="HF118" t="str">
        <f>AND(#REF!,"AAAAAH6/c9U=")</f>
        <v>#REF!</v>
      </c>
      <c r="HG118" t="str">
        <f>AND(#REF!,"AAAAAH6/c9Y=")</f>
        <v>#REF!</v>
      </c>
      <c r="HH118" t="str">
        <f>AND(#REF!,"AAAAAH6/c9c=")</f>
        <v>#REF!</v>
      </c>
      <c r="HI118" t="str">
        <f>AND(#REF!,"AAAAAH6/c9g=")</f>
        <v>#REF!</v>
      </c>
      <c r="HJ118" t="str">
        <f>AND(#REF!,"AAAAAH6/c9k=")</f>
        <v>#REF!</v>
      </c>
      <c r="HK118" t="str">
        <f>AND(#REF!,"AAAAAH6/c9o=")</f>
        <v>#REF!</v>
      </c>
      <c r="HL118" t="str">
        <f>AND(#REF!,"AAAAAH6/c9s=")</f>
        <v>#REF!</v>
      </c>
      <c r="HM118" t="str">
        <f>AND(#REF!,"AAAAAH6/c9w=")</f>
        <v>#REF!</v>
      </c>
      <c r="HN118" t="str">
        <f>AND(#REF!,"AAAAAH6/c90=")</f>
        <v>#REF!</v>
      </c>
      <c r="HO118" t="str">
        <f>AND(#REF!,"AAAAAH6/c94=")</f>
        <v>#REF!</v>
      </c>
      <c r="HP118" t="str">
        <f>AND(#REF!,"AAAAAH6/c98=")</f>
        <v>#REF!</v>
      </c>
      <c r="HQ118" t="str">
        <f>AND(#REF!,"AAAAAH6/c+A=")</f>
        <v>#REF!</v>
      </c>
      <c r="HR118" t="str">
        <f>AND(#REF!,"AAAAAH6/c+E=")</f>
        <v>#REF!</v>
      </c>
      <c r="HS118" t="str">
        <f>AND(#REF!,"AAAAAH6/c+I=")</f>
        <v>#REF!</v>
      </c>
      <c r="HT118" t="str">
        <f>AND(#REF!,"AAAAAH6/c+M=")</f>
        <v>#REF!</v>
      </c>
      <c r="HU118" t="str">
        <f>AND(#REF!,"AAAAAH6/c+Q=")</f>
        <v>#REF!</v>
      </c>
      <c r="HV118" t="str">
        <f>AND(#REF!,"AAAAAH6/c+U=")</f>
        <v>#REF!</v>
      </c>
      <c r="HW118" t="str">
        <f>AND(#REF!,"AAAAAH6/c+Y=")</f>
        <v>#REF!</v>
      </c>
      <c r="HX118" t="str">
        <f>AND(#REF!,"AAAAAH6/c+c=")</f>
        <v>#REF!</v>
      </c>
      <c r="HY118" t="str">
        <f>AND(#REF!,"AAAAAH6/c+g=")</f>
        <v>#REF!</v>
      </c>
      <c r="HZ118" t="str">
        <f>AND(#REF!,"AAAAAH6/c+k=")</f>
        <v>#REF!</v>
      </c>
      <c r="IA118" t="str">
        <f>AND(#REF!,"AAAAAH6/c+o=")</f>
        <v>#REF!</v>
      </c>
      <c r="IB118" t="str">
        <f>AND(#REF!,"AAAAAH6/c+s=")</f>
        <v>#REF!</v>
      </c>
      <c r="IC118" t="str">
        <f>AND(#REF!,"AAAAAH6/c+w=")</f>
        <v>#REF!</v>
      </c>
      <c r="ID118" t="str">
        <f>AND(#REF!,"AAAAAH6/c+0=")</f>
        <v>#REF!</v>
      </c>
      <c r="IE118" t="str">
        <f>AND(#REF!,"AAAAAH6/c+4=")</f>
        <v>#REF!</v>
      </c>
      <c r="IF118" t="str">
        <f>AND(#REF!,"AAAAAH6/c+8=")</f>
        <v>#REF!</v>
      </c>
      <c r="IG118" t="str">
        <f>AND(#REF!,"AAAAAH6/c/A=")</f>
        <v>#REF!</v>
      </c>
      <c r="IH118" t="str">
        <f>AND(#REF!,"AAAAAH6/c/E=")</f>
        <v>#REF!</v>
      </c>
      <c r="II118" t="str">
        <f>AND(#REF!,"AAAAAH6/c/I=")</f>
        <v>#REF!</v>
      </c>
      <c r="IJ118" t="str">
        <f>AND(#REF!,"AAAAAH6/c/M=")</f>
        <v>#REF!</v>
      </c>
      <c r="IK118" t="str">
        <f>AND(#REF!,"AAAAAH6/c/Q=")</f>
        <v>#REF!</v>
      </c>
      <c r="IL118" t="str">
        <f>AND(#REF!,"AAAAAH6/c/U=")</f>
        <v>#REF!</v>
      </c>
      <c r="IM118" t="str">
        <f>AND(#REF!,"AAAAAH6/c/Y=")</f>
        <v>#REF!</v>
      </c>
      <c r="IN118" t="str">
        <f>AND(#REF!,"AAAAAH6/c/c=")</f>
        <v>#REF!</v>
      </c>
      <c r="IO118" t="str">
        <f>AND(#REF!,"AAAAAH6/c/g=")</f>
        <v>#REF!</v>
      </c>
      <c r="IP118" t="str">
        <f>AND(#REF!,"AAAAAH6/c/k=")</f>
        <v>#REF!</v>
      </c>
      <c r="IQ118" t="str">
        <f>AND(#REF!,"AAAAAH6/c/o=")</f>
        <v>#REF!</v>
      </c>
      <c r="IR118" t="str">
        <f>AND(#REF!,"AAAAAH6/c/s=")</f>
        <v>#REF!</v>
      </c>
      <c r="IS118" t="str">
        <f>AND(#REF!,"AAAAAH6/c/w=")</f>
        <v>#REF!</v>
      </c>
      <c r="IT118" t="str">
        <f>AND(#REF!,"AAAAAH6/c/0=")</f>
        <v>#REF!</v>
      </c>
      <c r="IU118" t="str">
        <f>AND(#REF!,"AAAAAH6/c/4=")</f>
        <v>#REF!</v>
      </c>
      <c r="IV118" t="str">
        <f>AND(#REF!,"AAAAAH6/c/8=")</f>
        <v>#REF!</v>
      </c>
    </row>
    <row r="119" ht="15.75" customHeight="1">
      <c r="A119" t="str">
        <f>AND(#REF!,"AAAAAE//ewA=")</f>
        <v>#REF!</v>
      </c>
      <c r="B119" t="str">
        <f>AND(#REF!,"AAAAAE//ewE=")</f>
        <v>#REF!</v>
      </c>
      <c r="C119" t="str">
        <f>AND(#REF!,"AAAAAE//ewI=")</f>
        <v>#REF!</v>
      </c>
      <c r="D119" t="str">
        <f>AND(#REF!,"AAAAAE//ewM=")</f>
        <v>#REF!</v>
      </c>
      <c r="E119" t="str">
        <f>AND(#REF!,"AAAAAE//ewQ=")</f>
        <v>#REF!</v>
      </c>
      <c r="F119" t="str">
        <f>AND(#REF!,"AAAAAE//ewU=")</f>
        <v>#REF!</v>
      </c>
      <c r="G119" t="str">
        <f>AND(#REF!,"AAAAAE//ewY=")</f>
        <v>#REF!</v>
      </c>
      <c r="H119" t="str">
        <f>AND(#REF!,"AAAAAE//ewc=")</f>
        <v>#REF!</v>
      </c>
      <c r="I119" t="str">
        <f>AND(#REF!,"AAAAAE//ewg=")</f>
        <v>#REF!</v>
      </c>
      <c r="J119" t="str">
        <f>AND(#REF!,"AAAAAE//ewk=")</f>
        <v>#REF!</v>
      </c>
      <c r="K119" t="str">
        <f>AND(#REF!,"AAAAAE//ewo=")</f>
        <v>#REF!</v>
      </c>
      <c r="L119" t="str">
        <f>AND(#REF!,"AAAAAE//ews=")</f>
        <v>#REF!</v>
      </c>
      <c r="M119" t="str">
        <f>AND(#REF!,"AAAAAE//eww=")</f>
        <v>#REF!</v>
      </c>
      <c r="N119" t="str">
        <f>AND(#REF!,"AAAAAE//ew0=")</f>
        <v>#REF!</v>
      </c>
      <c r="O119" t="str">
        <f>AND(#REF!,"AAAAAE//ew4=")</f>
        <v>#REF!</v>
      </c>
      <c r="P119" t="str">
        <f>AND(#REF!,"AAAAAE//ew8=")</f>
        <v>#REF!</v>
      </c>
      <c r="Q119" t="str">
        <f>AND(#REF!,"AAAAAE//exA=")</f>
        <v>#REF!</v>
      </c>
      <c r="R119" t="str">
        <f>AND(#REF!,"AAAAAE//exE=")</f>
        <v>#REF!</v>
      </c>
      <c r="S119" t="str">
        <f>AND(#REF!,"AAAAAE//exI=")</f>
        <v>#REF!</v>
      </c>
      <c r="T119" t="str">
        <f>AND(#REF!,"AAAAAE//exM=")</f>
        <v>#REF!</v>
      </c>
      <c r="U119" t="str">
        <f>AND(#REF!,"AAAAAE//exQ=")</f>
        <v>#REF!</v>
      </c>
      <c r="V119" t="str">
        <f>AND(#REF!,"AAAAAE//exU=")</f>
        <v>#REF!</v>
      </c>
      <c r="W119" t="str">
        <f>AND(#REF!,"AAAAAE//exY=")</f>
        <v>#REF!</v>
      </c>
      <c r="X119" t="str">
        <f>AND(#REF!,"AAAAAE//exc=")</f>
        <v>#REF!</v>
      </c>
      <c r="Y119" t="str">
        <f>AND(#REF!,"AAAAAE//exg=")</f>
        <v>#REF!</v>
      </c>
      <c r="Z119" t="str">
        <f>AND(#REF!,"AAAAAE//exk=")</f>
        <v>#REF!</v>
      </c>
      <c r="AA119" t="str">
        <f>IF(#REF!,"AAAAAE//exo=",0)</f>
        <v>#REF!</v>
      </c>
      <c r="AB119" t="str">
        <f>AND(#REF!,"AAAAAE//exs=")</f>
        <v>#REF!</v>
      </c>
      <c r="AC119" t="str">
        <f>AND(#REF!,"AAAAAE//exw=")</f>
        <v>#REF!</v>
      </c>
      <c r="AD119" t="str">
        <f>AND(#REF!,"AAAAAE//ex0=")</f>
        <v>#REF!</v>
      </c>
      <c r="AE119" t="str">
        <f>AND(#REF!,"AAAAAE//ex4=")</f>
        <v>#REF!</v>
      </c>
      <c r="AF119" t="str">
        <f>AND(#REF!,"AAAAAE//ex8=")</f>
        <v>#REF!</v>
      </c>
      <c r="AG119" t="str">
        <f>AND(#REF!,"AAAAAE//eyA=")</f>
        <v>#REF!</v>
      </c>
      <c r="AH119" t="str">
        <f>AND(#REF!,"AAAAAE//eyE=")</f>
        <v>#REF!</v>
      </c>
      <c r="AI119" t="str">
        <f>AND(#REF!,"AAAAAE//eyI=")</f>
        <v>#REF!</v>
      </c>
      <c r="AJ119" t="str">
        <f>AND(#REF!,"AAAAAE//eyM=")</f>
        <v>#REF!</v>
      </c>
      <c r="AK119" t="str">
        <f>AND(#REF!,"AAAAAE//eyQ=")</f>
        <v>#REF!</v>
      </c>
      <c r="AL119" t="str">
        <f>AND(#REF!,"AAAAAE//eyU=")</f>
        <v>#REF!</v>
      </c>
      <c r="AM119" t="str">
        <f>AND(#REF!,"AAAAAE//eyY=")</f>
        <v>#REF!</v>
      </c>
      <c r="AN119" t="str">
        <f>AND(#REF!,"AAAAAE//eyc=")</f>
        <v>#REF!</v>
      </c>
      <c r="AO119" t="str">
        <f>AND(#REF!,"AAAAAE//eyg=")</f>
        <v>#REF!</v>
      </c>
      <c r="AP119" t="str">
        <f>AND(#REF!,"AAAAAE//eyk=")</f>
        <v>#REF!</v>
      </c>
      <c r="AQ119" t="str">
        <f>AND(#REF!,"AAAAAE//eyo=")</f>
        <v>#REF!</v>
      </c>
      <c r="AR119" t="str">
        <f>AND(#REF!,"AAAAAE//eys=")</f>
        <v>#REF!</v>
      </c>
      <c r="AS119" t="str">
        <f>AND(#REF!,"AAAAAE//eyw=")</f>
        <v>#REF!</v>
      </c>
      <c r="AT119" t="str">
        <f>AND(#REF!,"AAAAAE//ey0=")</f>
        <v>#REF!</v>
      </c>
      <c r="AU119" t="str">
        <f>AND(#REF!,"AAAAAE//ey4=")</f>
        <v>#REF!</v>
      </c>
      <c r="AV119" t="str">
        <f>AND(#REF!,"AAAAAE//ey8=")</f>
        <v>#REF!</v>
      </c>
      <c r="AW119" t="str">
        <f>AND(#REF!,"AAAAAE//ezA=")</f>
        <v>#REF!</v>
      </c>
      <c r="AX119" t="str">
        <f>AND(#REF!,"AAAAAE//ezE=")</f>
        <v>#REF!</v>
      </c>
      <c r="AY119" t="str">
        <f>AND(#REF!,"AAAAAE//ezI=")</f>
        <v>#REF!</v>
      </c>
      <c r="AZ119" t="str">
        <f>AND(#REF!,"AAAAAE//ezM=")</f>
        <v>#REF!</v>
      </c>
      <c r="BA119" t="str">
        <f>AND(#REF!,"AAAAAE//ezQ=")</f>
        <v>#REF!</v>
      </c>
      <c r="BB119" t="str">
        <f>AND(#REF!,"AAAAAE//ezU=")</f>
        <v>#REF!</v>
      </c>
      <c r="BC119" t="str">
        <f>AND(#REF!,"AAAAAE//ezY=")</f>
        <v>#REF!</v>
      </c>
      <c r="BD119" t="str">
        <f>AND(#REF!,"AAAAAE//ezc=")</f>
        <v>#REF!</v>
      </c>
      <c r="BE119" t="str">
        <f>AND(#REF!,"AAAAAE//ezg=")</f>
        <v>#REF!</v>
      </c>
      <c r="BF119" t="str">
        <f>AND(#REF!,"AAAAAE//ezk=")</f>
        <v>#REF!</v>
      </c>
      <c r="BG119" t="str">
        <f>AND(#REF!,"AAAAAE//ezo=")</f>
        <v>#REF!</v>
      </c>
      <c r="BH119" t="str">
        <f>AND(#REF!,"AAAAAE//ezs=")</f>
        <v>#REF!</v>
      </c>
      <c r="BI119" t="str">
        <f>AND(#REF!,"AAAAAE//ezw=")</f>
        <v>#REF!</v>
      </c>
      <c r="BJ119" t="str">
        <f>AND(#REF!,"AAAAAE//ez0=")</f>
        <v>#REF!</v>
      </c>
      <c r="BK119" t="str">
        <f>AND(#REF!,"AAAAAE//ez4=")</f>
        <v>#REF!</v>
      </c>
      <c r="BL119" t="str">
        <f>AND(#REF!,"AAAAAE//ez8=")</f>
        <v>#REF!</v>
      </c>
      <c r="BM119" t="str">
        <f>AND(#REF!,"AAAAAE//e0A=")</f>
        <v>#REF!</v>
      </c>
      <c r="BN119" t="str">
        <f>AND(#REF!,"AAAAAE//e0E=")</f>
        <v>#REF!</v>
      </c>
      <c r="BO119" t="str">
        <f>AND(#REF!,"AAAAAE//e0I=")</f>
        <v>#REF!</v>
      </c>
      <c r="BP119" t="str">
        <f>AND(#REF!,"AAAAAE//e0M=")</f>
        <v>#REF!</v>
      </c>
      <c r="BQ119" t="str">
        <f>AND(#REF!,"AAAAAE//e0Q=")</f>
        <v>#REF!</v>
      </c>
      <c r="BR119" t="str">
        <f>AND(#REF!,"AAAAAE//e0U=")</f>
        <v>#REF!</v>
      </c>
      <c r="BS119" t="str">
        <f>AND(#REF!,"AAAAAE//e0Y=")</f>
        <v>#REF!</v>
      </c>
      <c r="BT119" t="str">
        <f>AND(#REF!,"AAAAAE//e0c=")</f>
        <v>#REF!</v>
      </c>
      <c r="BU119" t="str">
        <f>AND(#REF!,"AAAAAE//e0g=")</f>
        <v>#REF!</v>
      </c>
      <c r="BV119" t="str">
        <f>AND(#REF!,"AAAAAE//e0k=")</f>
        <v>#REF!</v>
      </c>
      <c r="BW119" t="str">
        <f>AND(#REF!,"AAAAAE//e0o=")</f>
        <v>#REF!</v>
      </c>
      <c r="BX119" t="str">
        <f>AND(#REF!,"AAAAAE//e0s=")</f>
        <v>#REF!</v>
      </c>
      <c r="BY119" t="str">
        <f>AND(#REF!,"AAAAAE//e0w=")</f>
        <v>#REF!</v>
      </c>
      <c r="BZ119" t="str">
        <f>AND(#REF!,"AAAAAE//e00=")</f>
        <v>#REF!</v>
      </c>
      <c r="CA119" t="str">
        <f>AND(#REF!,"AAAAAE//e04=")</f>
        <v>#REF!</v>
      </c>
      <c r="CB119" t="str">
        <f>AND(#REF!,"AAAAAE//e08=")</f>
        <v>#REF!</v>
      </c>
      <c r="CC119" t="str">
        <f>AND(#REF!,"AAAAAE//e1A=")</f>
        <v>#REF!</v>
      </c>
      <c r="CD119" t="str">
        <f>AND(#REF!,"AAAAAE//e1E=")</f>
        <v>#REF!</v>
      </c>
      <c r="CE119" t="str">
        <f>AND(#REF!,"AAAAAE//e1I=")</f>
        <v>#REF!</v>
      </c>
      <c r="CF119" t="str">
        <f>AND(#REF!,"AAAAAE//e1M=")</f>
        <v>#REF!</v>
      </c>
      <c r="CG119" t="str">
        <f>AND(#REF!,"AAAAAE//e1Q=")</f>
        <v>#REF!</v>
      </c>
      <c r="CH119" t="str">
        <f>AND(#REF!,"AAAAAE//e1U=")</f>
        <v>#REF!</v>
      </c>
      <c r="CI119" t="str">
        <f>AND(#REF!,"AAAAAE//e1Y=")</f>
        <v>#REF!</v>
      </c>
      <c r="CJ119" t="str">
        <f>AND(#REF!,"AAAAAE//e1c=")</f>
        <v>#REF!</v>
      </c>
      <c r="CK119" t="str">
        <f>AND(#REF!,"AAAAAE//e1g=")</f>
        <v>#REF!</v>
      </c>
      <c r="CL119" t="str">
        <f>AND(#REF!,"AAAAAE//e1k=")</f>
        <v>#REF!</v>
      </c>
      <c r="CM119" t="str">
        <f>AND(#REF!,"AAAAAE//e1o=")</f>
        <v>#REF!</v>
      </c>
      <c r="CN119" t="str">
        <f>AND(#REF!,"AAAAAE//e1s=")</f>
        <v>#REF!</v>
      </c>
      <c r="CO119" t="str">
        <f>AND(#REF!,"AAAAAE//e1w=")</f>
        <v>#REF!</v>
      </c>
      <c r="CP119" t="str">
        <f>AND(#REF!,"AAAAAE//e10=")</f>
        <v>#REF!</v>
      </c>
      <c r="CQ119" t="str">
        <f>AND(#REF!,"AAAAAE//e14=")</f>
        <v>#REF!</v>
      </c>
      <c r="CR119" t="str">
        <f>AND(#REF!,"AAAAAE//e18=")</f>
        <v>#REF!</v>
      </c>
      <c r="CS119" t="str">
        <f>AND(#REF!,"AAAAAE//e2A=")</f>
        <v>#REF!</v>
      </c>
      <c r="CT119" t="str">
        <f>AND(#REF!,"AAAAAE//e2E=")</f>
        <v>#REF!</v>
      </c>
      <c r="CU119" t="str">
        <f>AND(#REF!,"AAAAAE//e2I=")</f>
        <v>#REF!</v>
      </c>
      <c r="CV119" t="str">
        <f>AND(#REF!,"AAAAAE//e2M=")</f>
        <v>#REF!</v>
      </c>
      <c r="CW119" t="str">
        <f>AND(#REF!,"AAAAAE//e2Q=")</f>
        <v>#REF!</v>
      </c>
      <c r="CX119" t="str">
        <f>AND(#REF!,"AAAAAE//e2U=")</f>
        <v>#REF!</v>
      </c>
      <c r="CY119" t="str">
        <f>IF(#REF!,"AAAAAE//e2Y=",0)</f>
        <v>#REF!</v>
      </c>
      <c r="CZ119" t="str">
        <f>AND(#REF!,"AAAAAE//e2c=")</f>
        <v>#REF!</v>
      </c>
      <c r="DA119" t="str">
        <f>AND(#REF!,"AAAAAE//e2g=")</f>
        <v>#REF!</v>
      </c>
      <c r="DB119" t="str">
        <f>AND(#REF!,"AAAAAE//e2k=")</f>
        <v>#REF!</v>
      </c>
      <c r="DC119" t="str">
        <f>AND(#REF!,"AAAAAE//e2o=")</f>
        <v>#REF!</v>
      </c>
      <c r="DD119" t="str">
        <f>AND(#REF!,"AAAAAE//e2s=")</f>
        <v>#REF!</v>
      </c>
      <c r="DE119" t="str">
        <f>AND(#REF!,"AAAAAE//e2w=")</f>
        <v>#REF!</v>
      </c>
      <c r="DF119" t="str">
        <f>AND(#REF!,"AAAAAE//e20=")</f>
        <v>#REF!</v>
      </c>
      <c r="DG119" t="str">
        <f>AND(#REF!,"AAAAAE//e24=")</f>
        <v>#REF!</v>
      </c>
      <c r="DH119" t="str">
        <f>AND(#REF!,"AAAAAE//e28=")</f>
        <v>#REF!</v>
      </c>
      <c r="DI119" t="str">
        <f>AND(#REF!,"AAAAAE//e3A=")</f>
        <v>#REF!</v>
      </c>
      <c r="DJ119" t="str">
        <f>AND(#REF!,"AAAAAE//e3E=")</f>
        <v>#REF!</v>
      </c>
      <c r="DK119" t="str">
        <f>AND(#REF!,"AAAAAE//e3I=")</f>
        <v>#REF!</v>
      </c>
      <c r="DL119" t="str">
        <f>AND(#REF!,"AAAAAE//e3M=")</f>
        <v>#REF!</v>
      </c>
      <c r="DM119" t="str">
        <f>AND(#REF!,"AAAAAE//e3Q=")</f>
        <v>#REF!</v>
      </c>
      <c r="DN119" t="str">
        <f>AND(#REF!,"AAAAAE//e3U=")</f>
        <v>#REF!</v>
      </c>
      <c r="DO119" t="str">
        <f>AND(#REF!,"AAAAAE//e3Y=")</f>
        <v>#REF!</v>
      </c>
      <c r="DP119" t="str">
        <f>AND(#REF!,"AAAAAE//e3c=")</f>
        <v>#REF!</v>
      </c>
      <c r="DQ119" t="str">
        <f>AND(#REF!,"AAAAAE//e3g=")</f>
        <v>#REF!</v>
      </c>
      <c r="DR119" t="str">
        <f>AND(#REF!,"AAAAAE//e3k=")</f>
        <v>#REF!</v>
      </c>
      <c r="DS119" t="str">
        <f>AND(#REF!,"AAAAAE//e3o=")</f>
        <v>#REF!</v>
      </c>
      <c r="DT119" t="str">
        <f>AND(#REF!,"AAAAAE//e3s=")</f>
        <v>#REF!</v>
      </c>
      <c r="DU119" t="str">
        <f>AND(#REF!,"AAAAAE//e3w=")</f>
        <v>#REF!</v>
      </c>
      <c r="DV119" t="str">
        <f>AND(#REF!,"AAAAAE//e30=")</f>
        <v>#REF!</v>
      </c>
      <c r="DW119" t="str">
        <f>AND(#REF!,"AAAAAE//e34=")</f>
        <v>#REF!</v>
      </c>
      <c r="DX119" t="str">
        <f>AND(#REF!,"AAAAAE//e38=")</f>
        <v>#REF!</v>
      </c>
      <c r="DY119" t="str">
        <f>AND(#REF!,"AAAAAE//e4A=")</f>
        <v>#REF!</v>
      </c>
      <c r="DZ119" t="str">
        <f>AND(#REF!,"AAAAAE//e4E=")</f>
        <v>#REF!</v>
      </c>
      <c r="EA119" t="str">
        <f>AND(#REF!,"AAAAAE//e4I=")</f>
        <v>#REF!</v>
      </c>
      <c r="EB119" t="str">
        <f>AND(#REF!,"AAAAAE//e4M=")</f>
        <v>#REF!</v>
      </c>
      <c r="EC119" t="str">
        <f>AND(#REF!,"AAAAAE//e4Q=")</f>
        <v>#REF!</v>
      </c>
      <c r="ED119" t="str">
        <f>AND(#REF!,"AAAAAE//e4U=")</f>
        <v>#REF!</v>
      </c>
      <c r="EE119" t="str">
        <f>AND(#REF!,"AAAAAE//e4Y=")</f>
        <v>#REF!</v>
      </c>
      <c r="EF119" t="str">
        <f>AND(#REF!,"AAAAAE//e4c=")</f>
        <v>#REF!</v>
      </c>
      <c r="EG119" t="str">
        <f>AND(#REF!,"AAAAAE//e4g=")</f>
        <v>#REF!</v>
      </c>
      <c r="EH119" t="str">
        <f>AND(#REF!,"AAAAAE//e4k=")</f>
        <v>#REF!</v>
      </c>
      <c r="EI119" t="str">
        <f>AND(#REF!,"AAAAAE//e4o=")</f>
        <v>#REF!</v>
      </c>
      <c r="EJ119" t="str">
        <f>AND(#REF!,"AAAAAE//e4s=")</f>
        <v>#REF!</v>
      </c>
      <c r="EK119" t="str">
        <f>AND(#REF!,"AAAAAE//e4w=")</f>
        <v>#REF!</v>
      </c>
      <c r="EL119" t="str">
        <f>AND(#REF!,"AAAAAE//e40=")</f>
        <v>#REF!</v>
      </c>
      <c r="EM119" t="str">
        <f>AND(#REF!,"AAAAAE//e44=")</f>
        <v>#REF!</v>
      </c>
      <c r="EN119" t="str">
        <f>AND(#REF!,"AAAAAE//e48=")</f>
        <v>#REF!</v>
      </c>
      <c r="EO119" t="str">
        <f>AND(#REF!,"AAAAAE//e5A=")</f>
        <v>#REF!</v>
      </c>
      <c r="EP119" t="str">
        <f>AND(#REF!,"AAAAAE//e5E=")</f>
        <v>#REF!</v>
      </c>
      <c r="EQ119" t="str">
        <f>AND(#REF!,"AAAAAE//e5I=")</f>
        <v>#REF!</v>
      </c>
      <c r="ER119" t="str">
        <f>AND(#REF!,"AAAAAE//e5M=")</f>
        <v>#REF!</v>
      </c>
      <c r="ES119" t="str">
        <f>AND(#REF!,"AAAAAE//e5Q=")</f>
        <v>#REF!</v>
      </c>
      <c r="ET119" t="str">
        <f>AND(#REF!,"AAAAAE//e5U=")</f>
        <v>#REF!</v>
      </c>
      <c r="EU119" t="str">
        <f>AND(#REF!,"AAAAAE//e5Y=")</f>
        <v>#REF!</v>
      </c>
      <c r="EV119" t="str">
        <f>AND(#REF!,"AAAAAE//e5c=")</f>
        <v>#REF!</v>
      </c>
      <c r="EW119" t="str">
        <f>AND(#REF!,"AAAAAE//e5g=")</f>
        <v>#REF!</v>
      </c>
      <c r="EX119" t="str">
        <f>AND(#REF!,"AAAAAE//e5k=")</f>
        <v>#REF!</v>
      </c>
      <c r="EY119" t="str">
        <f>AND(#REF!,"AAAAAE//e5o=")</f>
        <v>#REF!</v>
      </c>
      <c r="EZ119" t="str">
        <f>AND(#REF!,"AAAAAE//e5s=")</f>
        <v>#REF!</v>
      </c>
      <c r="FA119" t="str">
        <f>AND(#REF!,"AAAAAE//e5w=")</f>
        <v>#REF!</v>
      </c>
      <c r="FB119" t="str">
        <f>AND(#REF!,"AAAAAE//e50=")</f>
        <v>#REF!</v>
      </c>
      <c r="FC119" t="str">
        <f>AND(#REF!,"AAAAAE//e54=")</f>
        <v>#REF!</v>
      </c>
      <c r="FD119" t="str">
        <f>AND(#REF!,"AAAAAE//e58=")</f>
        <v>#REF!</v>
      </c>
      <c r="FE119" t="str">
        <f>AND(#REF!,"AAAAAE//e6A=")</f>
        <v>#REF!</v>
      </c>
      <c r="FF119" t="str">
        <f>AND(#REF!,"AAAAAE//e6E=")</f>
        <v>#REF!</v>
      </c>
      <c r="FG119" t="str">
        <f>AND(#REF!,"AAAAAE//e6I=")</f>
        <v>#REF!</v>
      </c>
      <c r="FH119" t="str">
        <f>AND(#REF!,"AAAAAE//e6M=")</f>
        <v>#REF!</v>
      </c>
      <c r="FI119" t="str">
        <f>AND(#REF!,"AAAAAE//e6Q=")</f>
        <v>#REF!</v>
      </c>
      <c r="FJ119" t="str">
        <f>AND(#REF!,"AAAAAE//e6U=")</f>
        <v>#REF!</v>
      </c>
      <c r="FK119" t="str">
        <f>AND(#REF!,"AAAAAE//e6Y=")</f>
        <v>#REF!</v>
      </c>
      <c r="FL119" t="str">
        <f>AND(#REF!,"AAAAAE//e6c=")</f>
        <v>#REF!</v>
      </c>
      <c r="FM119" t="str">
        <f>AND(#REF!,"AAAAAE//e6g=")</f>
        <v>#REF!</v>
      </c>
      <c r="FN119" t="str">
        <f>AND(#REF!,"AAAAAE//e6k=")</f>
        <v>#REF!</v>
      </c>
      <c r="FO119" t="str">
        <f>AND(#REF!,"AAAAAE//e6o=")</f>
        <v>#REF!</v>
      </c>
      <c r="FP119" t="str">
        <f>AND(#REF!,"AAAAAE//e6s=")</f>
        <v>#REF!</v>
      </c>
      <c r="FQ119" t="str">
        <f>AND(#REF!,"AAAAAE//e6w=")</f>
        <v>#REF!</v>
      </c>
      <c r="FR119" t="str">
        <f>AND(#REF!,"AAAAAE//e60=")</f>
        <v>#REF!</v>
      </c>
      <c r="FS119" t="str">
        <f>AND(#REF!,"AAAAAE//e64=")</f>
        <v>#REF!</v>
      </c>
      <c r="FT119" t="str">
        <f>AND(#REF!,"AAAAAE//e68=")</f>
        <v>#REF!</v>
      </c>
      <c r="FU119" t="str">
        <f>AND(#REF!,"AAAAAE//e7A=")</f>
        <v>#REF!</v>
      </c>
      <c r="FV119" t="str">
        <f>AND(#REF!,"AAAAAE//e7E=")</f>
        <v>#REF!</v>
      </c>
      <c r="FW119" t="str">
        <f>IF(#REF!,"AAAAAE//e7I=",0)</f>
        <v>#REF!</v>
      </c>
      <c r="FX119" t="str">
        <f>AND(#REF!,"AAAAAE//e7M=")</f>
        <v>#REF!</v>
      </c>
      <c r="FY119" t="str">
        <f>AND(#REF!,"AAAAAE//e7Q=")</f>
        <v>#REF!</v>
      </c>
      <c r="FZ119" t="str">
        <f>AND(#REF!,"AAAAAE//e7U=")</f>
        <v>#REF!</v>
      </c>
      <c r="GA119" t="str">
        <f>AND(#REF!,"AAAAAE//e7Y=")</f>
        <v>#REF!</v>
      </c>
      <c r="GB119" t="str">
        <f>AND(#REF!,"AAAAAE//e7c=")</f>
        <v>#REF!</v>
      </c>
      <c r="GC119" t="str">
        <f>AND(#REF!,"AAAAAE//e7g=")</f>
        <v>#REF!</v>
      </c>
      <c r="GD119" t="str">
        <f>AND(#REF!,"AAAAAE//e7k=")</f>
        <v>#REF!</v>
      </c>
      <c r="GE119" t="str">
        <f>AND(#REF!,"AAAAAE//e7o=")</f>
        <v>#REF!</v>
      </c>
      <c r="GF119" t="str">
        <f>AND(#REF!,"AAAAAE//e7s=")</f>
        <v>#REF!</v>
      </c>
      <c r="GG119" t="str">
        <f>AND(#REF!,"AAAAAE//e7w=")</f>
        <v>#REF!</v>
      </c>
      <c r="GH119" t="str">
        <f>AND(#REF!,"AAAAAE//e70=")</f>
        <v>#REF!</v>
      </c>
      <c r="GI119" t="str">
        <f>AND(#REF!,"AAAAAE//e74=")</f>
        <v>#REF!</v>
      </c>
      <c r="GJ119" t="str">
        <f>AND(#REF!,"AAAAAE//e78=")</f>
        <v>#REF!</v>
      </c>
      <c r="GK119" t="str">
        <f>AND(#REF!,"AAAAAE//e8A=")</f>
        <v>#REF!</v>
      </c>
      <c r="GL119" t="str">
        <f>AND(#REF!,"AAAAAE//e8E=")</f>
        <v>#REF!</v>
      </c>
      <c r="GM119" t="str">
        <f>AND(#REF!,"AAAAAE//e8I=")</f>
        <v>#REF!</v>
      </c>
      <c r="GN119" t="str">
        <f>AND(#REF!,"AAAAAE//e8M=")</f>
        <v>#REF!</v>
      </c>
      <c r="GO119" t="str">
        <f>AND(#REF!,"AAAAAE//e8Q=")</f>
        <v>#REF!</v>
      </c>
      <c r="GP119" t="str">
        <f>AND(#REF!,"AAAAAE//e8U=")</f>
        <v>#REF!</v>
      </c>
      <c r="GQ119" t="str">
        <f>AND(#REF!,"AAAAAE//e8Y=")</f>
        <v>#REF!</v>
      </c>
      <c r="GR119" t="str">
        <f>AND(#REF!,"AAAAAE//e8c=")</f>
        <v>#REF!</v>
      </c>
      <c r="GS119" t="str">
        <f>AND(#REF!,"AAAAAE//e8g=")</f>
        <v>#REF!</v>
      </c>
      <c r="GT119" t="str">
        <f>AND(#REF!,"AAAAAE//e8k=")</f>
        <v>#REF!</v>
      </c>
      <c r="GU119" t="str">
        <f>AND(#REF!,"AAAAAE//e8o=")</f>
        <v>#REF!</v>
      </c>
      <c r="GV119" t="str">
        <f>AND(#REF!,"AAAAAE//e8s=")</f>
        <v>#REF!</v>
      </c>
      <c r="GW119" t="str">
        <f>AND(#REF!,"AAAAAE//e8w=")</f>
        <v>#REF!</v>
      </c>
      <c r="GX119" t="str">
        <f>AND(#REF!,"AAAAAE//e80=")</f>
        <v>#REF!</v>
      </c>
      <c r="GY119" t="str">
        <f>AND(#REF!,"AAAAAE//e84=")</f>
        <v>#REF!</v>
      </c>
      <c r="GZ119" t="str">
        <f>AND(#REF!,"AAAAAE//e88=")</f>
        <v>#REF!</v>
      </c>
      <c r="HA119" t="str">
        <f>AND(#REF!,"AAAAAE//e9A=")</f>
        <v>#REF!</v>
      </c>
      <c r="HB119" t="str">
        <f>AND(#REF!,"AAAAAE//e9E=")</f>
        <v>#REF!</v>
      </c>
      <c r="HC119" t="str">
        <f>AND(#REF!,"AAAAAE//e9I=")</f>
        <v>#REF!</v>
      </c>
      <c r="HD119" t="str">
        <f>AND(#REF!,"AAAAAE//e9M=")</f>
        <v>#REF!</v>
      </c>
      <c r="HE119" t="str">
        <f>AND(#REF!,"AAAAAE//e9Q=")</f>
        <v>#REF!</v>
      </c>
      <c r="HF119" t="str">
        <f>AND(#REF!,"AAAAAE//e9U=")</f>
        <v>#REF!</v>
      </c>
      <c r="HG119" t="str">
        <f>AND(#REF!,"AAAAAE//e9Y=")</f>
        <v>#REF!</v>
      </c>
      <c r="HH119" t="str">
        <f>AND(#REF!,"AAAAAE//e9c=")</f>
        <v>#REF!</v>
      </c>
      <c r="HI119" t="str">
        <f>AND(#REF!,"AAAAAE//e9g=")</f>
        <v>#REF!</v>
      </c>
      <c r="HJ119" t="str">
        <f>AND(#REF!,"AAAAAE//e9k=")</f>
        <v>#REF!</v>
      </c>
      <c r="HK119" t="str">
        <f>AND(#REF!,"AAAAAE//e9o=")</f>
        <v>#REF!</v>
      </c>
      <c r="HL119" t="str">
        <f>AND(#REF!,"AAAAAE//e9s=")</f>
        <v>#REF!</v>
      </c>
      <c r="HM119" t="str">
        <f>AND(#REF!,"AAAAAE//e9w=")</f>
        <v>#REF!</v>
      </c>
      <c r="HN119" t="str">
        <f>AND(#REF!,"AAAAAE//e90=")</f>
        <v>#REF!</v>
      </c>
      <c r="HO119" t="str">
        <f>AND(#REF!,"AAAAAE//e94=")</f>
        <v>#REF!</v>
      </c>
      <c r="HP119" t="str">
        <f>AND(#REF!,"AAAAAE//e98=")</f>
        <v>#REF!</v>
      </c>
      <c r="HQ119" t="str">
        <f>AND(#REF!,"AAAAAE//e+A=")</f>
        <v>#REF!</v>
      </c>
      <c r="HR119" t="str">
        <f>AND(#REF!,"AAAAAE//e+E=")</f>
        <v>#REF!</v>
      </c>
      <c r="HS119" t="str">
        <f>AND(#REF!,"AAAAAE//e+I=")</f>
        <v>#REF!</v>
      </c>
      <c r="HT119" t="str">
        <f>AND(#REF!,"AAAAAE//e+M=")</f>
        <v>#REF!</v>
      </c>
      <c r="HU119" t="str">
        <f>AND(#REF!,"AAAAAE//e+Q=")</f>
        <v>#REF!</v>
      </c>
      <c r="HV119" t="str">
        <f>AND(#REF!,"AAAAAE//e+U=")</f>
        <v>#REF!</v>
      </c>
      <c r="HW119" t="str">
        <f>AND(#REF!,"AAAAAE//e+Y=")</f>
        <v>#REF!</v>
      </c>
      <c r="HX119" t="str">
        <f>AND(#REF!,"AAAAAE//e+c=")</f>
        <v>#REF!</v>
      </c>
      <c r="HY119" t="str">
        <f>AND(#REF!,"AAAAAE//e+g=")</f>
        <v>#REF!</v>
      </c>
      <c r="HZ119" t="str">
        <f>AND(#REF!,"AAAAAE//e+k=")</f>
        <v>#REF!</v>
      </c>
      <c r="IA119" t="str">
        <f>AND(#REF!,"AAAAAE//e+o=")</f>
        <v>#REF!</v>
      </c>
      <c r="IB119" t="str">
        <f>AND(#REF!,"AAAAAE//e+s=")</f>
        <v>#REF!</v>
      </c>
      <c r="IC119" t="str">
        <f>AND(#REF!,"AAAAAE//e+w=")</f>
        <v>#REF!</v>
      </c>
      <c r="ID119" t="str">
        <f>AND(#REF!,"AAAAAE//e+0=")</f>
        <v>#REF!</v>
      </c>
      <c r="IE119" t="str">
        <f>AND(#REF!,"AAAAAE//e+4=")</f>
        <v>#REF!</v>
      </c>
      <c r="IF119" t="str">
        <f>AND(#REF!,"AAAAAE//e+8=")</f>
        <v>#REF!</v>
      </c>
      <c r="IG119" t="str">
        <f>AND(#REF!,"AAAAAE//e/A=")</f>
        <v>#REF!</v>
      </c>
      <c r="IH119" t="str">
        <f>AND(#REF!,"AAAAAE//e/E=")</f>
        <v>#REF!</v>
      </c>
      <c r="II119" t="str">
        <f>AND(#REF!,"AAAAAE//e/I=")</f>
        <v>#REF!</v>
      </c>
      <c r="IJ119" t="str">
        <f>AND(#REF!,"AAAAAE//e/M=")</f>
        <v>#REF!</v>
      </c>
      <c r="IK119" t="str">
        <f>AND(#REF!,"AAAAAE//e/Q=")</f>
        <v>#REF!</v>
      </c>
      <c r="IL119" t="str">
        <f>AND(#REF!,"AAAAAE//e/U=")</f>
        <v>#REF!</v>
      </c>
      <c r="IM119" t="str">
        <f>AND(#REF!,"AAAAAE//e/Y=")</f>
        <v>#REF!</v>
      </c>
      <c r="IN119" t="str">
        <f>AND(#REF!,"AAAAAE//e/c=")</f>
        <v>#REF!</v>
      </c>
      <c r="IO119" t="str">
        <f>AND(#REF!,"AAAAAE//e/g=")</f>
        <v>#REF!</v>
      </c>
      <c r="IP119" t="str">
        <f>AND(#REF!,"AAAAAE//e/k=")</f>
        <v>#REF!</v>
      </c>
      <c r="IQ119" t="str">
        <f>AND(#REF!,"AAAAAE//e/o=")</f>
        <v>#REF!</v>
      </c>
      <c r="IR119" t="str">
        <f>AND(#REF!,"AAAAAE//e/s=")</f>
        <v>#REF!</v>
      </c>
      <c r="IS119" t="str">
        <f>AND(#REF!,"AAAAAE//e/w=")</f>
        <v>#REF!</v>
      </c>
      <c r="IT119" t="str">
        <f>AND(#REF!,"AAAAAE//e/0=")</f>
        <v>#REF!</v>
      </c>
      <c r="IU119" t="str">
        <f>IF(#REF!,"AAAAAE//e/4=",0)</f>
        <v>#REF!</v>
      </c>
      <c r="IV119" t="str">
        <f>AND(#REF!,"AAAAAE//e/8=")</f>
        <v>#REF!</v>
      </c>
    </row>
    <row r="120" ht="15.75" customHeight="1">
      <c r="A120" t="str">
        <f>AND(#REF!,"AAAAADv/3wA=")</f>
        <v>#REF!</v>
      </c>
      <c r="B120" t="str">
        <f>AND(#REF!,"AAAAADv/3wE=")</f>
        <v>#REF!</v>
      </c>
      <c r="C120" t="str">
        <f>AND(#REF!,"AAAAADv/3wI=")</f>
        <v>#REF!</v>
      </c>
      <c r="D120" t="str">
        <f>AND(#REF!,"AAAAADv/3wM=")</f>
        <v>#REF!</v>
      </c>
      <c r="E120" t="str">
        <f>AND(#REF!,"AAAAADv/3wQ=")</f>
        <v>#REF!</v>
      </c>
      <c r="F120" t="str">
        <f>AND(#REF!,"AAAAADv/3wU=")</f>
        <v>#REF!</v>
      </c>
      <c r="G120" t="str">
        <f>AND(#REF!,"AAAAADv/3wY=")</f>
        <v>#REF!</v>
      </c>
      <c r="H120" t="str">
        <f>AND(#REF!,"AAAAADv/3wc=")</f>
        <v>#REF!</v>
      </c>
      <c r="I120" t="str">
        <f>AND(#REF!,"AAAAADv/3wg=")</f>
        <v>#REF!</v>
      </c>
      <c r="J120" t="str">
        <f>AND(#REF!,"AAAAADv/3wk=")</f>
        <v>#REF!</v>
      </c>
      <c r="K120" t="str">
        <f>AND(#REF!,"AAAAADv/3wo=")</f>
        <v>#REF!</v>
      </c>
      <c r="L120" t="str">
        <f>AND(#REF!,"AAAAADv/3ws=")</f>
        <v>#REF!</v>
      </c>
      <c r="M120" t="str">
        <f>AND(#REF!,"AAAAADv/3ww=")</f>
        <v>#REF!</v>
      </c>
      <c r="N120" t="str">
        <f>AND(#REF!,"AAAAADv/3w0=")</f>
        <v>#REF!</v>
      </c>
      <c r="O120" t="str">
        <f>AND(#REF!,"AAAAADv/3w4=")</f>
        <v>#REF!</v>
      </c>
      <c r="P120" t="str">
        <f>AND(#REF!,"AAAAADv/3w8=")</f>
        <v>#REF!</v>
      </c>
      <c r="Q120" t="str">
        <f>AND(#REF!,"AAAAADv/3xA=")</f>
        <v>#REF!</v>
      </c>
      <c r="R120" t="str">
        <f>AND(#REF!,"AAAAADv/3xE=")</f>
        <v>#REF!</v>
      </c>
      <c r="S120" t="str">
        <f>AND(#REF!,"AAAAADv/3xI=")</f>
        <v>#REF!</v>
      </c>
      <c r="T120" t="str">
        <f>AND(#REF!,"AAAAADv/3xM=")</f>
        <v>#REF!</v>
      </c>
      <c r="U120" t="str">
        <f>AND(#REF!,"AAAAADv/3xQ=")</f>
        <v>#REF!</v>
      </c>
      <c r="V120" t="str">
        <f>AND(#REF!,"AAAAADv/3xU=")</f>
        <v>#REF!</v>
      </c>
      <c r="W120" t="str">
        <f>AND(#REF!,"AAAAADv/3xY=")</f>
        <v>#REF!</v>
      </c>
      <c r="X120" t="str">
        <f>AND(#REF!,"AAAAADv/3xc=")</f>
        <v>#REF!</v>
      </c>
      <c r="Y120" t="str">
        <f>AND(#REF!,"AAAAADv/3xg=")</f>
        <v>#REF!</v>
      </c>
      <c r="Z120" t="str">
        <f>AND(#REF!,"AAAAADv/3xk=")</f>
        <v>#REF!</v>
      </c>
      <c r="AA120" t="str">
        <f>AND(#REF!,"AAAAADv/3xo=")</f>
        <v>#REF!</v>
      </c>
      <c r="AB120" t="str">
        <f>AND(#REF!,"AAAAADv/3xs=")</f>
        <v>#REF!</v>
      </c>
      <c r="AC120" t="str">
        <f>AND(#REF!,"AAAAADv/3xw=")</f>
        <v>#REF!</v>
      </c>
      <c r="AD120" t="str">
        <f>AND(#REF!,"AAAAADv/3x0=")</f>
        <v>#REF!</v>
      </c>
      <c r="AE120" t="str">
        <f>AND(#REF!,"AAAAADv/3x4=")</f>
        <v>#REF!</v>
      </c>
      <c r="AF120" t="str">
        <f>AND(#REF!,"AAAAADv/3x8=")</f>
        <v>#REF!</v>
      </c>
      <c r="AG120" t="str">
        <f>AND(#REF!,"AAAAADv/3yA=")</f>
        <v>#REF!</v>
      </c>
      <c r="AH120" t="str">
        <f>AND(#REF!,"AAAAADv/3yE=")</f>
        <v>#REF!</v>
      </c>
      <c r="AI120" t="str">
        <f>AND(#REF!,"AAAAADv/3yI=")</f>
        <v>#REF!</v>
      </c>
      <c r="AJ120" t="str">
        <f>AND(#REF!,"AAAAADv/3yM=")</f>
        <v>#REF!</v>
      </c>
      <c r="AK120" t="str">
        <f>AND(#REF!,"AAAAADv/3yQ=")</f>
        <v>#REF!</v>
      </c>
      <c r="AL120" t="str">
        <f>AND(#REF!,"AAAAADv/3yU=")</f>
        <v>#REF!</v>
      </c>
      <c r="AM120" t="str">
        <f>AND(#REF!,"AAAAADv/3yY=")</f>
        <v>#REF!</v>
      </c>
      <c r="AN120" t="str">
        <f>AND(#REF!,"AAAAADv/3yc=")</f>
        <v>#REF!</v>
      </c>
      <c r="AO120" t="str">
        <f>AND(#REF!,"AAAAADv/3yg=")</f>
        <v>#REF!</v>
      </c>
      <c r="AP120" t="str">
        <f>AND(#REF!,"AAAAADv/3yk=")</f>
        <v>#REF!</v>
      </c>
      <c r="AQ120" t="str">
        <f>AND(#REF!,"AAAAADv/3yo=")</f>
        <v>#REF!</v>
      </c>
      <c r="AR120" t="str">
        <f>AND(#REF!,"AAAAADv/3ys=")</f>
        <v>#REF!</v>
      </c>
      <c r="AS120" t="str">
        <f>AND(#REF!,"AAAAADv/3yw=")</f>
        <v>#REF!</v>
      </c>
      <c r="AT120" t="str">
        <f>AND(#REF!,"AAAAADv/3y0=")</f>
        <v>#REF!</v>
      </c>
      <c r="AU120" t="str">
        <f>AND(#REF!,"AAAAADv/3y4=")</f>
        <v>#REF!</v>
      </c>
      <c r="AV120" t="str">
        <f>AND(#REF!,"AAAAADv/3y8=")</f>
        <v>#REF!</v>
      </c>
      <c r="AW120" t="str">
        <f>AND(#REF!,"AAAAADv/3zA=")</f>
        <v>#REF!</v>
      </c>
      <c r="AX120" t="str">
        <f>AND(#REF!,"AAAAADv/3zE=")</f>
        <v>#REF!</v>
      </c>
      <c r="AY120" t="str">
        <f>AND(#REF!,"AAAAADv/3zI=")</f>
        <v>#REF!</v>
      </c>
      <c r="AZ120" t="str">
        <f>AND(#REF!,"AAAAADv/3zM=")</f>
        <v>#REF!</v>
      </c>
      <c r="BA120" t="str">
        <f>AND(#REF!,"AAAAADv/3zQ=")</f>
        <v>#REF!</v>
      </c>
      <c r="BB120" t="str">
        <f>AND(#REF!,"AAAAADv/3zU=")</f>
        <v>#REF!</v>
      </c>
      <c r="BC120" t="str">
        <f>AND(#REF!,"AAAAADv/3zY=")</f>
        <v>#REF!</v>
      </c>
      <c r="BD120" t="str">
        <f>AND(#REF!,"AAAAADv/3zc=")</f>
        <v>#REF!</v>
      </c>
      <c r="BE120" t="str">
        <f>AND(#REF!,"AAAAADv/3zg=")</f>
        <v>#REF!</v>
      </c>
      <c r="BF120" t="str">
        <f>AND(#REF!,"AAAAADv/3zk=")</f>
        <v>#REF!</v>
      </c>
      <c r="BG120" t="str">
        <f>AND(#REF!,"AAAAADv/3zo=")</f>
        <v>#REF!</v>
      </c>
      <c r="BH120" t="str">
        <f>AND(#REF!,"AAAAADv/3zs=")</f>
        <v>#REF!</v>
      </c>
      <c r="BI120" t="str">
        <f>AND(#REF!,"AAAAADv/3zw=")</f>
        <v>#REF!</v>
      </c>
      <c r="BJ120" t="str">
        <f>AND(#REF!,"AAAAADv/3z0=")</f>
        <v>#REF!</v>
      </c>
      <c r="BK120" t="str">
        <f>AND(#REF!,"AAAAADv/3z4=")</f>
        <v>#REF!</v>
      </c>
      <c r="BL120" t="str">
        <f>AND(#REF!,"AAAAADv/3z8=")</f>
        <v>#REF!</v>
      </c>
      <c r="BM120" t="str">
        <f>AND(#REF!,"AAAAADv/30A=")</f>
        <v>#REF!</v>
      </c>
      <c r="BN120" t="str">
        <f>AND(#REF!,"AAAAADv/30E=")</f>
        <v>#REF!</v>
      </c>
      <c r="BO120" t="str">
        <f>AND(#REF!,"AAAAADv/30I=")</f>
        <v>#REF!</v>
      </c>
      <c r="BP120" t="str">
        <f>AND(#REF!,"AAAAADv/30M=")</f>
        <v>#REF!</v>
      </c>
      <c r="BQ120" t="str">
        <f>AND(#REF!,"AAAAADv/30Q=")</f>
        <v>#REF!</v>
      </c>
      <c r="BR120" t="str">
        <f>AND(#REF!,"AAAAADv/30U=")</f>
        <v>#REF!</v>
      </c>
      <c r="BS120" t="str">
        <f>AND(#REF!,"AAAAADv/30Y=")</f>
        <v>#REF!</v>
      </c>
      <c r="BT120" t="str">
        <f>AND(#REF!,"AAAAADv/30c=")</f>
        <v>#REF!</v>
      </c>
      <c r="BU120" t="str">
        <f>AND(#REF!,"AAAAADv/30g=")</f>
        <v>#REF!</v>
      </c>
      <c r="BV120" t="str">
        <f>AND(#REF!,"AAAAADv/30k=")</f>
        <v>#REF!</v>
      </c>
      <c r="BW120" t="str">
        <f>IF(#REF!,"AAAAADv/30o=",0)</f>
        <v>#REF!</v>
      </c>
      <c r="BX120" t="str">
        <f>AND(#REF!,"AAAAADv/30s=")</f>
        <v>#REF!</v>
      </c>
      <c r="BY120" t="str">
        <f>AND(#REF!,"AAAAADv/30w=")</f>
        <v>#REF!</v>
      </c>
      <c r="BZ120" t="str">
        <f>AND(#REF!,"AAAAADv/300=")</f>
        <v>#REF!</v>
      </c>
      <c r="CA120" t="str">
        <f>AND(#REF!,"AAAAADv/304=")</f>
        <v>#REF!</v>
      </c>
      <c r="CB120" t="str">
        <f>AND(#REF!,"AAAAADv/308=")</f>
        <v>#REF!</v>
      </c>
      <c r="CC120" t="str">
        <f>AND(#REF!,"AAAAADv/31A=")</f>
        <v>#REF!</v>
      </c>
      <c r="CD120" t="str">
        <f>AND(#REF!,"AAAAADv/31E=")</f>
        <v>#REF!</v>
      </c>
      <c r="CE120" t="str">
        <f>AND(#REF!,"AAAAADv/31I=")</f>
        <v>#REF!</v>
      </c>
      <c r="CF120" t="str">
        <f>AND(#REF!,"AAAAADv/31M=")</f>
        <v>#REF!</v>
      </c>
      <c r="CG120" t="str">
        <f>AND(#REF!,"AAAAADv/31Q=")</f>
        <v>#REF!</v>
      </c>
      <c r="CH120" t="str">
        <f>AND(#REF!,"AAAAADv/31U=")</f>
        <v>#REF!</v>
      </c>
      <c r="CI120" t="str">
        <f>AND(#REF!,"AAAAADv/31Y=")</f>
        <v>#REF!</v>
      </c>
      <c r="CJ120" t="str">
        <f>AND(#REF!,"AAAAADv/31c=")</f>
        <v>#REF!</v>
      </c>
      <c r="CK120" t="str">
        <f>AND(#REF!,"AAAAADv/31g=")</f>
        <v>#REF!</v>
      </c>
      <c r="CL120" t="str">
        <f>AND(#REF!,"AAAAADv/31k=")</f>
        <v>#REF!</v>
      </c>
      <c r="CM120" t="str">
        <f>AND(#REF!,"AAAAADv/31o=")</f>
        <v>#REF!</v>
      </c>
      <c r="CN120" t="str">
        <f>AND(#REF!,"AAAAADv/31s=")</f>
        <v>#REF!</v>
      </c>
      <c r="CO120" t="str">
        <f>AND(#REF!,"AAAAADv/31w=")</f>
        <v>#REF!</v>
      </c>
      <c r="CP120" t="str">
        <f>AND(#REF!,"AAAAADv/310=")</f>
        <v>#REF!</v>
      </c>
      <c r="CQ120" t="str">
        <f>AND(#REF!,"AAAAADv/314=")</f>
        <v>#REF!</v>
      </c>
      <c r="CR120" t="str">
        <f>AND(#REF!,"AAAAADv/318=")</f>
        <v>#REF!</v>
      </c>
      <c r="CS120" t="str">
        <f>AND(#REF!,"AAAAADv/32A=")</f>
        <v>#REF!</v>
      </c>
      <c r="CT120" t="str">
        <f>AND(#REF!,"AAAAADv/32E=")</f>
        <v>#REF!</v>
      </c>
      <c r="CU120" t="str">
        <f>AND(#REF!,"AAAAADv/32I=")</f>
        <v>#REF!</v>
      </c>
      <c r="CV120" t="str">
        <f>AND(#REF!,"AAAAADv/32M=")</f>
        <v>#REF!</v>
      </c>
      <c r="CW120" t="str">
        <f>AND(#REF!,"AAAAADv/32Q=")</f>
        <v>#REF!</v>
      </c>
      <c r="CX120" t="str">
        <f>AND(#REF!,"AAAAADv/32U=")</f>
        <v>#REF!</v>
      </c>
      <c r="CY120" t="str">
        <f>AND(#REF!,"AAAAADv/32Y=")</f>
        <v>#REF!</v>
      </c>
      <c r="CZ120" t="str">
        <f>AND(#REF!,"AAAAADv/32c=")</f>
        <v>#REF!</v>
      </c>
      <c r="DA120" t="str">
        <f>AND(#REF!,"AAAAADv/32g=")</f>
        <v>#REF!</v>
      </c>
      <c r="DB120" t="str">
        <f>AND(#REF!,"AAAAADv/32k=")</f>
        <v>#REF!</v>
      </c>
      <c r="DC120" t="str">
        <f>AND(#REF!,"AAAAADv/32o=")</f>
        <v>#REF!</v>
      </c>
      <c r="DD120" t="str">
        <f>AND(#REF!,"AAAAADv/32s=")</f>
        <v>#REF!</v>
      </c>
      <c r="DE120" t="str">
        <f>AND(#REF!,"AAAAADv/32w=")</f>
        <v>#REF!</v>
      </c>
      <c r="DF120" t="str">
        <f>AND(#REF!,"AAAAADv/320=")</f>
        <v>#REF!</v>
      </c>
      <c r="DG120" t="str">
        <f>AND(#REF!,"AAAAADv/324=")</f>
        <v>#REF!</v>
      </c>
      <c r="DH120" t="str">
        <f>AND(#REF!,"AAAAADv/328=")</f>
        <v>#REF!</v>
      </c>
      <c r="DI120" t="str">
        <f>AND(#REF!,"AAAAADv/33A=")</f>
        <v>#REF!</v>
      </c>
      <c r="DJ120" t="str">
        <f>AND(#REF!,"AAAAADv/33E=")</f>
        <v>#REF!</v>
      </c>
      <c r="DK120" t="str">
        <f>AND(#REF!,"AAAAADv/33I=")</f>
        <v>#REF!</v>
      </c>
      <c r="DL120" t="str">
        <f>AND(#REF!,"AAAAADv/33M=")</f>
        <v>#REF!</v>
      </c>
      <c r="DM120" t="str">
        <f>AND(#REF!,"AAAAADv/33Q=")</f>
        <v>#REF!</v>
      </c>
      <c r="DN120" t="str">
        <f>AND(#REF!,"AAAAADv/33U=")</f>
        <v>#REF!</v>
      </c>
      <c r="DO120" t="str">
        <f>AND(#REF!,"AAAAADv/33Y=")</f>
        <v>#REF!</v>
      </c>
      <c r="DP120" t="str">
        <f>AND(#REF!,"AAAAADv/33c=")</f>
        <v>#REF!</v>
      </c>
      <c r="DQ120" t="str">
        <f>AND(#REF!,"AAAAADv/33g=")</f>
        <v>#REF!</v>
      </c>
      <c r="DR120" t="str">
        <f>AND(#REF!,"AAAAADv/33k=")</f>
        <v>#REF!</v>
      </c>
      <c r="DS120" t="str">
        <f>AND(#REF!,"AAAAADv/33o=")</f>
        <v>#REF!</v>
      </c>
      <c r="DT120" t="str">
        <f>AND(#REF!,"AAAAADv/33s=")</f>
        <v>#REF!</v>
      </c>
      <c r="DU120" t="str">
        <f>AND(#REF!,"AAAAADv/33w=")</f>
        <v>#REF!</v>
      </c>
      <c r="DV120" t="str">
        <f>AND(#REF!,"AAAAADv/330=")</f>
        <v>#REF!</v>
      </c>
      <c r="DW120" t="str">
        <f>AND(#REF!,"AAAAADv/334=")</f>
        <v>#REF!</v>
      </c>
      <c r="DX120" t="str">
        <f>AND(#REF!,"AAAAADv/338=")</f>
        <v>#REF!</v>
      </c>
      <c r="DY120" t="str">
        <f>AND(#REF!,"AAAAADv/34A=")</f>
        <v>#REF!</v>
      </c>
      <c r="DZ120" t="str">
        <f>AND(#REF!,"AAAAADv/34E=")</f>
        <v>#REF!</v>
      </c>
      <c r="EA120" t="str">
        <f>AND(#REF!,"AAAAADv/34I=")</f>
        <v>#REF!</v>
      </c>
      <c r="EB120" t="str">
        <f>AND(#REF!,"AAAAADv/34M=")</f>
        <v>#REF!</v>
      </c>
      <c r="EC120" t="str">
        <f>AND(#REF!,"AAAAADv/34Q=")</f>
        <v>#REF!</v>
      </c>
      <c r="ED120" t="str">
        <f>AND(#REF!,"AAAAADv/34U=")</f>
        <v>#REF!</v>
      </c>
      <c r="EE120" t="str">
        <f>AND(#REF!,"AAAAADv/34Y=")</f>
        <v>#REF!</v>
      </c>
      <c r="EF120" t="str">
        <f>AND(#REF!,"AAAAADv/34c=")</f>
        <v>#REF!</v>
      </c>
      <c r="EG120" t="str">
        <f>AND(#REF!,"AAAAADv/34g=")</f>
        <v>#REF!</v>
      </c>
      <c r="EH120" t="str">
        <f>AND(#REF!,"AAAAADv/34k=")</f>
        <v>#REF!</v>
      </c>
      <c r="EI120" t="str">
        <f>AND(#REF!,"AAAAADv/34o=")</f>
        <v>#REF!</v>
      </c>
      <c r="EJ120" t="str">
        <f>AND(#REF!,"AAAAADv/34s=")</f>
        <v>#REF!</v>
      </c>
      <c r="EK120" t="str">
        <f>AND(#REF!,"AAAAADv/34w=")</f>
        <v>#REF!</v>
      </c>
      <c r="EL120" t="str">
        <f>AND(#REF!,"AAAAADv/340=")</f>
        <v>#REF!</v>
      </c>
      <c r="EM120" t="str">
        <f>AND(#REF!,"AAAAADv/344=")</f>
        <v>#REF!</v>
      </c>
      <c r="EN120" t="str">
        <f>AND(#REF!,"AAAAADv/348=")</f>
        <v>#REF!</v>
      </c>
      <c r="EO120" t="str">
        <f>AND(#REF!,"AAAAADv/35A=")</f>
        <v>#REF!</v>
      </c>
      <c r="EP120" t="str">
        <f>AND(#REF!,"AAAAADv/35E=")</f>
        <v>#REF!</v>
      </c>
      <c r="EQ120" t="str">
        <f>AND(#REF!,"AAAAADv/35I=")</f>
        <v>#REF!</v>
      </c>
      <c r="ER120" t="str">
        <f>AND(#REF!,"AAAAADv/35M=")</f>
        <v>#REF!</v>
      </c>
      <c r="ES120" t="str">
        <f>AND(#REF!,"AAAAADv/35Q=")</f>
        <v>#REF!</v>
      </c>
      <c r="ET120" t="str">
        <f>AND(#REF!,"AAAAADv/35U=")</f>
        <v>#REF!</v>
      </c>
      <c r="EU120" t="str">
        <f>IF(#REF!,"AAAAADv/35Y=",0)</f>
        <v>#REF!</v>
      </c>
      <c r="EV120" t="str">
        <f>AND(#REF!,"AAAAADv/35c=")</f>
        <v>#REF!</v>
      </c>
      <c r="EW120" t="str">
        <f>AND(#REF!,"AAAAADv/35g=")</f>
        <v>#REF!</v>
      </c>
      <c r="EX120" t="str">
        <f>AND(#REF!,"AAAAADv/35k=")</f>
        <v>#REF!</v>
      </c>
      <c r="EY120" t="str">
        <f>AND(#REF!,"AAAAADv/35o=")</f>
        <v>#REF!</v>
      </c>
      <c r="EZ120" t="str">
        <f>AND(#REF!,"AAAAADv/35s=")</f>
        <v>#REF!</v>
      </c>
      <c r="FA120" t="str">
        <f>AND(#REF!,"AAAAADv/35w=")</f>
        <v>#REF!</v>
      </c>
      <c r="FB120" t="str">
        <f>AND(#REF!,"AAAAADv/350=")</f>
        <v>#REF!</v>
      </c>
      <c r="FC120" t="str">
        <f>AND(#REF!,"AAAAADv/354=")</f>
        <v>#REF!</v>
      </c>
      <c r="FD120" t="str">
        <f>AND(#REF!,"AAAAADv/358=")</f>
        <v>#REF!</v>
      </c>
      <c r="FE120" t="str">
        <f>AND(#REF!,"AAAAADv/36A=")</f>
        <v>#REF!</v>
      </c>
      <c r="FF120" t="str">
        <f>AND(#REF!,"AAAAADv/36E=")</f>
        <v>#REF!</v>
      </c>
      <c r="FG120" t="str">
        <f>AND(#REF!,"AAAAADv/36I=")</f>
        <v>#REF!</v>
      </c>
      <c r="FH120" t="str">
        <f>AND(#REF!,"AAAAADv/36M=")</f>
        <v>#REF!</v>
      </c>
      <c r="FI120" t="str">
        <f>AND(#REF!,"AAAAADv/36Q=")</f>
        <v>#REF!</v>
      </c>
      <c r="FJ120" t="str">
        <f>AND(#REF!,"AAAAADv/36U=")</f>
        <v>#REF!</v>
      </c>
      <c r="FK120" t="str">
        <f>AND(#REF!,"AAAAADv/36Y=")</f>
        <v>#REF!</v>
      </c>
      <c r="FL120" t="str">
        <f>AND(#REF!,"AAAAADv/36c=")</f>
        <v>#REF!</v>
      </c>
      <c r="FM120" t="str">
        <f>AND(#REF!,"AAAAADv/36g=")</f>
        <v>#REF!</v>
      </c>
      <c r="FN120" t="str">
        <f>AND(#REF!,"AAAAADv/36k=")</f>
        <v>#REF!</v>
      </c>
      <c r="FO120" t="str">
        <f>AND(#REF!,"AAAAADv/36o=")</f>
        <v>#REF!</v>
      </c>
      <c r="FP120" t="str">
        <f>AND(#REF!,"AAAAADv/36s=")</f>
        <v>#REF!</v>
      </c>
      <c r="FQ120" t="str">
        <f>AND(#REF!,"AAAAADv/36w=")</f>
        <v>#REF!</v>
      </c>
      <c r="FR120" t="str">
        <f>AND(#REF!,"AAAAADv/360=")</f>
        <v>#REF!</v>
      </c>
      <c r="FS120" t="str">
        <f>AND(#REF!,"AAAAADv/364=")</f>
        <v>#REF!</v>
      </c>
      <c r="FT120" t="str">
        <f>AND(#REF!,"AAAAADv/368=")</f>
        <v>#REF!</v>
      </c>
      <c r="FU120" t="str">
        <f>AND(#REF!,"AAAAADv/37A=")</f>
        <v>#REF!</v>
      </c>
      <c r="FV120" t="str">
        <f>AND(#REF!,"AAAAADv/37E=")</f>
        <v>#REF!</v>
      </c>
      <c r="FW120" t="str">
        <f>AND(#REF!,"AAAAADv/37I=")</f>
        <v>#REF!</v>
      </c>
      <c r="FX120" t="str">
        <f>AND(#REF!,"AAAAADv/37M=")</f>
        <v>#REF!</v>
      </c>
      <c r="FY120" t="str">
        <f>AND(#REF!,"AAAAADv/37Q=")</f>
        <v>#REF!</v>
      </c>
      <c r="FZ120" t="str">
        <f>AND(#REF!,"AAAAADv/37U=")</f>
        <v>#REF!</v>
      </c>
      <c r="GA120" t="str">
        <f>AND(#REF!,"AAAAADv/37Y=")</f>
        <v>#REF!</v>
      </c>
      <c r="GB120" t="str">
        <f>AND(#REF!,"AAAAADv/37c=")</f>
        <v>#REF!</v>
      </c>
      <c r="GC120" t="str">
        <f>AND(#REF!,"AAAAADv/37g=")</f>
        <v>#REF!</v>
      </c>
      <c r="GD120" t="str">
        <f>AND(#REF!,"AAAAADv/37k=")</f>
        <v>#REF!</v>
      </c>
      <c r="GE120" t="str">
        <f>AND(#REF!,"AAAAADv/37o=")</f>
        <v>#REF!</v>
      </c>
      <c r="GF120" t="str">
        <f>AND(#REF!,"AAAAADv/37s=")</f>
        <v>#REF!</v>
      </c>
      <c r="GG120" t="str">
        <f>AND(#REF!,"AAAAADv/37w=")</f>
        <v>#REF!</v>
      </c>
      <c r="GH120" t="str">
        <f>AND(#REF!,"AAAAADv/370=")</f>
        <v>#REF!</v>
      </c>
      <c r="GI120" t="str">
        <f>AND(#REF!,"AAAAADv/374=")</f>
        <v>#REF!</v>
      </c>
      <c r="GJ120" t="str">
        <f>AND(#REF!,"AAAAADv/378=")</f>
        <v>#REF!</v>
      </c>
      <c r="GK120" t="str">
        <f>AND(#REF!,"AAAAADv/38A=")</f>
        <v>#REF!</v>
      </c>
      <c r="GL120" t="str">
        <f>AND(#REF!,"AAAAADv/38E=")</f>
        <v>#REF!</v>
      </c>
      <c r="GM120" t="str">
        <f>AND(#REF!,"AAAAADv/38I=")</f>
        <v>#REF!</v>
      </c>
      <c r="GN120" t="str">
        <f>AND(#REF!,"AAAAADv/38M=")</f>
        <v>#REF!</v>
      </c>
      <c r="GO120" t="str">
        <f>AND(#REF!,"AAAAADv/38Q=")</f>
        <v>#REF!</v>
      </c>
      <c r="GP120" t="str">
        <f>AND(#REF!,"AAAAADv/38U=")</f>
        <v>#REF!</v>
      </c>
      <c r="GQ120" t="str">
        <f>AND(#REF!,"AAAAADv/38Y=")</f>
        <v>#REF!</v>
      </c>
      <c r="GR120" t="str">
        <f>AND(#REF!,"AAAAADv/38c=")</f>
        <v>#REF!</v>
      </c>
      <c r="GS120" t="str">
        <f>AND(#REF!,"AAAAADv/38g=")</f>
        <v>#REF!</v>
      </c>
      <c r="GT120" t="str">
        <f>AND(#REF!,"AAAAADv/38k=")</f>
        <v>#REF!</v>
      </c>
      <c r="GU120" t="str">
        <f>AND(#REF!,"AAAAADv/38o=")</f>
        <v>#REF!</v>
      </c>
      <c r="GV120" t="str">
        <f>AND(#REF!,"AAAAADv/38s=")</f>
        <v>#REF!</v>
      </c>
      <c r="GW120" t="str">
        <f>AND(#REF!,"AAAAADv/38w=")</f>
        <v>#REF!</v>
      </c>
      <c r="GX120" t="str">
        <f>AND(#REF!,"AAAAADv/380=")</f>
        <v>#REF!</v>
      </c>
      <c r="GY120" t="str">
        <f>AND(#REF!,"AAAAADv/384=")</f>
        <v>#REF!</v>
      </c>
      <c r="GZ120" t="str">
        <f>AND(#REF!,"AAAAADv/388=")</f>
        <v>#REF!</v>
      </c>
      <c r="HA120" t="str">
        <f>AND(#REF!,"AAAAADv/39A=")</f>
        <v>#REF!</v>
      </c>
      <c r="HB120" t="str">
        <f>AND(#REF!,"AAAAADv/39E=")</f>
        <v>#REF!</v>
      </c>
      <c r="HC120" t="str">
        <f>AND(#REF!,"AAAAADv/39I=")</f>
        <v>#REF!</v>
      </c>
      <c r="HD120" t="str">
        <f>AND(#REF!,"AAAAADv/39M=")</f>
        <v>#REF!</v>
      </c>
      <c r="HE120" t="str">
        <f>AND(#REF!,"AAAAADv/39Q=")</f>
        <v>#REF!</v>
      </c>
      <c r="HF120" t="str">
        <f>AND(#REF!,"AAAAADv/39U=")</f>
        <v>#REF!</v>
      </c>
      <c r="HG120" t="str">
        <f>AND(#REF!,"AAAAADv/39Y=")</f>
        <v>#REF!</v>
      </c>
      <c r="HH120" t="str">
        <f>AND(#REF!,"AAAAADv/39c=")</f>
        <v>#REF!</v>
      </c>
      <c r="HI120" t="str">
        <f>AND(#REF!,"AAAAADv/39g=")</f>
        <v>#REF!</v>
      </c>
      <c r="HJ120" t="str">
        <f>AND(#REF!,"AAAAADv/39k=")</f>
        <v>#REF!</v>
      </c>
      <c r="HK120" t="str">
        <f>AND(#REF!,"AAAAADv/39o=")</f>
        <v>#REF!</v>
      </c>
      <c r="HL120" t="str">
        <f>AND(#REF!,"AAAAADv/39s=")</f>
        <v>#REF!</v>
      </c>
      <c r="HM120" t="str">
        <f>AND(#REF!,"AAAAADv/39w=")</f>
        <v>#REF!</v>
      </c>
      <c r="HN120" t="str">
        <f>AND(#REF!,"AAAAADv/390=")</f>
        <v>#REF!</v>
      </c>
      <c r="HO120" t="str">
        <f>AND(#REF!,"AAAAADv/394=")</f>
        <v>#REF!</v>
      </c>
      <c r="HP120" t="str">
        <f>AND(#REF!,"AAAAADv/398=")</f>
        <v>#REF!</v>
      </c>
      <c r="HQ120" t="str">
        <f>AND(#REF!,"AAAAADv/3+A=")</f>
        <v>#REF!</v>
      </c>
      <c r="HR120" t="str">
        <f>AND(#REF!,"AAAAADv/3+E=")</f>
        <v>#REF!</v>
      </c>
      <c r="HS120" t="str">
        <f>IF(#REF!,"AAAAADv/3+I=",0)</f>
        <v>#REF!</v>
      </c>
      <c r="HT120" t="str">
        <f>AND(#REF!,"AAAAADv/3+M=")</f>
        <v>#REF!</v>
      </c>
      <c r="HU120" t="str">
        <f>AND(#REF!,"AAAAADv/3+Q=")</f>
        <v>#REF!</v>
      </c>
      <c r="HV120" t="str">
        <f>AND(#REF!,"AAAAADv/3+U=")</f>
        <v>#REF!</v>
      </c>
      <c r="HW120" t="str">
        <f>AND(#REF!,"AAAAADv/3+Y=")</f>
        <v>#REF!</v>
      </c>
      <c r="HX120" t="str">
        <f>AND(#REF!,"AAAAADv/3+c=")</f>
        <v>#REF!</v>
      </c>
      <c r="HY120" t="str">
        <f>AND(#REF!,"AAAAADv/3+g=")</f>
        <v>#REF!</v>
      </c>
      <c r="HZ120" t="str">
        <f>AND(#REF!,"AAAAADv/3+k=")</f>
        <v>#REF!</v>
      </c>
      <c r="IA120" t="str">
        <f>AND(#REF!,"AAAAADv/3+o=")</f>
        <v>#REF!</v>
      </c>
      <c r="IB120" t="str">
        <f>AND(#REF!,"AAAAADv/3+s=")</f>
        <v>#REF!</v>
      </c>
      <c r="IC120" t="str">
        <f>AND(#REF!,"AAAAADv/3+w=")</f>
        <v>#REF!</v>
      </c>
      <c r="ID120" t="str">
        <f>AND(#REF!,"AAAAADv/3+0=")</f>
        <v>#REF!</v>
      </c>
      <c r="IE120" t="str">
        <f>AND(#REF!,"AAAAADv/3+4=")</f>
        <v>#REF!</v>
      </c>
      <c r="IF120" t="str">
        <f>AND(#REF!,"AAAAADv/3+8=")</f>
        <v>#REF!</v>
      </c>
      <c r="IG120" t="str">
        <f>AND(#REF!,"AAAAADv/3/A=")</f>
        <v>#REF!</v>
      </c>
      <c r="IH120" t="str">
        <f>AND(#REF!,"AAAAADv/3/E=")</f>
        <v>#REF!</v>
      </c>
      <c r="II120" t="str">
        <f>AND(#REF!,"AAAAADv/3/I=")</f>
        <v>#REF!</v>
      </c>
      <c r="IJ120" t="str">
        <f>AND(#REF!,"AAAAADv/3/M=")</f>
        <v>#REF!</v>
      </c>
      <c r="IK120" t="str">
        <f>AND(#REF!,"AAAAADv/3/Q=")</f>
        <v>#REF!</v>
      </c>
      <c r="IL120" t="str">
        <f>AND(#REF!,"AAAAADv/3/U=")</f>
        <v>#REF!</v>
      </c>
      <c r="IM120" t="str">
        <f>AND(#REF!,"AAAAADv/3/Y=")</f>
        <v>#REF!</v>
      </c>
      <c r="IN120" t="str">
        <f>AND(#REF!,"AAAAADv/3/c=")</f>
        <v>#REF!</v>
      </c>
      <c r="IO120" t="str">
        <f>AND(#REF!,"AAAAADv/3/g=")</f>
        <v>#REF!</v>
      </c>
      <c r="IP120" t="str">
        <f>AND(#REF!,"AAAAADv/3/k=")</f>
        <v>#REF!</v>
      </c>
      <c r="IQ120" t="str">
        <f>AND(#REF!,"AAAAADv/3/o=")</f>
        <v>#REF!</v>
      </c>
      <c r="IR120" t="str">
        <f>AND(#REF!,"AAAAADv/3/s=")</f>
        <v>#REF!</v>
      </c>
      <c r="IS120" t="str">
        <f>AND(#REF!,"AAAAADv/3/w=")</f>
        <v>#REF!</v>
      </c>
      <c r="IT120" t="str">
        <f>AND(#REF!,"AAAAADv/3/0=")</f>
        <v>#REF!</v>
      </c>
      <c r="IU120" t="str">
        <f>AND(#REF!,"AAAAADv/3/4=")</f>
        <v>#REF!</v>
      </c>
      <c r="IV120" t="str">
        <f>AND(#REF!,"AAAAADv/3/8=")</f>
        <v>#REF!</v>
      </c>
    </row>
    <row r="121" ht="15.75" customHeight="1">
      <c r="A121" t="str">
        <f>AND(#REF!,"AAAAAD+fdgA=")</f>
        <v>#REF!</v>
      </c>
      <c r="B121" t="str">
        <f>AND(#REF!,"AAAAAD+fdgE=")</f>
        <v>#REF!</v>
      </c>
      <c r="C121" t="str">
        <f>AND(#REF!,"AAAAAD+fdgI=")</f>
        <v>#REF!</v>
      </c>
      <c r="D121" t="str">
        <f>AND(#REF!,"AAAAAD+fdgM=")</f>
        <v>#REF!</v>
      </c>
      <c r="E121" t="str">
        <f>AND(#REF!,"AAAAAD+fdgQ=")</f>
        <v>#REF!</v>
      </c>
      <c r="F121" t="str">
        <f>AND(#REF!,"AAAAAD+fdgU=")</f>
        <v>#REF!</v>
      </c>
      <c r="G121" t="str">
        <f>AND(#REF!,"AAAAAD+fdgY=")</f>
        <v>#REF!</v>
      </c>
      <c r="H121" t="str">
        <f>AND(#REF!,"AAAAAD+fdgc=")</f>
        <v>#REF!</v>
      </c>
      <c r="I121" t="str">
        <f>AND(#REF!,"AAAAAD+fdgg=")</f>
        <v>#REF!</v>
      </c>
      <c r="J121" t="str">
        <f>AND(#REF!,"AAAAAD+fdgk=")</f>
        <v>#REF!</v>
      </c>
      <c r="K121" t="str">
        <f>AND(#REF!,"AAAAAD+fdgo=")</f>
        <v>#REF!</v>
      </c>
      <c r="L121" t="str">
        <f>AND(#REF!,"AAAAAD+fdgs=")</f>
        <v>#REF!</v>
      </c>
      <c r="M121" t="str">
        <f>AND(#REF!,"AAAAAD+fdgw=")</f>
        <v>#REF!</v>
      </c>
      <c r="N121" t="str">
        <f>AND(#REF!,"AAAAAD+fdg0=")</f>
        <v>#REF!</v>
      </c>
      <c r="O121" t="str">
        <f>AND(#REF!,"AAAAAD+fdg4=")</f>
        <v>#REF!</v>
      </c>
      <c r="P121" t="str">
        <f>AND(#REF!,"AAAAAD+fdg8=")</f>
        <v>#REF!</v>
      </c>
      <c r="Q121" t="str">
        <f>AND(#REF!,"AAAAAD+fdhA=")</f>
        <v>#REF!</v>
      </c>
      <c r="R121" t="str">
        <f>AND(#REF!,"AAAAAD+fdhE=")</f>
        <v>#REF!</v>
      </c>
      <c r="S121" t="str">
        <f>AND(#REF!,"AAAAAD+fdhI=")</f>
        <v>#REF!</v>
      </c>
      <c r="T121" t="str">
        <f>AND(#REF!,"AAAAAD+fdhM=")</f>
        <v>#REF!</v>
      </c>
      <c r="U121" t="str">
        <f>AND(#REF!,"AAAAAD+fdhQ=")</f>
        <v>#REF!</v>
      </c>
      <c r="V121" t="str">
        <f>AND(#REF!,"AAAAAD+fdhU=")</f>
        <v>#REF!</v>
      </c>
      <c r="W121" t="str">
        <f>AND(#REF!,"AAAAAD+fdhY=")</f>
        <v>#REF!</v>
      </c>
      <c r="X121" t="str">
        <f>AND(#REF!,"AAAAAD+fdhc=")</f>
        <v>#REF!</v>
      </c>
      <c r="Y121" t="str">
        <f>AND(#REF!,"AAAAAD+fdhg=")</f>
        <v>#REF!</v>
      </c>
      <c r="Z121" t="str">
        <f>AND(#REF!,"AAAAAD+fdhk=")</f>
        <v>#REF!</v>
      </c>
      <c r="AA121" t="str">
        <f>AND(#REF!,"AAAAAD+fdho=")</f>
        <v>#REF!</v>
      </c>
      <c r="AB121" t="str">
        <f>AND(#REF!,"AAAAAD+fdhs=")</f>
        <v>#REF!</v>
      </c>
      <c r="AC121" t="str">
        <f>AND(#REF!,"AAAAAD+fdhw=")</f>
        <v>#REF!</v>
      </c>
      <c r="AD121" t="str">
        <f>AND(#REF!,"AAAAAD+fdh0=")</f>
        <v>#REF!</v>
      </c>
      <c r="AE121" t="str">
        <f>AND(#REF!,"AAAAAD+fdh4=")</f>
        <v>#REF!</v>
      </c>
      <c r="AF121" t="str">
        <f>AND(#REF!,"AAAAAD+fdh8=")</f>
        <v>#REF!</v>
      </c>
      <c r="AG121" t="str">
        <f>AND(#REF!,"AAAAAD+fdiA=")</f>
        <v>#REF!</v>
      </c>
      <c r="AH121" t="str">
        <f>AND(#REF!,"AAAAAD+fdiE=")</f>
        <v>#REF!</v>
      </c>
      <c r="AI121" t="str">
        <f>AND(#REF!,"AAAAAD+fdiI=")</f>
        <v>#REF!</v>
      </c>
      <c r="AJ121" t="str">
        <f>AND(#REF!,"AAAAAD+fdiM=")</f>
        <v>#REF!</v>
      </c>
      <c r="AK121" t="str">
        <f>AND(#REF!,"AAAAAD+fdiQ=")</f>
        <v>#REF!</v>
      </c>
      <c r="AL121" t="str">
        <f>AND(#REF!,"AAAAAD+fdiU=")</f>
        <v>#REF!</v>
      </c>
      <c r="AM121" t="str">
        <f>AND(#REF!,"AAAAAD+fdiY=")</f>
        <v>#REF!</v>
      </c>
      <c r="AN121" t="str">
        <f>AND(#REF!,"AAAAAD+fdic=")</f>
        <v>#REF!</v>
      </c>
      <c r="AO121" t="str">
        <f>AND(#REF!,"AAAAAD+fdig=")</f>
        <v>#REF!</v>
      </c>
      <c r="AP121" t="str">
        <f>AND(#REF!,"AAAAAD+fdik=")</f>
        <v>#REF!</v>
      </c>
      <c r="AQ121" t="str">
        <f>AND(#REF!,"AAAAAD+fdio=")</f>
        <v>#REF!</v>
      </c>
      <c r="AR121" t="str">
        <f>AND(#REF!,"AAAAAD+fdis=")</f>
        <v>#REF!</v>
      </c>
      <c r="AS121" t="str">
        <f>AND(#REF!,"AAAAAD+fdiw=")</f>
        <v>#REF!</v>
      </c>
      <c r="AT121" t="str">
        <f>AND(#REF!,"AAAAAD+fdi0=")</f>
        <v>#REF!</v>
      </c>
      <c r="AU121" t="str">
        <f>IF(#REF!,"AAAAAD+fdi4=",0)</f>
        <v>#REF!</v>
      </c>
      <c r="AV121" t="str">
        <f>AND(#REF!,"AAAAAD+fdi8=")</f>
        <v>#REF!</v>
      </c>
      <c r="AW121" t="str">
        <f>AND(#REF!,"AAAAAD+fdjA=")</f>
        <v>#REF!</v>
      </c>
      <c r="AX121" t="str">
        <f>AND(#REF!,"AAAAAD+fdjE=")</f>
        <v>#REF!</v>
      </c>
      <c r="AY121" t="str">
        <f>AND(#REF!,"AAAAAD+fdjI=")</f>
        <v>#REF!</v>
      </c>
      <c r="AZ121" t="str">
        <f>AND(#REF!,"AAAAAD+fdjM=")</f>
        <v>#REF!</v>
      </c>
      <c r="BA121" t="str">
        <f>AND(#REF!,"AAAAAD+fdjQ=")</f>
        <v>#REF!</v>
      </c>
      <c r="BB121" t="str">
        <f>AND(#REF!,"AAAAAD+fdjU=")</f>
        <v>#REF!</v>
      </c>
      <c r="BC121" t="str">
        <f>AND(#REF!,"AAAAAD+fdjY=")</f>
        <v>#REF!</v>
      </c>
      <c r="BD121" t="str">
        <f>AND(#REF!,"AAAAAD+fdjc=")</f>
        <v>#REF!</v>
      </c>
      <c r="BE121" t="str">
        <f>AND(#REF!,"AAAAAD+fdjg=")</f>
        <v>#REF!</v>
      </c>
      <c r="BF121" t="str">
        <f>AND(#REF!,"AAAAAD+fdjk=")</f>
        <v>#REF!</v>
      </c>
      <c r="BG121" t="str">
        <f>AND(#REF!,"AAAAAD+fdjo=")</f>
        <v>#REF!</v>
      </c>
      <c r="BH121" t="str">
        <f>AND(#REF!,"AAAAAD+fdjs=")</f>
        <v>#REF!</v>
      </c>
      <c r="BI121" t="str">
        <f>AND(#REF!,"AAAAAD+fdjw=")</f>
        <v>#REF!</v>
      </c>
      <c r="BJ121" t="str">
        <f>AND(#REF!,"AAAAAD+fdj0=")</f>
        <v>#REF!</v>
      </c>
      <c r="BK121" t="str">
        <f>AND(#REF!,"AAAAAD+fdj4=")</f>
        <v>#REF!</v>
      </c>
      <c r="BL121" t="str">
        <f>AND(#REF!,"AAAAAD+fdj8=")</f>
        <v>#REF!</v>
      </c>
      <c r="BM121" t="str">
        <f>AND(#REF!,"AAAAAD+fdkA=")</f>
        <v>#REF!</v>
      </c>
      <c r="BN121" t="str">
        <f>AND(#REF!,"AAAAAD+fdkE=")</f>
        <v>#REF!</v>
      </c>
      <c r="BO121" t="str">
        <f>AND(#REF!,"AAAAAD+fdkI=")</f>
        <v>#REF!</v>
      </c>
      <c r="BP121" t="str">
        <f>AND(#REF!,"AAAAAD+fdkM=")</f>
        <v>#REF!</v>
      </c>
      <c r="BQ121" t="str">
        <f>AND(#REF!,"AAAAAD+fdkQ=")</f>
        <v>#REF!</v>
      </c>
      <c r="BR121" t="str">
        <f>AND(#REF!,"AAAAAD+fdkU=")</f>
        <v>#REF!</v>
      </c>
      <c r="BS121" t="str">
        <f>AND(#REF!,"AAAAAD+fdkY=")</f>
        <v>#REF!</v>
      </c>
      <c r="BT121" t="str">
        <f>AND(#REF!,"AAAAAD+fdkc=")</f>
        <v>#REF!</v>
      </c>
      <c r="BU121" t="str">
        <f>AND(#REF!,"AAAAAD+fdkg=")</f>
        <v>#REF!</v>
      </c>
      <c r="BV121" t="str">
        <f>AND(#REF!,"AAAAAD+fdkk=")</f>
        <v>#REF!</v>
      </c>
      <c r="BW121" t="str">
        <f>AND(#REF!,"AAAAAD+fdko=")</f>
        <v>#REF!</v>
      </c>
      <c r="BX121" t="str">
        <f>AND(#REF!,"AAAAAD+fdks=")</f>
        <v>#REF!</v>
      </c>
      <c r="BY121" t="str">
        <f>AND(#REF!,"AAAAAD+fdkw=")</f>
        <v>#REF!</v>
      </c>
      <c r="BZ121" t="str">
        <f>AND(#REF!,"AAAAAD+fdk0=")</f>
        <v>#REF!</v>
      </c>
      <c r="CA121" t="str">
        <f>AND(#REF!,"AAAAAD+fdk4=")</f>
        <v>#REF!</v>
      </c>
      <c r="CB121" t="str">
        <f>AND(#REF!,"AAAAAD+fdk8=")</f>
        <v>#REF!</v>
      </c>
      <c r="CC121" t="str">
        <f>AND(#REF!,"AAAAAD+fdlA=")</f>
        <v>#REF!</v>
      </c>
      <c r="CD121" t="str">
        <f>AND(#REF!,"AAAAAD+fdlE=")</f>
        <v>#REF!</v>
      </c>
      <c r="CE121" t="str">
        <f>AND(#REF!,"AAAAAD+fdlI=")</f>
        <v>#REF!</v>
      </c>
      <c r="CF121" t="str">
        <f>AND(#REF!,"AAAAAD+fdlM=")</f>
        <v>#REF!</v>
      </c>
      <c r="CG121" t="str">
        <f>AND(#REF!,"AAAAAD+fdlQ=")</f>
        <v>#REF!</v>
      </c>
      <c r="CH121" t="str">
        <f>AND(#REF!,"AAAAAD+fdlU=")</f>
        <v>#REF!</v>
      </c>
      <c r="CI121" t="str">
        <f>AND(#REF!,"AAAAAD+fdlY=")</f>
        <v>#REF!</v>
      </c>
      <c r="CJ121" t="str">
        <f>AND(#REF!,"AAAAAD+fdlc=")</f>
        <v>#REF!</v>
      </c>
      <c r="CK121" t="str">
        <f>AND(#REF!,"AAAAAD+fdlg=")</f>
        <v>#REF!</v>
      </c>
      <c r="CL121" t="str">
        <f>AND(#REF!,"AAAAAD+fdlk=")</f>
        <v>#REF!</v>
      </c>
      <c r="CM121" t="str">
        <f>AND(#REF!,"AAAAAD+fdlo=")</f>
        <v>#REF!</v>
      </c>
      <c r="CN121" t="str">
        <f>AND(#REF!,"AAAAAD+fdls=")</f>
        <v>#REF!</v>
      </c>
      <c r="CO121" t="str">
        <f>AND(#REF!,"AAAAAD+fdlw=")</f>
        <v>#REF!</v>
      </c>
      <c r="CP121" t="str">
        <f>AND(#REF!,"AAAAAD+fdl0=")</f>
        <v>#REF!</v>
      </c>
      <c r="CQ121" t="str">
        <f>AND(#REF!,"AAAAAD+fdl4=")</f>
        <v>#REF!</v>
      </c>
      <c r="CR121" t="str">
        <f>AND(#REF!,"AAAAAD+fdl8=")</f>
        <v>#REF!</v>
      </c>
      <c r="CS121" t="str">
        <f>AND(#REF!,"AAAAAD+fdmA=")</f>
        <v>#REF!</v>
      </c>
      <c r="CT121" t="str">
        <f>AND(#REF!,"AAAAAD+fdmE=")</f>
        <v>#REF!</v>
      </c>
      <c r="CU121" t="str">
        <f>AND(#REF!,"AAAAAD+fdmI=")</f>
        <v>#REF!</v>
      </c>
      <c r="CV121" t="str">
        <f>AND(#REF!,"AAAAAD+fdmM=")</f>
        <v>#REF!</v>
      </c>
      <c r="CW121" t="str">
        <f>AND(#REF!,"AAAAAD+fdmQ=")</f>
        <v>#REF!</v>
      </c>
      <c r="CX121" t="str">
        <f>AND(#REF!,"AAAAAD+fdmU=")</f>
        <v>#REF!</v>
      </c>
      <c r="CY121" t="str">
        <f>AND(#REF!,"AAAAAD+fdmY=")</f>
        <v>#REF!</v>
      </c>
      <c r="CZ121" t="str">
        <f>AND(#REF!,"AAAAAD+fdmc=")</f>
        <v>#REF!</v>
      </c>
      <c r="DA121" t="str">
        <f>AND(#REF!,"AAAAAD+fdmg=")</f>
        <v>#REF!</v>
      </c>
      <c r="DB121" t="str">
        <f>AND(#REF!,"AAAAAD+fdmk=")</f>
        <v>#REF!</v>
      </c>
      <c r="DC121" t="str">
        <f>AND(#REF!,"AAAAAD+fdmo=")</f>
        <v>#REF!</v>
      </c>
      <c r="DD121" t="str">
        <f>AND(#REF!,"AAAAAD+fdms=")</f>
        <v>#REF!</v>
      </c>
      <c r="DE121" t="str">
        <f>AND(#REF!,"AAAAAD+fdmw=")</f>
        <v>#REF!</v>
      </c>
      <c r="DF121" t="str">
        <f>AND(#REF!,"AAAAAD+fdm0=")</f>
        <v>#REF!</v>
      </c>
      <c r="DG121" t="str">
        <f>AND(#REF!,"AAAAAD+fdm4=")</f>
        <v>#REF!</v>
      </c>
      <c r="DH121" t="str">
        <f>AND(#REF!,"AAAAAD+fdm8=")</f>
        <v>#REF!</v>
      </c>
      <c r="DI121" t="str">
        <f>AND(#REF!,"AAAAAD+fdnA=")</f>
        <v>#REF!</v>
      </c>
      <c r="DJ121" t="str">
        <f>AND(#REF!,"AAAAAD+fdnE=")</f>
        <v>#REF!</v>
      </c>
      <c r="DK121" t="str">
        <f>AND(#REF!,"AAAAAD+fdnI=")</f>
        <v>#REF!</v>
      </c>
      <c r="DL121" t="str">
        <f>AND(#REF!,"AAAAAD+fdnM=")</f>
        <v>#REF!</v>
      </c>
      <c r="DM121" t="str">
        <f>AND(#REF!,"AAAAAD+fdnQ=")</f>
        <v>#REF!</v>
      </c>
      <c r="DN121" t="str">
        <f>AND(#REF!,"AAAAAD+fdnU=")</f>
        <v>#REF!</v>
      </c>
      <c r="DO121" t="str">
        <f>AND(#REF!,"AAAAAD+fdnY=")</f>
        <v>#REF!</v>
      </c>
      <c r="DP121" t="str">
        <f>AND(#REF!,"AAAAAD+fdnc=")</f>
        <v>#REF!</v>
      </c>
      <c r="DQ121" t="str">
        <f>AND(#REF!,"AAAAAD+fdng=")</f>
        <v>#REF!</v>
      </c>
      <c r="DR121" t="str">
        <f>AND(#REF!,"AAAAAD+fdnk=")</f>
        <v>#REF!</v>
      </c>
      <c r="DS121" t="str">
        <f>IF(#REF!,"AAAAAD+fdno=",0)</f>
        <v>#REF!</v>
      </c>
      <c r="DT121" t="str">
        <f>AND(#REF!,"AAAAAD+fdns=")</f>
        <v>#REF!</v>
      </c>
      <c r="DU121" t="str">
        <f>AND(#REF!,"AAAAAD+fdnw=")</f>
        <v>#REF!</v>
      </c>
      <c r="DV121" t="str">
        <f>AND(#REF!,"AAAAAD+fdn0=")</f>
        <v>#REF!</v>
      </c>
      <c r="DW121" t="str">
        <f>AND(#REF!,"AAAAAD+fdn4=")</f>
        <v>#REF!</v>
      </c>
      <c r="DX121" t="str">
        <f>AND(#REF!,"AAAAAD+fdn8=")</f>
        <v>#REF!</v>
      </c>
      <c r="DY121" t="str">
        <f>AND(#REF!,"AAAAAD+fdoA=")</f>
        <v>#REF!</v>
      </c>
      <c r="DZ121" t="str">
        <f>AND(#REF!,"AAAAAD+fdoE=")</f>
        <v>#REF!</v>
      </c>
      <c r="EA121" t="str">
        <f>AND(#REF!,"AAAAAD+fdoI=")</f>
        <v>#REF!</v>
      </c>
      <c r="EB121" t="str">
        <f>AND(#REF!,"AAAAAD+fdoM=")</f>
        <v>#REF!</v>
      </c>
      <c r="EC121" t="str">
        <f>AND(#REF!,"AAAAAD+fdoQ=")</f>
        <v>#REF!</v>
      </c>
      <c r="ED121" t="str">
        <f>AND(#REF!,"AAAAAD+fdoU=")</f>
        <v>#REF!</v>
      </c>
      <c r="EE121" t="str">
        <f>AND(#REF!,"AAAAAD+fdoY=")</f>
        <v>#REF!</v>
      </c>
      <c r="EF121" t="str">
        <f>AND(#REF!,"AAAAAD+fdoc=")</f>
        <v>#REF!</v>
      </c>
      <c r="EG121" t="str">
        <f>AND(#REF!,"AAAAAD+fdog=")</f>
        <v>#REF!</v>
      </c>
      <c r="EH121" t="str">
        <f>AND(#REF!,"AAAAAD+fdok=")</f>
        <v>#REF!</v>
      </c>
      <c r="EI121" t="str">
        <f>AND(#REF!,"AAAAAD+fdoo=")</f>
        <v>#REF!</v>
      </c>
      <c r="EJ121" t="str">
        <f>AND(#REF!,"AAAAAD+fdos=")</f>
        <v>#REF!</v>
      </c>
      <c r="EK121" t="str">
        <f>AND(#REF!,"AAAAAD+fdow=")</f>
        <v>#REF!</v>
      </c>
      <c r="EL121" t="str">
        <f>AND(#REF!,"AAAAAD+fdo0=")</f>
        <v>#REF!</v>
      </c>
      <c r="EM121" t="str">
        <f>AND(#REF!,"AAAAAD+fdo4=")</f>
        <v>#REF!</v>
      </c>
      <c r="EN121" t="str">
        <f>AND(#REF!,"AAAAAD+fdo8=")</f>
        <v>#REF!</v>
      </c>
      <c r="EO121" t="str">
        <f>AND(#REF!,"AAAAAD+fdpA=")</f>
        <v>#REF!</v>
      </c>
      <c r="EP121" t="str">
        <f>AND(#REF!,"AAAAAD+fdpE=")</f>
        <v>#REF!</v>
      </c>
      <c r="EQ121" t="str">
        <f>AND(#REF!,"AAAAAD+fdpI=")</f>
        <v>#REF!</v>
      </c>
      <c r="ER121" t="str">
        <f>AND(#REF!,"AAAAAD+fdpM=")</f>
        <v>#REF!</v>
      </c>
      <c r="ES121" t="str">
        <f>AND(#REF!,"AAAAAD+fdpQ=")</f>
        <v>#REF!</v>
      </c>
      <c r="ET121" t="str">
        <f>AND(#REF!,"AAAAAD+fdpU=")</f>
        <v>#REF!</v>
      </c>
      <c r="EU121" t="str">
        <f>AND(#REF!,"AAAAAD+fdpY=")</f>
        <v>#REF!</v>
      </c>
      <c r="EV121" t="str">
        <f>AND(#REF!,"AAAAAD+fdpc=")</f>
        <v>#REF!</v>
      </c>
      <c r="EW121" t="str">
        <f>AND(#REF!,"AAAAAD+fdpg=")</f>
        <v>#REF!</v>
      </c>
      <c r="EX121" t="str">
        <f>AND(#REF!,"AAAAAD+fdpk=")</f>
        <v>#REF!</v>
      </c>
      <c r="EY121" t="str">
        <f>AND(#REF!,"AAAAAD+fdpo=")</f>
        <v>#REF!</v>
      </c>
      <c r="EZ121" t="str">
        <f>AND(#REF!,"AAAAAD+fdps=")</f>
        <v>#REF!</v>
      </c>
      <c r="FA121" t="str">
        <f>AND(#REF!,"AAAAAD+fdpw=")</f>
        <v>#REF!</v>
      </c>
      <c r="FB121" t="str">
        <f>AND(#REF!,"AAAAAD+fdp0=")</f>
        <v>#REF!</v>
      </c>
      <c r="FC121" t="str">
        <f>AND(#REF!,"AAAAAD+fdp4=")</f>
        <v>#REF!</v>
      </c>
      <c r="FD121" t="str">
        <f>AND(#REF!,"AAAAAD+fdp8=")</f>
        <v>#REF!</v>
      </c>
      <c r="FE121" t="str">
        <f>AND(#REF!,"AAAAAD+fdqA=")</f>
        <v>#REF!</v>
      </c>
      <c r="FF121" t="str">
        <f>AND(#REF!,"AAAAAD+fdqE=")</f>
        <v>#REF!</v>
      </c>
      <c r="FG121" t="str">
        <f>AND(#REF!,"AAAAAD+fdqI=")</f>
        <v>#REF!</v>
      </c>
      <c r="FH121" t="str">
        <f>AND(#REF!,"AAAAAD+fdqM=")</f>
        <v>#REF!</v>
      </c>
      <c r="FI121" t="str">
        <f>AND(#REF!,"AAAAAD+fdqQ=")</f>
        <v>#REF!</v>
      </c>
      <c r="FJ121" t="str">
        <f>AND(#REF!,"AAAAAD+fdqU=")</f>
        <v>#REF!</v>
      </c>
      <c r="FK121" t="str">
        <f>AND(#REF!,"AAAAAD+fdqY=")</f>
        <v>#REF!</v>
      </c>
      <c r="FL121" t="str">
        <f>AND(#REF!,"AAAAAD+fdqc=")</f>
        <v>#REF!</v>
      </c>
      <c r="FM121" t="str">
        <f>AND(#REF!,"AAAAAD+fdqg=")</f>
        <v>#REF!</v>
      </c>
      <c r="FN121" t="str">
        <f>AND(#REF!,"AAAAAD+fdqk=")</f>
        <v>#REF!</v>
      </c>
      <c r="FO121" t="str">
        <f>AND(#REF!,"AAAAAD+fdqo=")</f>
        <v>#REF!</v>
      </c>
      <c r="FP121" t="str">
        <f>AND(#REF!,"AAAAAD+fdqs=")</f>
        <v>#REF!</v>
      </c>
      <c r="FQ121" t="str">
        <f>AND(#REF!,"AAAAAD+fdqw=")</f>
        <v>#REF!</v>
      </c>
      <c r="FR121" t="str">
        <f>AND(#REF!,"AAAAAD+fdq0=")</f>
        <v>#REF!</v>
      </c>
      <c r="FS121" t="str">
        <f>AND(#REF!,"AAAAAD+fdq4=")</f>
        <v>#REF!</v>
      </c>
      <c r="FT121" t="str">
        <f>AND(#REF!,"AAAAAD+fdq8=")</f>
        <v>#REF!</v>
      </c>
      <c r="FU121" t="str">
        <f>AND(#REF!,"AAAAAD+fdrA=")</f>
        <v>#REF!</v>
      </c>
      <c r="FV121" t="str">
        <f>AND(#REF!,"AAAAAD+fdrE=")</f>
        <v>#REF!</v>
      </c>
      <c r="FW121" t="str">
        <f>AND(#REF!,"AAAAAD+fdrI=")</f>
        <v>#REF!</v>
      </c>
      <c r="FX121" t="str">
        <f>AND(#REF!,"AAAAAD+fdrM=")</f>
        <v>#REF!</v>
      </c>
      <c r="FY121" t="str">
        <f>AND(#REF!,"AAAAAD+fdrQ=")</f>
        <v>#REF!</v>
      </c>
      <c r="FZ121" t="str">
        <f>AND(#REF!,"AAAAAD+fdrU=")</f>
        <v>#REF!</v>
      </c>
      <c r="GA121" t="str">
        <f>AND(#REF!,"AAAAAD+fdrY=")</f>
        <v>#REF!</v>
      </c>
      <c r="GB121" t="str">
        <f>AND(#REF!,"AAAAAD+fdrc=")</f>
        <v>#REF!</v>
      </c>
      <c r="GC121" t="str">
        <f>AND(#REF!,"AAAAAD+fdrg=")</f>
        <v>#REF!</v>
      </c>
      <c r="GD121" t="str">
        <f>AND(#REF!,"AAAAAD+fdrk=")</f>
        <v>#REF!</v>
      </c>
      <c r="GE121" t="str">
        <f>AND(#REF!,"AAAAAD+fdro=")</f>
        <v>#REF!</v>
      </c>
      <c r="GF121" t="str">
        <f>AND(#REF!,"AAAAAD+fdrs=")</f>
        <v>#REF!</v>
      </c>
      <c r="GG121" t="str">
        <f>AND(#REF!,"AAAAAD+fdrw=")</f>
        <v>#REF!</v>
      </c>
      <c r="GH121" t="str">
        <f>AND(#REF!,"AAAAAD+fdr0=")</f>
        <v>#REF!</v>
      </c>
      <c r="GI121" t="str">
        <f>AND(#REF!,"AAAAAD+fdr4=")</f>
        <v>#REF!</v>
      </c>
      <c r="GJ121" t="str">
        <f>AND(#REF!,"AAAAAD+fdr8=")</f>
        <v>#REF!</v>
      </c>
      <c r="GK121" t="str">
        <f>AND(#REF!,"AAAAAD+fdsA=")</f>
        <v>#REF!</v>
      </c>
      <c r="GL121" t="str">
        <f>AND(#REF!,"AAAAAD+fdsE=")</f>
        <v>#REF!</v>
      </c>
      <c r="GM121" t="str">
        <f>AND(#REF!,"AAAAAD+fdsI=")</f>
        <v>#REF!</v>
      </c>
      <c r="GN121" t="str">
        <f>AND(#REF!,"AAAAAD+fdsM=")</f>
        <v>#REF!</v>
      </c>
      <c r="GO121" t="str">
        <f>AND(#REF!,"AAAAAD+fdsQ=")</f>
        <v>#REF!</v>
      </c>
      <c r="GP121" t="str">
        <f>AND(#REF!,"AAAAAD+fdsU=")</f>
        <v>#REF!</v>
      </c>
      <c r="GQ121" t="str">
        <f>IF(#REF!,"AAAAAD+fdsY=",0)</f>
        <v>#REF!</v>
      </c>
      <c r="GR121" t="str">
        <f>AND(#REF!,"AAAAAD+fdsc=")</f>
        <v>#REF!</v>
      </c>
      <c r="GS121" t="str">
        <f>AND(#REF!,"AAAAAD+fdsg=")</f>
        <v>#REF!</v>
      </c>
      <c r="GT121" t="str">
        <f>AND(#REF!,"AAAAAD+fdsk=")</f>
        <v>#REF!</v>
      </c>
      <c r="GU121" t="str">
        <f>AND(#REF!,"AAAAAD+fdso=")</f>
        <v>#REF!</v>
      </c>
      <c r="GV121" t="str">
        <f>AND(#REF!,"AAAAAD+fdss=")</f>
        <v>#REF!</v>
      </c>
      <c r="GW121" t="str">
        <f>AND(#REF!,"AAAAAD+fdsw=")</f>
        <v>#REF!</v>
      </c>
      <c r="GX121" t="str">
        <f>AND(#REF!,"AAAAAD+fds0=")</f>
        <v>#REF!</v>
      </c>
      <c r="GY121" t="str">
        <f>AND(#REF!,"AAAAAD+fds4=")</f>
        <v>#REF!</v>
      </c>
      <c r="GZ121" t="str">
        <f>AND(#REF!,"AAAAAD+fds8=")</f>
        <v>#REF!</v>
      </c>
      <c r="HA121" t="str">
        <f>AND(#REF!,"AAAAAD+fdtA=")</f>
        <v>#REF!</v>
      </c>
      <c r="HB121" t="str">
        <f>AND(#REF!,"AAAAAD+fdtE=")</f>
        <v>#REF!</v>
      </c>
      <c r="HC121" t="str">
        <f>AND(#REF!,"AAAAAD+fdtI=")</f>
        <v>#REF!</v>
      </c>
      <c r="HD121" t="str">
        <f>AND(#REF!,"AAAAAD+fdtM=")</f>
        <v>#REF!</v>
      </c>
      <c r="HE121" t="str">
        <f>AND(#REF!,"AAAAAD+fdtQ=")</f>
        <v>#REF!</v>
      </c>
      <c r="HF121" t="str">
        <f>AND(#REF!,"AAAAAD+fdtU=")</f>
        <v>#REF!</v>
      </c>
      <c r="HG121" t="str">
        <f>AND(#REF!,"AAAAAD+fdtY=")</f>
        <v>#REF!</v>
      </c>
      <c r="HH121" t="str">
        <f>AND(#REF!,"AAAAAD+fdtc=")</f>
        <v>#REF!</v>
      </c>
      <c r="HI121" t="str">
        <f>AND(#REF!,"AAAAAD+fdtg=")</f>
        <v>#REF!</v>
      </c>
      <c r="HJ121" t="str">
        <f>AND(#REF!,"AAAAAD+fdtk=")</f>
        <v>#REF!</v>
      </c>
      <c r="HK121" t="str">
        <f>AND(#REF!,"AAAAAD+fdto=")</f>
        <v>#REF!</v>
      </c>
      <c r="HL121" t="str">
        <f>AND(#REF!,"AAAAAD+fdts=")</f>
        <v>#REF!</v>
      </c>
      <c r="HM121" t="str">
        <f>AND(#REF!,"AAAAAD+fdtw=")</f>
        <v>#REF!</v>
      </c>
      <c r="HN121" t="str">
        <f>AND(#REF!,"AAAAAD+fdt0=")</f>
        <v>#REF!</v>
      </c>
      <c r="HO121" t="str">
        <f>AND(#REF!,"AAAAAD+fdt4=")</f>
        <v>#REF!</v>
      </c>
      <c r="HP121" t="str">
        <f>AND(#REF!,"AAAAAD+fdt8=")</f>
        <v>#REF!</v>
      </c>
      <c r="HQ121" t="str">
        <f>AND(#REF!,"AAAAAD+fduA=")</f>
        <v>#REF!</v>
      </c>
      <c r="HR121" t="str">
        <f>AND(#REF!,"AAAAAD+fduE=")</f>
        <v>#REF!</v>
      </c>
      <c r="HS121" t="str">
        <f>AND(#REF!,"AAAAAD+fduI=")</f>
        <v>#REF!</v>
      </c>
      <c r="HT121" t="str">
        <f>AND(#REF!,"AAAAAD+fduM=")</f>
        <v>#REF!</v>
      </c>
      <c r="HU121" t="str">
        <f>AND(#REF!,"AAAAAD+fduQ=")</f>
        <v>#REF!</v>
      </c>
      <c r="HV121" t="str">
        <f>AND(#REF!,"AAAAAD+fduU=")</f>
        <v>#REF!</v>
      </c>
      <c r="HW121" t="str">
        <f>AND(#REF!,"AAAAAD+fduY=")</f>
        <v>#REF!</v>
      </c>
      <c r="HX121" t="str">
        <f>AND(#REF!,"AAAAAD+fduc=")</f>
        <v>#REF!</v>
      </c>
      <c r="HY121" t="str">
        <f>AND(#REF!,"AAAAAD+fdug=")</f>
        <v>#REF!</v>
      </c>
      <c r="HZ121" t="str">
        <f>AND(#REF!,"AAAAAD+fduk=")</f>
        <v>#REF!</v>
      </c>
      <c r="IA121" t="str">
        <f>AND(#REF!,"AAAAAD+fduo=")</f>
        <v>#REF!</v>
      </c>
      <c r="IB121" t="str">
        <f>AND(#REF!,"AAAAAD+fdus=")</f>
        <v>#REF!</v>
      </c>
      <c r="IC121" t="str">
        <f>AND(#REF!,"AAAAAD+fduw=")</f>
        <v>#REF!</v>
      </c>
      <c r="ID121" t="str">
        <f>AND(#REF!,"AAAAAD+fdu0=")</f>
        <v>#REF!</v>
      </c>
      <c r="IE121" t="str">
        <f>AND(#REF!,"AAAAAD+fdu4=")</f>
        <v>#REF!</v>
      </c>
      <c r="IF121" t="str">
        <f>AND(#REF!,"AAAAAD+fdu8=")</f>
        <v>#REF!</v>
      </c>
      <c r="IG121" t="str">
        <f>AND(#REF!,"AAAAAD+fdvA=")</f>
        <v>#REF!</v>
      </c>
      <c r="IH121" t="str">
        <f>AND(#REF!,"AAAAAD+fdvE=")</f>
        <v>#REF!</v>
      </c>
      <c r="II121" t="str">
        <f>AND(#REF!,"AAAAAD+fdvI=")</f>
        <v>#REF!</v>
      </c>
      <c r="IJ121" t="str">
        <f>AND(#REF!,"AAAAAD+fdvM=")</f>
        <v>#REF!</v>
      </c>
      <c r="IK121" t="str">
        <f>AND(#REF!,"AAAAAD+fdvQ=")</f>
        <v>#REF!</v>
      </c>
      <c r="IL121" t="str">
        <f>AND(#REF!,"AAAAAD+fdvU=")</f>
        <v>#REF!</v>
      </c>
      <c r="IM121" t="str">
        <f>AND(#REF!,"AAAAAD+fdvY=")</f>
        <v>#REF!</v>
      </c>
      <c r="IN121" t="str">
        <f>AND(#REF!,"AAAAAD+fdvc=")</f>
        <v>#REF!</v>
      </c>
      <c r="IO121" t="str">
        <f>AND(#REF!,"AAAAAD+fdvg=")</f>
        <v>#REF!</v>
      </c>
      <c r="IP121" t="str">
        <f>AND(#REF!,"AAAAAD+fdvk=")</f>
        <v>#REF!</v>
      </c>
      <c r="IQ121" t="str">
        <f>AND(#REF!,"AAAAAD+fdvo=")</f>
        <v>#REF!</v>
      </c>
      <c r="IR121" t="str">
        <f>AND(#REF!,"AAAAAD+fdvs=")</f>
        <v>#REF!</v>
      </c>
      <c r="IS121" t="str">
        <f>AND(#REF!,"AAAAAD+fdvw=")</f>
        <v>#REF!</v>
      </c>
      <c r="IT121" t="str">
        <f>AND(#REF!,"AAAAAD+fdv0=")</f>
        <v>#REF!</v>
      </c>
      <c r="IU121" t="str">
        <f>AND(#REF!,"AAAAAD+fdv4=")</f>
        <v>#REF!</v>
      </c>
      <c r="IV121" t="str">
        <f>AND(#REF!,"AAAAAD+fdv8=")</f>
        <v>#REF!</v>
      </c>
    </row>
    <row r="122" ht="15.75" customHeight="1">
      <c r="A122" t="str">
        <f>AND(#REF!,"AAAAAHj+3QA=")</f>
        <v>#REF!</v>
      </c>
      <c r="B122" t="str">
        <f>AND(#REF!,"AAAAAHj+3QE=")</f>
        <v>#REF!</v>
      </c>
      <c r="C122" t="str">
        <f>AND(#REF!,"AAAAAHj+3QI=")</f>
        <v>#REF!</v>
      </c>
      <c r="D122" t="str">
        <f>AND(#REF!,"AAAAAHj+3QM=")</f>
        <v>#REF!</v>
      </c>
      <c r="E122" t="str">
        <f>AND(#REF!,"AAAAAHj+3QQ=")</f>
        <v>#REF!</v>
      </c>
      <c r="F122" t="str">
        <f>AND(#REF!,"AAAAAHj+3QU=")</f>
        <v>#REF!</v>
      </c>
      <c r="G122" t="str">
        <f>AND(#REF!,"AAAAAHj+3QY=")</f>
        <v>#REF!</v>
      </c>
      <c r="H122" t="str">
        <f>AND(#REF!,"AAAAAHj+3Qc=")</f>
        <v>#REF!</v>
      </c>
      <c r="I122" t="str">
        <f>AND(#REF!,"AAAAAHj+3Qg=")</f>
        <v>#REF!</v>
      </c>
      <c r="J122" t="str">
        <f>AND(#REF!,"AAAAAHj+3Qk=")</f>
        <v>#REF!</v>
      </c>
      <c r="K122" t="str">
        <f>AND(#REF!,"AAAAAHj+3Qo=")</f>
        <v>#REF!</v>
      </c>
      <c r="L122" t="str">
        <f>AND(#REF!,"AAAAAHj+3Qs=")</f>
        <v>#REF!</v>
      </c>
      <c r="M122" t="str">
        <f>AND(#REF!,"AAAAAHj+3Qw=")</f>
        <v>#REF!</v>
      </c>
      <c r="N122" t="str">
        <f>AND(#REF!,"AAAAAHj+3Q0=")</f>
        <v>#REF!</v>
      </c>
      <c r="O122" t="str">
        <f>AND(#REF!,"AAAAAHj+3Q4=")</f>
        <v>#REF!</v>
      </c>
      <c r="P122" t="str">
        <f>AND(#REF!,"AAAAAHj+3Q8=")</f>
        <v>#REF!</v>
      </c>
      <c r="Q122" t="str">
        <f>AND(#REF!,"AAAAAHj+3RA=")</f>
        <v>#REF!</v>
      </c>
      <c r="R122" t="str">
        <f>AND(#REF!,"AAAAAHj+3RE=")</f>
        <v>#REF!</v>
      </c>
      <c r="S122" t="str">
        <f>IF(#REF!,"AAAAAHj+3RI=",0)</f>
        <v>#REF!</v>
      </c>
      <c r="T122" t="str">
        <f>AND(#REF!,"AAAAAHj+3RM=")</f>
        <v>#REF!</v>
      </c>
      <c r="U122" t="str">
        <f>AND(#REF!,"AAAAAHj+3RQ=")</f>
        <v>#REF!</v>
      </c>
      <c r="V122" t="str">
        <f>AND(#REF!,"AAAAAHj+3RU=")</f>
        <v>#REF!</v>
      </c>
      <c r="W122" t="str">
        <f>AND(#REF!,"AAAAAHj+3RY=")</f>
        <v>#REF!</v>
      </c>
      <c r="X122" t="str">
        <f>AND(#REF!,"AAAAAHj+3Rc=")</f>
        <v>#REF!</v>
      </c>
      <c r="Y122" t="str">
        <f>AND(#REF!,"AAAAAHj+3Rg=")</f>
        <v>#REF!</v>
      </c>
      <c r="Z122" t="str">
        <f>AND(#REF!,"AAAAAHj+3Rk=")</f>
        <v>#REF!</v>
      </c>
      <c r="AA122" t="str">
        <f>AND(#REF!,"AAAAAHj+3Ro=")</f>
        <v>#REF!</v>
      </c>
      <c r="AB122" t="str">
        <f>AND(#REF!,"AAAAAHj+3Rs=")</f>
        <v>#REF!</v>
      </c>
      <c r="AC122" t="str">
        <f>AND(#REF!,"AAAAAHj+3Rw=")</f>
        <v>#REF!</v>
      </c>
      <c r="AD122" t="str">
        <f>AND(#REF!,"AAAAAHj+3R0=")</f>
        <v>#REF!</v>
      </c>
      <c r="AE122" t="str">
        <f>AND(#REF!,"AAAAAHj+3R4=")</f>
        <v>#REF!</v>
      </c>
      <c r="AF122" t="str">
        <f>AND(#REF!,"AAAAAHj+3R8=")</f>
        <v>#REF!</v>
      </c>
      <c r="AG122" t="str">
        <f>AND(#REF!,"AAAAAHj+3SA=")</f>
        <v>#REF!</v>
      </c>
      <c r="AH122" t="str">
        <f>AND(#REF!,"AAAAAHj+3SE=")</f>
        <v>#REF!</v>
      </c>
      <c r="AI122" t="str">
        <f>AND(#REF!,"AAAAAHj+3SI=")</f>
        <v>#REF!</v>
      </c>
      <c r="AJ122" t="str">
        <f>AND(#REF!,"AAAAAHj+3SM=")</f>
        <v>#REF!</v>
      </c>
      <c r="AK122" t="str">
        <f>AND(#REF!,"AAAAAHj+3SQ=")</f>
        <v>#REF!</v>
      </c>
      <c r="AL122" t="str">
        <f>AND(#REF!,"AAAAAHj+3SU=")</f>
        <v>#REF!</v>
      </c>
      <c r="AM122" t="str">
        <f>AND(#REF!,"AAAAAHj+3SY=")</f>
        <v>#REF!</v>
      </c>
      <c r="AN122" t="str">
        <f>AND(#REF!,"AAAAAHj+3Sc=")</f>
        <v>#REF!</v>
      </c>
      <c r="AO122" t="str">
        <f>AND(#REF!,"AAAAAHj+3Sg=")</f>
        <v>#REF!</v>
      </c>
      <c r="AP122" t="str">
        <f>AND(#REF!,"AAAAAHj+3Sk=")</f>
        <v>#REF!</v>
      </c>
      <c r="AQ122" t="str">
        <f>AND(#REF!,"AAAAAHj+3So=")</f>
        <v>#REF!</v>
      </c>
      <c r="AR122" t="str">
        <f>AND(#REF!,"AAAAAHj+3Ss=")</f>
        <v>#REF!</v>
      </c>
      <c r="AS122" t="str">
        <f>AND(#REF!,"AAAAAHj+3Sw=")</f>
        <v>#REF!</v>
      </c>
      <c r="AT122" t="str">
        <f>AND(#REF!,"AAAAAHj+3S0=")</f>
        <v>#REF!</v>
      </c>
      <c r="AU122" t="str">
        <f>AND(#REF!,"AAAAAHj+3S4=")</f>
        <v>#REF!</v>
      </c>
      <c r="AV122" t="str">
        <f>AND(#REF!,"AAAAAHj+3S8=")</f>
        <v>#REF!</v>
      </c>
      <c r="AW122" t="str">
        <f>AND(#REF!,"AAAAAHj+3TA=")</f>
        <v>#REF!</v>
      </c>
      <c r="AX122" t="str">
        <f>AND(#REF!,"AAAAAHj+3TE=")</f>
        <v>#REF!</v>
      </c>
      <c r="AY122" t="str">
        <f>AND(#REF!,"AAAAAHj+3TI=")</f>
        <v>#REF!</v>
      </c>
      <c r="AZ122" t="str">
        <f>AND(#REF!,"AAAAAHj+3TM=")</f>
        <v>#REF!</v>
      </c>
      <c r="BA122" t="str">
        <f>AND(#REF!,"AAAAAHj+3TQ=")</f>
        <v>#REF!</v>
      </c>
      <c r="BB122" t="str">
        <f>AND(#REF!,"AAAAAHj+3TU=")</f>
        <v>#REF!</v>
      </c>
      <c r="BC122" t="str">
        <f>AND(#REF!,"AAAAAHj+3TY=")</f>
        <v>#REF!</v>
      </c>
      <c r="BD122" t="str">
        <f>AND(#REF!,"AAAAAHj+3Tc=")</f>
        <v>#REF!</v>
      </c>
      <c r="BE122" t="str">
        <f>AND(#REF!,"AAAAAHj+3Tg=")</f>
        <v>#REF!</v>
      </c>
      <c r="BF122" t="str">
        <f>AND(#REF!,"AAAAAHj+3Tk=")</f>
        <v>#REF!</v>
      </c>
      <c r="BG122" t="str">
        <f>AND(#REF!,"AAAAAHj+3To=")</f>
        <v>#REF!</v>
      </c>
      <c r="BH122" t="str">
        <f>AND(#REF!,"AAAAAHj+3Ts=")</f>
        <v>#REF!</v>
      </c>
      <c r="BI122" t="str">
        <f>AND(#REF!,"AAAAAHj+3Tw=")</f>
        <v>#REF!</v>
      </c>
      <c r="BJ122" t="str">
        <f>AND(#REF!,"AAAAAHj+3T0=")</f>
        <v>#REF!</v>
      </c>
      <c r="BK122" t="str">
        <f>AND(#REF!,"AAAAAHj+3T4=")</f>
        <v>#REF!</v>
      </c>
      <c r="BL122" t="str">
        <f>AND(#REF!,"AAAAAHj+3T8=")</f>
        <v>#REF!</v>
      </c>
      <c r="BM122" t="str">
        <f>AND(#REF!,"AAAAAHj+3UA=")</f>
        <v>#REF!</v>
      </c>
      <c r="BN122" t="str">
        <f>AND(#REF!,"AAAAAHj+3UE=")</f>
        <v>#REF!</v>
      </c>
      <c r="BO122" t="str">
        <f>AND(#REF!,"AAAAAHj+3UI=")</f>
        <v>#REF!</v>
      </c>
      <c r="BP122" t="str">
        <f>AND(#REF!,"AAAAAHj+3UM=")</f>
        <v>#REF!</v>
      </c>
      <c r="BQ122" t="str">
        <f>AND(#REF!,"AAAAAHj+3UQ=")</f>
        <v>#REF!</v>
      </c>
      <c r="BR122" t="str">
        <f>AND(#REF!,"AAAAAHj+3UU=")</f>
        <v>#REF!</v>
      </c>
      <c r="BS122" t="str">
        <f>AND(#REF!,"AAAAAHj+3UY=")</f>
        <v>#REF!</v>
      </c>
      <c r="BT122" t="str">
        <f>AND(#REF!,"AAAAAHj+3Uc=")</f>
        <v>#REF!</v>
      </c>
      <c r="BU122" t="str">
        <f>AND(#REF!,"AAAAAHj+3Ug=")</f>
        <v>#REF!</v>
      </c>
      <c r="BV122" t="str">
        <f>AND(#REF!,"AAAAAHj+3Uk=")</f>
        <v>#REF!</v>
      </c>
      <c r="BW122" t="str">
        <f>AND(#REF!,"AAAAAHj+3Uo=")</f>
        <v>#REF!</v>
      </c>
      <c r="BX122" t="str">
        <f>AND(#REF!,"AAAAAHj+3Us=")</f>
        <v>#REF!</v>
      </c>
      <c r="BY122" t="str">
        <f>AND(#REF!,"AAAAAHj+3Uw=")</f>
        <v>#REF!</v>
      </c>
      <c r="BZ122" t="str">
        <f>AND(#REF!,"AAAAAHj+3U0=")</f>
        <v>#REF!</v>
      </c>
      <c r="CA122" t="str">
        <f>AND(#REF!,"AAAAAHj+3U4=")</f>
        <v>#REF!</v>
      </c>
      <c r="CB122" t="str">
        <f>AND(#REF!,"AAAAAHj+3U8=")</f>
        <v>#REF!</v>
      </c>
      <c r="CC122" t="str">
        <f>AND(#REF!,"AAAAAHj+3VA=")</f>
        <v>#REF!</v>
      </c>
      <c r="CD122" t="str">
        <f>AND(#REF!,"AAAAAHj+3VE=")</f>
        <v>#REF!</v>
      </c>
      <c r="CE122" t="str">
        <f>AND(#REF!,"AAAAAHj+3VI=")</f>
        <v>#REF!</v>
      </c>
      <c r="CF122" t="str">
        <f>AND(#REF!,"AAAAAHj+3VM=")</f>
        <v>#REF!</v>
      </c>
      <c r="CG122" t="str">
        <f>AND(#REF!,"AAAAAHj+3VQ=")</f>
        <v>#REF!</v>
      </c>
      <c r="CH122" t="str">
        <f>AND(#REF!,"AAAAAHj+3VU=")</f>
        <v>#REF!</v>
      </c>
      <c r="CI122" t="str">
        <f>AND(#REF!,"AAAAAHj+3VY=")</f>
        <v>#REF!</v>
      </c>
      <c r="CJ122" t="str">
        <f>AND(#REF!,"AAAAAHj+3Vc=")</f>
        <v>#REF!</v>
      </c>
      <c r="CK122" t="str">
        <f>AND(#REF!,"AAAAAHj+3Vg=")</f>
        <v>#REF!</v>
      </c>
      <c r="CL122" t="str">
        <f>AND(#REF!,"AAAAAHj+3Vk=")</f>
        <v>#REF!</v>
      </c>
      <c r="CM122" t="str">
        <f>AND(#REF!,"AAAAAHj+3Vo=")</f>
        <v>#REF!</v>
      </c>
      <c r="CN122" t="str">
        <f>AND(#REF!,"AAAAAHj+3Vs=")</f>
        <v>#REF!</v>
      </c>
      <c r="CO122" t="str">
        <f>AND(#REF!,"AAAAAHj+3Vw=")</f>
        <v>#REF!</v>
      </c>
      <c r="CP122" t="str">
        <f>AND(#REF!,"AAAAAHj+3V0=")</f>
        <v>#REF!</v>
      </c>
      <c r="CQ122" t="str">
        <f>IF(#REF!,"AAAAAHj+3V4=",0)</f>
        <v>#REF!</v>
      </c>
      <c r="CR122" t="str">
        <f>AND(#REF!,"AAAAAHj+3V8=")</f>
        <v>#REF!</v>
      </c>
      <c r="CS122" t="str">
        <f>AND(#REF!,"AAAAAHj+3WA=")</f>
        <v>#REF!</v>
      </c>
      <c r="CT122" t="str">
        <f>AND(#REF!,"AAAAAHj+3WE=")</f>
        <v>#REF!</v>
      </c>
      <c r="CU122" t="str">
        <f>AND(#REF!,"AAAAAHj+3WI=")</f>
        <v>#REF!</v>
      </c>
      <c r="CV122" t="str">
        <f>AND(#REF!,"AAAAAHj+3WM=")</f>
        <v>#REF!</v>
      </c>
      <c r="CW122" t="str">
        <f>AND(#REF!,"AAAAAHj+3WQ=")</f>
        <v>#REF!</v>
      </c>
      <c r="CX122" t="str">
        <f>AND(#REF!,"AAAAAHj+3WU=")</f>
        <v>#REF!</v>
      </c>
      <c r="CY122" t="str">
        <f>AND(#REF!,"AAAAAHj+3WY=")</f>
        <v>#REF!</v>
      </c>
      <c r="CZ122" t="str">
        <f>AND(#REF!,"AAAAAHj+3Wc=")</f>
        <v>#REF!</v>
      </c>
      <c r="DA122" t="str">
        <f>AND(#REF!,"AAAAAHj+3Wg=")</f>
        <v>#REF!</v>
      </c>
      <c r="DB122" t="str">
        <f>AND(#REF!,"AAAAAHj+3Wk=")</f>
        <v>#REF!</v>
      </c>
      <c r="DC122" t="str">
        <f>AND(#REF!,"AAAAAHj+3Wo=")</f>
        <v>#REF!</v>
      </c>
      <c r="DD122" t="str">
        <f>AND(#REF!,"AAAAAHj+3Ws=")</f>
        <v>#REF!</v>
      </c>
      <c r="DE122" t="str">
        <f>AND(#REF!,"AAAAAHj+3Ww=")</f>
        <v>#REF!</v>
      </c>
      <c r="DF122" t="str">
        <f>AND(#REF!,"AAAAAHj+3W0=")</f>
        <v>#REF!</v>
      </c>
      <c r="DG122" t="str">
        <f>AND(#REF!,"AAAAAHj+3W4=")</f>
        <v>#REF!</v>
      </c>
      <c r="DH122" t="str">
        <f>AND(#REF!,"AAAAAHj+3W8=")</f>
        <v>#REF!</v>
      </c>
      <c r="DI122" t="str">
        <f>AND(#REF!,"AAAAAHj+3XA=")</f>
        <v>#REF!</v>
      </c>
      <c r="DJ122" t="str">
        <f>AND(#REF!,"AAAAAHj+3XE=")</f>
        <v>#REF!</v>
      </c>
      <c r="DK122" t="str">
        <f>AND(#REF!,"AAAAAHj+3XI=")</f>
        <v>#REF!</v>
      </c>
      <c r="DL122" t="str">
        <f>AND(#REF!,"AAAAAHj+3XM=")</f>
        <v>#REF!</v>
      </c>
      <c r="DM122" t="str">
        <f>AND(#REF!,"AAAAAHj+3XQ=")</f>
        <v>#REF!</v>
      </c>
      <c r="DN122" t="str">
        <f>AND(#REF!,"AAAAAHj+3XU=")</f>
        <v>#REF!</v>
      </c>
      <c r="DO122" t="str">
        <f>AND(#REF!,"AAAAAHj+3XY=")</f>
        <v>#REF!</v>
      </c>
      <c r="DP122" t="str">
        <f>AND(#REF!,"AAAAAHj+3Xc=")</f>
        <v>#REF!</v>
      </c>
      <c r="DQ122" t="str">
        <f>AND(#REF!,"AAAAAHj+3Xg=")</f>
        <v>#REF!</v>
      </c>
      <c r="DR122" t="str">
        <f>AND(#REF!,"AAAAAHj+3Xk=")</f>
        <v>#REF!</v>
      </c>
      <c r="DS122" t="str">
        <f>AND(#REF!,"AAAAAHj+3Xo=")</f>
        <v>#REF!</v>
      </c>
      <c r="DT122" t="str">
        <f>AND(#REF!,"AAAAAHj+3Xs=")</f>
        <v>#REF!</v>
      </c>
      <c r="DU122" t="str">
        <f>AND(#REF!,"AAAAAHj+3Xw=")</f>
        <v>#REF!</v>
      </c>
      <c r="DV122" t="str">
        <f>AND(#REF!,"AAAAAHj+3X0=")</f>
        <v>#REF!</v>
      </c>
      <c r="DW122" t="str">
        <f>AND(#REF!,"AAAAAHj+3X4=")</f>
        <v>#REF!</v>
      </c>
      <c r="DX122" t="str">
        <f>AND(#REF!,"AAAAAHj+3X8=")</f>
        <v>#REF!</v>
      </c>
      <c r="DY122" t="str">
        <f>AND(#REF!,"AAAAAHj+3YA=")</f>
        <v>#REF!</v>
      </c>
      <c r="DZ122" t="str">
        <f>AND(#REF!,"AAAAAHj+3YE=")</f>
        <v>#REF!</v>
      </c>
      <c r="EA122" t="str">
        <f>AND(#REF!,"AAAAAHj+3YI=")</f>
        <v>#REF!</v>
      </c>
      <c r="EB122" t="str">
        <f>AND(#REF!,"AAAAAHj+3YM=")</f>
        <v>#REF!</v>
      </c>
      <c r="EC122" t="str">
        <f>AND(#REF!,"AAAAAHj+3YQ=")</f>
        <v>#REF!</v>
      </c>
      <c r="ED122" t="str">
        <f>AND(#REF!,"AAAAAHj+3YU=")</f>
        <v>#REF!</v>
      </c>
      <c r="EE122" t="str">
        <f>AND(#REF!,"AAAAAHj+3YY=")</f>
        <v>#REF!</v>
      </c>
      <c r="EF122" t="str">
        <f>AND(#REF!,"AAAAAHj+3Yc=")</f>
        <v>#REF!</v>
      </c>
      <c r="EG122" t="str">
        <f>AND(#REF!,"AAAAAHj+3Yg=")</f>
        <v>#REF!</v>
      </c>
      <c r="EH122" t="str">
        <f>AND(#REF!,"AAAAAHj+3Yk=")</f>
        <v>#REF!</v>
      </c>
      <c r="EI122" t="str">
        <f>AND(#REF!,"AAAAAHj+3Yo=")</f>
        <v>#REF!</v>
      </c>
      <c r="EJ122" t="str">
        <f>AND(#REF!,"AAAAAHj+3Ys=")</f>
        <v>#REF!</v>
      </c>
      <c r="EK122" t="str">
        <f>AND(#REF!,"AAAAAHj+3Yw=")</f>
        <v>#REF!</v>
      </c>
      <c r="EL122" t="str">
        <f>AND(#REF!,"AAAAAHj+3Y0=")</f>
        <v>#REF!</v>
      </c>
      <c r="EM122" t="str">
        <f>AND(#REF!,"AAAAAHj+3Y4=")</f>
        <v>#REF!</v>
      </c>
      <c r="EN122" t="str">
        <f>AND(#REF!,"AAAAAHj+3Y8=")</f>
        <v>#REF!</v>
      </c>
      <c r="EO122" t="str">
        <f>AND(#REF!,"AAAAAHj+3ZA=")</f>
        <v>#REF!</v>
      </c>
      <c r="EP122" t="str">
        <f>AND(#REF!,"AAAAAHj+3ZE=")</f>
        <v>#REF!</v>
      </c>
      <c r="EQ122" t="str">
        <f>AND(#REF!,"AAAAAHj+3ZI=")</f>
        <v>#REF!</v>
      </c>
      <c r="ER122" t="str">
        <f>AND(#REF!,"AAAAAHj+3ZM=")</f>
        <v>#REF!</v>
      </c>
      <c r="ES122" t="str">
        <f>AND(#REF!,"AAAAAHj+3ZQ=")</f>
        <v>#REF!</v>
      </c>
      <c r="ET122" t="str">
        <f>AND(#REF!,"AAAAAHj+3ZU=")</f>
        <v>#REF!</v>
      </c>
      <c r="EU122" t="str">
        <f>AND(#REF!,"AAAAAHj+3ZY=")</f>
        <v>#REF!</v>
      </c>
      <c r="EV122" t="str">
        <f>AND(#REF!,"AAAAAHj+3Zc=")</f>
        <v>#REF!</v>
      </c>
      <c r="EW122" t="str">
        <f>AND(#REF!,"AAAAAHj+3Zg=")</f>
        <v>#REF!</v>
      </c>
      <c r="EX122" t="str">
        <f>AND(#REF!,"AAAAAHj+3Zk=")</f>
        <v>#REF!</v>
      </c>
      <c r="EY122" t="str">
        <f>AND(#REF!,"AAAAAHj+3Zo=")</f>
        <v>#REF!</v>
      </c>
      <c r="EZ122" t="str">
        <f>AND(#REF!,"AAAAAHj+3Zs=")</f>
        <v>#REF!</v>
      </c>
      <c r="FA122" t="str">
        <f>AND(#REF!,"AAAAAHj+3Zw=")</f>
        <v>#REF!</v>
      </c>
      <c r="FB122" t="str">
        <f>AND(#REF!,"AAAAAHj+3Z0=")</f>
        <v>#REF!</v>
      </c>
      <c r="FC122" t="str">
        <f>AND(#REF!,"AAAAAHj+3Z4=")</f>
        <v>#REF!</v>
      </c>
      <c r="FD122" t="str">
        <f>AND(#REF!,"AAAAAHj+3Z8=")</f>
        <v>#REF!</v>
      </c>
      <c r="FE122" t="str">
        <f>AND(#REF!,"AAAAAHj+3aA=")</f>
        <v>#REF!</v>
      </c>
      <c r="FF122" t="str">
        <f>AND(#REF!,"AAAAAHj+3aE=")</f>
        <v>#REF!</v>
      </c>
      <c r="FG122" t="str">
        <f>AND(#REF!,"AAAAAHj+3aI=")</f>
        <v>#REF!</v>
      </c>
      <c r="FH122" t="str">
        <f>AND(#REF!,"AAAAAHj+3aM=")</f>
        <v>#REF!</v>
      </c>
      <c r="FI122" t="str">
        <f>AND(#REF!,"AAAAAHj+3aQ=")</f>
        <v>#REF!</v>
      </c>
      <c r="FJ122" t="str">
        <f>AND(#REF!,"AAAAAHj+3aU=")</f>
        <v>#REF!</v>
      </c>
      <c r="FK122" t="str">
        <f>AND(#REF!,"AAAAAHj+3aY=")</f>
        <v>#REF!</v>
      </c>
      <c r="FL122" t="str">
        <f>AND(#REF!,"AAAAAHj+3ac=")</f>
        <v>#REF!</v>
      </c>
      <c r="FM122" t="str">
        <f>AND(#REF!,"AAAAAHj+3ag=")</f>
        <v>#REF!</v>
      </c>
      <c r="FN122" t="str">
        <f>AND(#REF!,"AAAAAHj+3ak=")</f>
        <v>#REF!</v>
      </c>
      <c r="FO122" t="str">
        <f>IF(#REF!,"AAAAAHj+3ao=",0)</f>
        <v>#REF!</v>
      </c>
      <c r="FP122" t="str">
        <f>AND(#REF!,"AAAAAHj+3as=")</f>
        <v>#REF!</v>
      </c>
      <c r="FQ122" t="str">
        <f>AND(#REF!,"AAAAAHj+3aw=")</f>
        <v>#REF!</v>
      </c>
      <c r="FR122" t="str">
        <f>AND(#REF!,"AAAAAHj+3a0=")</f>
        <v>#REF!</v>
      </c>
      <c r="FS122" t="str">
        <f>AND(#REF!,"AAAAAHj+3a4=")</f>
        <v>#REF!</v>
      </c>
      <c r="FT122" t="str">
        <f>AND(#REF!,"AAAAAHj+3a8=")</f>
        <v>#REF!</v>
      </c>
      <c r="FU122" t="str">
        <f>AND(#REF!,"AAAAAHj+3bA=")</f>
        <v>#REF!</v>
      </c>
      <c r="FV122" t="str">
        <f>AND(#REF!,"AAAAAHj+3bE=")</f>
        <v>#REF!</v>
      </c>
      <c r="FW122" t="str">
        <f>AND(#REF!,"AAAAAHj+3bI=")</f>
        <v>#REF!</v>
      </c>
      <c r="FX122" t="str">
        <f>AND(#REF!,"AAAAAHj+3bM=")</f>
        <v>#REF!</v>
      </c>
      <c r="FY122" t="str">
        <f>AND(#REF!,"AAAAAHj+3bQ=")</f>
        <v>#REF!</v>
      </c>
      <c r="FZ122" t="str">
        <f>AND(#REF!,"AAAAAHj+3bU=")</f>
        <v>#REF!</v>
      </c>
      <c r="GA122" t="str">
        <f>AND(#REF!,"AAAAAHj+3bY=")</f>
        <v>#REF!</v>
      </c>
      <c r="GB122" t="str">
        <f>AND(#REF!,"AAAAAHj+3bc=")</f>
        <v>#REF!</v>
      </c>
      <c r="GC122" t="str">
        <f>AND(#REF!,"AAAAAHj+3bg=")</f>
        <v>#REF!</v>
      </c>
      <c r="GD122" t="str">
        <f>AND(#REF!,"AAAAAHj+3bk=")</f>
        <v>#REF!</v>
      </c>
      <c r="GE122" t="str">
        <f>AND(#REF!,"AAAAAHj+3bo=")</f>
        <v>#REF!</v>
      </c>
      <c r="GF122" t="str">
        <f>AND(#REF!,"AAAAAHj+3bs=")</f>
        <v>#REF!</v>
      </c>
      <c r="GG122" t="str">
        <f>AND(#REF!,"AAAAAHj+3bw=")</f>
        <v>#REF!</v>
      </c>
      <c r="GH122" t="str">
        <f>AND(#REF!,"AAAAAHj+3b0=")</f>
        <v>#REF!</v>
      </c>
      <c r="GI122" t="str">
        <f>AND(#REF!,"AAAAAHj+3b4=")</f>
        <v>#REF!</v>
      </c>
      <c r="GJ122" t="str">
        <f>AND(#REF!,"AAAAAHj+3b8=")</f>
        <v>#REF!</v>
      </c>
      <c r="GK122" t="str">
        <f>AND(#REF!,"AAAAAHj+3cA=")</f>
        <v>#REF!</v>
      </c>
      <c r="GL122" t="str">
        <f>AND(#REF!,"AAAAAHj+3cE=")</f>
        <v>#REF!</v>
      </c>
      <c r="GM122" t="str">
        <f>AND(#REF!,"AAAAAHj+3cI=")</f>
        <v>#REF!</v>
      </c>
      <c r="GN122" t="str">
        <f>AND(#REF!,"AAAAAHj+3cM=")</f>
        <v>#REF!</v>
      </c>
      <c r="GO122" t="str">
        <f>AND(#REF!,"AAAAAHj+3cQ=")</f>
        <v>#REF!</v>
      </c>
      <c r="GP122" t="str">
        <f>AND(#REF!,"AAAAAHj+3cU=")</f>
        <v>#REF!</v>
      </c>
      <c r="GQ122" t="str">
        <f>AND(#REF!,"AAAAAHj+3cY=")</f>
        <v>#REF!</v>
      </c>
      <c r="GR122" t="str">
        <f>AND(#REF!,"AAAAAHj+3cc=")</f>
        <v>#REF!</v>
      </c>
      <c r="GS122" t="str">
        <f>AND(#REF!,"AAAAAHj+3cg=")</f>
        <v>#REF!</v>
      </c>
      <c r="GT122" t="str">
        <f>AND(#REF!,"AAAAAHj+3ck=")</f>
        <v>#REF!</v>
      </c>
      <c r="GU122" t="str">
        <f>AND(#REF!,"AAAAAHj+3co=")</f>
        <v>#REF!</v>
      </c>
      <c r="GV122" t="str">
        <f>AND(#REF!,"AAAAAHj+3cs=")</f>
        <v>#REF!</v>
      </c>
      <c r="GW122" t="str">
        <f>AND(#REF!,"AAAAAHj+3cw=")</f>
        <v>#REF!</v>
      </c>
      <c r="GX122" t="str">
        <f>AND(#REF!,"AAAAAHj+3c0=")</f>
        <v>#REF!</v>
      </c>
      <c r="GY122" t="str">
        <f>AND(#REF!,"AAAAAHj+3c4=")</f>
        <v>#REF!</v>
      </c>
      <c r="GZ122" t="str">
        <f>AND(#REF!,"AAAAAHj+3c8=")</f>
        <v>#REF!</v>
      </c>
      <c r="HA122" t="str">
        <f>AND(#REF!,"AAAAAHj+3dA=")</f>
        <v>#REF!</v>
      </c>
      <c r="HB122" t="str">
        <f>AND(#REF!,"AAAAAHj+3dE=")</f>
        <v>#REF!</v>
      </c>
      <c r="HC122" t="str">
        <f>AND(#REF!,"AAAAAHj+3dI=")</f>
        <v>#REF!</v>
      </c>
      <c r="HD122" t="str">
        <f>AND(#REF!,"AAAAAHj+3dM=")</f>
        <v>#REF!</v>
      </c>
      <c r="HE122" t="str">
        <f>AND(#REF!,"AAAAAHj+3dQ=")</f>
        <v>#REF!</v>
      </c>
      <c r="HF122" t="str">
        <f>AND(#REF!,"AAAAAHj+3dU=")</f>
        <v>#REF!</v>
      </c>
      <c r="HG122" t="str">
        <f>AND(#REF!,"AAAAAHj+3dY=")</f>
        <v>#REF!</v>
      </c>
      <c r="HH122" t="str">
        <f>AND(#REF!,"AAAAAHj+3dc=")</f>
        <v>#REF!</v>
      </c>
      <c r="HI122" t="str">
        <f>AND(#REF!,"AAAAAHj+3dg=")</f>
        <v>#REF!</v>
      </c>
      <c r="HJ122" t="str">
        <f>AND(#REF!,"AAAAAHj+3dk=")</f>
        <v>#REF!</v>
      </c>
      <c r="HK122" t="str">
        <f>AND(#REF!,"AAAAAHj+3do=")</f>
        <v>#REF!</v>
      </c>
      <c r="HL122" t="str">
        <f>AND(#REF!,"AAAAAHj+3ds=")</f>
        <v>#REF!</v>
      </c>
      <c r="HM122" t="str">
        <f>AND(#REF!,"AAAAAHj+3dw=")</f>
        <v>#REF!</v>
      </c>
      <c r="HN122" t="str">
        <f>AND(#REF!,"AAAAAHj+3d0=")</f>
        <v>#REF!</v>
      </c>
      <c r="HO122" t="str">
        <f>AND(#REF!,"AAAAAHj+3d4=")</f>
        <v>#REF!</v>
      </c>
      <c r="HP122" t="str">
        <f>AND(#REF!,"AAAAAHj+3d8=")</f>
        <v>#REF!</v>
      </c>
      <c r="HQ122" t="str">
        <f>AND(#REF!,"AAAAAHj+3eA=")</f>
        <v>#REF!</v>
      </c>
      <c r="HR122" t="str">
        <f>AND(#REF!,"AAAAAHj+3eE=")</f>
        <v>#REF!</v>
      </c>
      <c r="HS122" t="str">
        <f>AND(#REF!,"AAAAAHj+3eI=")</f>
        <v>#REF!</v>
      </c>
      <c r="HT122" t="str">
        <f>AND(#REF!,"AAAAAHj+3eM=")</f>
        <v>#REF!</v>
      </c>
      <c r="HU122" t="str">
        <f>AND(#REF!,"AAAAAHj+3eQ=")</f>
        <v>#REF!</v>
      </c>
      <c r="HV122" t="str">
        <f>AND(#REF!,"AAAAAHj+3eU=")</f>
        <v>#REF!</v>
      </c>
      <c r="HW122" t="str">
        <f>AND(#REF!,"AAAAAHj+3eY=")</f>
        <v>#REF!</v>
      </c>
      <c r="HX122" t="str">
        <f>AND(#REF!,"AAAAAHj+3ec=")</f>
        <v>#REF!</v>
      </c>
      <c r="HY122" t="str">
        <f>AND(#REF!,"AAAAAHj+3eg=")</f>
        <v>#REF!</v>
      </c>
      <c r="HZ122" t="str">
        <f>AND(#REF!,"AAAAAHj+3ek=")</f>
        <v>#REF!</v>
      </c>
      <c r="IA122" t="str">
        <f>AND(#REF!,"AAAAAHj+3eo=")</f>
        <v>#REF!</v>
      </c>
      <c r="IB122" t="str">
        <f>AND(#REF!,"AAAAAHj+3es=")</f>
        <v>#REF!</v>
      </c>
      <c r="IC122" t="str">
        <f>AND(#REF!,"AAAAAHj+3ew=")</f>
        <v>#REF!</v>
      </c>
      <c r="ID122" t="str">
        <f>AND(#REF!,"AAAAAHj+3e0=")</f>
        <v>#REF!</v>
      </c>
      <c r="IE122" t="str">
        <f>AND(#REF!,"AAAAAHj+3e4=")</f>
        <v>#REF!</v>
      </c>
      <c r="IF122" t="str">
        <f>AND(#REF!,"AAAAAHj+3e8=")</f>
        <v>#REF!</v>
      </c>
      <c r="IG122" t="str">
        <f>AND(#REF!,"AAAAAHj+3fA=")</f>
        <v>#REF!</v>
      </c>
      <c r="IH122" t="str">
        <f>AND(#REF!,"AAAAAHj+3fE=")</f>
        <v>#REF!</v>
      </c>
      <c r="II122" t="str">
        <f>AND(#REF!,"AAAAAHj+3fI=")</f>
        <v>#REF!</v>
      </c>
      <c r="IJ122" t="str">
        <f>AND(#REF!,"AAAAAHj+3fM=")</f>
        <v>#REF!</v>
      </c>
      <c r="IK122" t="str">
        <f>AND(#REF!,"AAAAAHj+3fQ=")</f>
        <v>#REF!</v>
      </c>
      <c r="IL122" t="str">
        <f>AND(#REF!,"AAAAAHj+3fU=")</f>
        <v>#REF!</v>
      </c>
      <c r="IM122" t="str">
        <f>IF(#REF!,"AAAAAHj+3fY=",0)</f>
        <v>#REF!</v>
      </c>
      <c r="IN122" t="str">
        <f>AND(#REF!,"AAAAAHj+3fc=")</f>
        <v>#REF!</v>
      </c>
      <c r="IO122" t="str">
        <f>AND(#REF!,"AAAAAHj+3fg=")</f>
        <v>#REF!</v>
      </c>
      <c r="IP122" t="str">
        <f>AND(#REF!,"AAAAAHj+3fk=")</f>
        <v>#REF!</v>
      </c>
      <c r="IQ122" t="str">
        <f>IF(#REF!,"AAAAAHj+3fo=",0)</f>
        <v>#REF!</v>
      </c>
      <c r="IR122" t="str">
        <f>AND(#REF!,"AAAAAHj+3fs=")</f>
        <v>#REF!</v>
      </c>
      <c r="IS122" t="str">
        <f>AND(#REF!,"AAAAAHj+3fw=")</f>
        <v>#REF!</v>
      </c>
      <c r="IT122" t="str">
        <f>AND(#REF!,"AAAAAHj+3f0=")</f>
        <v>#REF!</v>
      </c>
      <c r="IU122" t="str">
        <f>IF(#REF!,"AAAAAHj+3f4=",0)</f>
        <v>#REF!</v>
      </c>
      <c r="IV122" t="str">
        <f>AND(#REF!,"AAAAAHj+3f8=")</f>
        <v>#REF!</v>
      </c>
    </row>
    <row r="123" ht="15.75" customHeight="1">
      <c r="A123" t="str">
        <f>AND(#REF!,"AAAAAH+uvwA=")</f>
        <v>#REF!</v>
      </c>
      <c r="B123" t="str">
        <f>AND(#REF!,"AAAAAH+uvwE=")</f>
        <v>#REF!</v>
      </c>
      <c r="C123" t="str">
        <f>IF(#REF!,"AAAAAH+uvwI=",0)</f>
        <v>#REF!</v>
      </c>
      <c r="D123" t="str">
        <f>AND(#REF!,"AAAAAH+uvwM=")</f>
        <v>#REF!</v>
      </c>
      <c r="E123" t="str">
        <f>AND(#REF!,"AAAAAH+uvwQ=")</f>
        <v>#REF!</v>
      </c>
      <c r="F123" t="str">
        <f>AND(#REF!,"AAAAAH+uvwU=")</f>
        <v>#REF!</v>
      </c>
      <c r="G123" t="str">
        <f>IF(#REF!,"AAAAAH+uvwY=",0)</f>
        <v>#REF!</v>
      </c>
      <c r="H123" t="str">
        <f>AND(#REF!,"AAAAAH+uvwc=")</f>
        <v>#REF!</v>
      </c>
      <c r="I123" t="str">
        <f>AND(#REF!,"AAAAAH+uvwg=")</f>
        <v>#REF!</v>
      </c>
      <c r="J123" t="str">
        <f>AND(#REF!,"AAAAAH+uvwk=")</f>
        <v>#REF!</v>
      </c>
      <c r="K123" t="str">
        <f>IF(#REF!,"AAAAAH+uvwo=",0)</f>
        <v>#REF!</v>
      </c>
      <c r="L123" t="str">
        <f>AND(#REF!,"AAAAAH+uvws=")</f>
        <v>#REF!</v>
      </c>
      <c r="M123" t="str">
        <f>AND(#REF!,"AAAAAH+uvww=")</f>
        <v>#REF!</v>
      </c>
      <c r="N123" t="str">
        <f>AND(#REF!,"AAAAAH+uvw0=")</f>
        <v>#REF!</v>
      </c>
      <c r="O123" t="str">
        <f>IF(#REF!,"AAAAAH+uvw4=",0)</f>
        <v>#REF!</v>
      </c>
      <c r="P123" t="str">
        <f>IF(#REF!,"AAAAAH+uvw8=",0)</f>
        <v>#REF!</v>
      </c>
      <c r="Q123" t="str">
        <f>IF(#REF!,"AAAAAH+uvxA=",0)</f>
        <v>#REF!</v>
      </c>
      <c r="R123" t="str">
        <f>IF(#REF!,"AAAAAH+uvxE=",0)</f>
        <v>#REF!</v>
      </c>
      <c r="S123" t="str">
        <f>IF(#REF!,"AAAAAH+uvxI=",0)</f>
        <v>#REF!</v>
      </c>
      <c r="T123" t="str">
        <f>IF(#REF!,"AAAAAH+uvxM=",0)</f>
        <v>#REF!</v>
      </c>
      <c r="U123" t="str">
        <f>IF(#REF!,"AAAAAH+uvxQ=",0)</f>
        <v>#REF!</v>
      </c>
      <c r="V123" t="str">
        <f>IF(#REF!,"AAAAAH+uvxU=",0)</f>
        <v>#REF!</v>
      </c>
      <c r="W123" t="str">
        <f>IF(#REF!,"AAAAAH+uvxY=",0)</f>
        <v>#REF!</v>
      </c>
      <c r="X123" t="str">
        <f>IF(#REF!,"AAAAAH+uvxc=",0)</f>
        <v>#REF!</v>
      </c>
      <c r="Y123" t="str">
        <f>IF(#REF!,"AAAAAH+uvxg=",0)</f>
        <v>#REF!</v>
      </c>
      <c r="Z123" t="str">
        <f>IF(#REF!,"AAAAAH+uvxk=",0)</f>
        <v>#REF!</v>
      </c>
      <c r="AA123" t="str">
        <f>IF(#REF!,"AAAAAH+uvxo=",0)</f>
        <v>#REF!</v>
      </c>
      <c r="AB123" t="str">
        <f>IF(#REF!,"AAAAAH+uvxs=",0)</f>
        <v>#REF!</v>
      </c>
      <c r="AC123" t="str">
        <f>IF(#REF!,"AAAAAH+uvxw=",0)</f>
        <v>#REF!</v>
      </c>
      <c r="AD123" t="str">
        <f>IF(#REF!,"AAAAAH+uvx0=",0)</f>
        <v>#REF!</v>
      </c>
      <c r="AE123" t="str">
        <f>IF(#REF!,"AAAAAH+uvx4=",0)</f>
        <v>#REF!</v>
      </c>
      <c r="AF123" t="str">
        <f>IF(#REF!,"AAAAAH+uvx8=",0)</f>
        <v>#REF!</v>
      </c>
      <c r="AG123" t="str">
        <f>IF(#REF!,"AAAAAH+uvyA=",0)</f>
        <v>#REF!</v>
      </c>
      <c r="AH123" t="str">
        <f>IF(#REF!,"AAAAAH+uvyE=",0)</f>
        <v>#REF!</v>
      </c>
      <c r="AI123" t="str">
        <f>IF(#REF!,"AAAAAH+uvyI=",0)</f>
        <v>#REF!</v>
      </c>
      <c r="AJ123" t="str">
        <f>IF(#REF!,"AAAAAH+uvyM=",0)</f>
        <v>#REF!</v>
      </c>
      <c r="AK123" t="str">
        <f>IF(#REF!,"AAAAAH+uvyQ=",0)</f>
        <v>#REF!</v>
      </c>
      <c r="AL123" t="str">
        <f>IF(#REF!,"AAAAAH+uvyU=",0)</f>
        <v>#REF!</v>
      </c>
      <c r="AM123" t="str">
        <f>IF(#REF!,"AAAAAH+uvyY=",0)</f>
        <v>#REF!</v>
      </c>
      <c r="AN123" t="str">
        <f>IF(#REF!,"AAAAAH+uvyc=",0)</f>
        <v>#REF!</v>
      </c>
      <c r="AO123" t="str">
        <f>IF(#REF!,"AAAAAH+uvyg=",0)</f>
        <v>#REF!</v>
      </c>
      <c r="AP123" t="str">
        <f>IF(#REF!,"AAAAAH+uvyk=",0)</f>
        <v>#REF!</v>
      </c>
      <c r="AQ123" t="str">
        <f>IF(#REF!,"AAAAAH+uvyo=",0)</f>
        <v>#REF!</v>
      </c>
      <c r="AR123" t="str">
        <f>IF(#REF!,"AAAAAH+uvys=",0)</f>
        <v>#REF!</v>
      </c>
      <c r="AS123" t="str">
        <f>IF(#REF!,"AAAAAH+uvyw=",0)</f>
        <v>#REF!</v>
      </c>
      <c r="AT123" t="str">
        <f>IF(#REF!,"AAAAAH+uvy0=",0)</f>
        <v>#REF!</v>
      </c>
      <c r="AU123" t="str">
        <f>IF(#REF!,"AAAAAH+uvy4=",0)</f>
        <v>#REF!</v>
      </c>
      <c r="AV123" t="str">
        <f>IF(#REF!,"AAAAAH+uvy8=",0)</f>
        <v>#REF!</v>
      </c>
      <c r="AW123" t="str">
        <f>IF(#REF!,"AAAAAH+uvzA=",0)</f>
        <v>#REF!</v>
      </c>
      <c r="AX123" t="str">
        <f>IF(#REF!,"AAAAAH+uvzE=",0)</f>
        <v>#REF!</v>
      </c>
      <c r="AY123" t="str">
        <f>IF(#REF!,"AAAAAH+uvzI=",0)</f>
        <v>#REF!</v>
      </c>
      <c r="AZ123" t="str">
        <f>IF(#REF!,"AAAAAH+uvzM=",0)</f>
        <v>#REF!</v>
      </c>
      <c r="BA123" t="str">
        <f>IF(#REF!,"AAAAAH+uvzQ=",0)</f>
        <v>#REF!</v>
      </c>
      <c r="BB123" t="str">
        <f>IF(#REF!,"AAAAAH+uvzU=",0)</f>
        <v>#REF!</v>
      </c>
      <c r="BC123" t="str">
        <f>IF(#REF!,"AAAAAH+uvzY=",0)</f>
        <v>#REF!</v>
      </c>
      <c r="BD123" t="str">
        <f>IF(#REF!,"AAAAAH+uvzc=",0)</f>
        <v>#REF!</v>
      </c>
      <c r="BE123" t="str">
        <f>IF(#REF!,"AAAAAH+uvzg=",0)</f>
        <v>#REF!</v>
      </c>
      <c r="BF123" t="str">
        <f>IF(#REF!,"AAAAAH+uvzk=",0)</f>
        <v>#REF!</v>
      </c>
      <c r="BG123" t="str">
        <f>IF(#REF!,"AAAAAH+uvzo=",0)</f>
        <v>#REF!</v>
      </c>
      <c r="BH123" t="str">
        <f>IF(#REF!,"AAAAAH+uvzs=",0)</f>
        <v>#REF!</v>
      </c>
      <c r="BI123" t="str">
        <f>IF(#REF!,"AAAAAH+uvzw=",0)</f>
        <v>#REF!</v>
      </c>
      <c r="BJ123" t="str">
        <f>IF(#REF!,"AAAAAH+uvz0=",0)</f>
        <v>#REF!</v>
      </c>
      <c r="BK123" t="str">
        <f>IF(#REF!,"AAAAAH+uvz4=",0)</f>
        <v>#REF!</v>
      </c>
      <c r="BL123" t="str">
        <f>IF(#REF!,"AAAAAH+uvz8=",0)</f>
        <v>#REF!</v>
      </c>
      <c r="BM123" t="str">
        <f>IF(#REF!,"AAAAAH+uv0A=",0)</f>
        <v>#REF!</v>
      </c>
      <c r="BN123" t="str">
        <f>IF(#REF!,"AAAAAH+uv0E=",0)</f>
        <v>#REF!</v>
      </c>
      <c r="BO123" t="str">
        <f>IF(#REF!,"AAAAAH+uv0I=",0)</f>
        <v>#REF!</v>
      </c>
      <c r="BP123" t="str">
        <f>IF(#REF!,"AAAAAH+uv0M=",0)</f>
        <v>#REF!</v>
      </c>
      <c r="BQ123" t="str">
        <f>IF(#REF!,"AAAAAH+uv0Q=",0)</f>
        <v>#REF!</v>
      </c>
      <c r="BR123" t="str">
        <f>IF(#REF!,"AAAAAH+uv0U=",0)</f>
        <v>#REF!</v>
      </c>
      <c r="BS123" t="str">
        <f>IF(#REF!,"AAAAAH+uv0Y=",0)</f>
        <v>#REF!</v>
      </c>
      <c r="BT123" t="str">
        <f>IF(#REF!,"AAAAAH+uv0c=",0)</f>
        <v>#REF!</v>
      </c>
      <c r="BU123" t="str">
        <f>IF(#REF!,"AAAAAH+uv0g=",0)</f>
        <v>#REF!</v>
      </c>
      <c r="BV123" t="str">
        <f>IF(#REF!,"AAAAAH+uv0k=",0)</f>
        <v>#REF!</v>
      </c>
      <c r="BW123" t="str">
        <f>IF(#REF!,"AAAAAH+uv0o=",0)</f>
        <v>#REF!</v>
      </c>
      <c r="BX123" t="str">
        <f>IF(#REF!,"AAAAAH+uv0s=",0)</f>
        <v>#REF!</v>
      </c>
      <c r="BY123" t="str">
        <f>IF(#REF!,"AAAAAH+uv0w=",0)</f>
        <v>#REF!</v>
      </c>
      <c r="BZ123" t="str">
        <f>IF(#REF!,"AAAAAH+uv00=",0)</f>
        <v>#REF!</v>
      </c>
      <c r="CA123" t="str">
        <f>IF(#REF!,"AAAAAH+uv04=",0)</f>
        <v>#REF!</v>
      </c>
      <c r="CB123" t="str">
        <f>IF(#REF!,"AAAAAH+uv08=",0)</f>
        <v>#REF!</v>
      </c>
      <c r="CC123" t="str">
        <f>IF(#REF!,"AAAAAH+uv1A=",0)</f>
        <v>#REF!</v>
      </c>
      <c r="CD123" t="str">
        <f>IF(#REF!,"AAAAAH+uv1E=",0)</f>
        <v>#REF!</v>
      </c>
      <c r="CE123" t="str">
        <f>IF(#REF!,"AAAAAH+uv1I=",0)</f>
        <v>#REF!</v>
      </c>
      <c r="CF123" t="str">
        <f>IF(#REF!,"AAAAAH+uv1M=",0)</f>
        <v>#REF!</v>
      </c>
      <c r="CG123" t="str">
        <f>IF(#REF!,"AAAAAH+uv1Q=",0)</f>
        <v>#REF!</v>
      </c>
      <c r="CH123" t="str">
        <f>IF(#REF!,"AAAAAH+uv1U=",0)</f>
        <v>#REF!</v>
      </c>
      <c r="CI123" t="str">
        <f>IF(#REF!,"AAAAAH+uv1Y=",0)</f>
        <v>#REF!</v>
      </c>
      <c r="CJ123" t="str">
        <f>IF(#REF!,"AAAAAH+uv1c=",0)</f>
        <v>#REF!</v>
      </c>
      <c r="CK123" t="str">
        <f>IF(#REF!,"AAAAAH+uv1g=",0)</f>
        <v>#REF!</v>
      </c>
      <c r="CL123" s="118" t="s">
        <v>157</v>
      </c>
      <c r="CM123" t="s">
        <v>158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3" width="9.71"/>
    <col customWidth="1" min="4" max="4" width="51.43"/>
    <col customWidth="1" min="5" max="5" width="21.43"/>
    <col customWidth="1" min="6" max="7" width="13.86"/>
    <col customWidth="1" min="8" max="8" width="20.29"/>
    <col customWidth="1" min="9" max="9" width="7.14"/>
    <col customWidth="1" min="10" max="10" width="6.71"/>
    <col customWidth="1" min="11" max="11" width="6.43"/>
    <col customWidth="1" min="12" max="12" width="6.71"/>
    <col customWidth="1" min="13" max="13" width="6.57"/>
    <col customWidth="1" min="14" max="18" width="11.43"/>
    <col customWidth="1" min="19" max="26" width="10.0"/>
  </cols>
  <sheetData>
    <row r="1" ht="15.75" customHeight="1">
      <c r="A1" s="1" t="s">
        <v>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1"/>
      <c r="C4" s="1"/>
      <c r="D4" s="1"/>
      <c r="E4" s="1"/>
      <c r="F4" s="1"/>
      <c r="G4" s="1"/>
      <c r="H4" s="5"/>
      <c r="I4" s="1"/>
      <c r="J4" s="1"/>
      <c r="K4" s="1"/>
      <c r="L4" s="1"/>
      <c r="M4" s="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1"/>
      <c r="C5" s="1"/>
      <c r="D5" s="1"/>
      <c r="E5" s="1"/>
      <c r="F5" s="1"/>
      <c r="G5" s="1"/>
      <c r="H5" s="5"/>
      <c r="I5" s="1"/>
      <c r="J5" s="1"/>
      <c r="K5" s="1"/>
      <c r="L5" s="1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5</v>
      </c>
      <c r="B6" s="9"/>
      <c r="C6" s="11"/>
      <c r="D6" s="13" t="s">
        <v>7</v>
      </c>
      <c r="E6" s="13" t="s">
        <v>9</v>
      </c>
      <c r="F6" s="15" t="s">
        <v>11</v>
      </c>
      <c r="G6" s="17"/>
      <c r="H6" s="19" t="s">
        <v>12</v>
      </c>
      <c r="I6" s="15" t="s">
        <v>13</v>
      </c>
      <c r="J6" s="18"/>
      <c r="K6" s="18"/>
      <c r="L6" s="18"/>
      <c r="M6" s="20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2.5" customHeight="1">
      <c r="A7" s="21" t="s">
        <v>16</v>
      </c>
      <c r="B7" s="22" t="s">
        <v>17</v>
      </c>
      <c r="C7" s="24" t="s">
        <v>18</v>
      </c>
      <c r="D7" s="27"/>
      <c r="E7" s="27"/>
      <c r="F7" s="29" t="s">
        <v>20</v>
      </c>
      <c r="G7" s="29" t="s">
        <v>21</v>
      </c>
      <c r="H7" s="27"/>
      <c r="I7" s="31" t="s">
        <v>22</v>
      </c>
      <c r="J7" s="33" t="s">
        <v>24</v>
      </c>
      <c r="K7" s="33" t="s">
        <v>25</v>
      </c>
      <c r="L7" s="33" t="s">
        <v>26</v>
      </c>
      <c r="M7" s="35" t="s">
        <v>27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4.0" customHeight="1">
      <c r="A8" s="41">
        <f>'AP-5 Plan Mjto'!F16</f>
        <v>0</v>
      </c>
      <c r="B8" s="41">
        <f>'AP-5 Plan Mjto'!G16</f>
        <v>1</v>
      </c>
      <c r="C8" s="46">
        <f>'AP-5 Plan Mjto'!H16</f>
        <v>2015</v>
      </c>
      <c r="D8" s="48" t="s">
        <v>30</v>
      </c>
      <c r="E8" s="50" t="s">
        <v>31</v>
      </c>
      <c r="F8" s="51">
        <v>42079.0</v>
      </c>
      <c r="G8" s="51">
        <v>42079.0</v>
      </c>
      <c r="H8" s="52" t="s">
        <v>35</v>
      </c>
      <c r="I8" s="50"/>
      <c r="J8" s="50"/>
      <c r="K8" s="50"/>
      <c r="L8" s="50"/>
      <c r="M8" s="50" t="s">
        <v>36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4.0" customHeight="1">
      <c r="A9" s="54"/>
      <c r="B9" s="54"/>
      <c r="C9" s="54"/>
      <c r="D9" s="48" t="s">
        <v>38</v>
      </c>
      <c r="E9" s="50" t="s">
        <v>39</v>
      </c>
      <c r="F9" s="51">
        <v>42241.0</v>
      </c>
      <c r="G9" s="51">
        <v>42241.0</v>
      </c>
      <c r="H9" s="54"/>
      <c r="I9" s="50"/>
      <c r="J9" s="50"/>
      <c r="K9" s="50"/>
      <c r="L9" s="50"/>
      <c r="M9" s="50" t="s">
        <v>36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4.0" customHeight="1">
      <c r="A10" s="54"/>
      <c r="B10" s="54"/>
      <c r="C10" s="54"/>
      <c r="D10" s="48" t="s">
        <v>40</v>
      </c>
      <c r="E10" s="50" t="s">
        <v>41</v>
      </c>
      <c r="F10" s="51">
        <v>42256.0</v>
      </c>
      <c r="G10" s="51">
        <v>42256.0</v>
      </c>
      <c r="H10" s="54"/>
      <c r="I10" s="50"/>
      <c r="J10" s="50"/>
      <c r="K10" s="50"/>
      <c r="L10" s="50"/>
      <c r="M10" s="50" t="s">
        <v>36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7"/>
      <c r="B11" s="27"/>
      <c r="C11" s="27"/>
      <c r="D11" s="48" t="s">
        <v>43</v>
      </c>
      <c r="E11" s="50" t="s">
        <v>44</v>
      </c>
      <c r="F11" s="51">
        <v>42272.0</v>
      </c>
      <c r="G11" s="51">
        <v>42272.0</v>
      </c>
      <c r="H11" s="27"/>
      <c r="I11" s="50"/>
      <c r="J11" s="50"/>
      <c r="K11" s="50"/>
      <c r="L11" s="50"/>
      <c r="M11" s="50" t="s">
        <v>36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54.0" customHeight="1">
      <c r="A12" s="58">
        <f>'AP-5 Plan Mjto'!F17</f>
        <v>0</v>
      </c>
      <c r="B12" s="58">
        <f>'AP-5 Plan Mjto'!G17</f>
        <v>62</v>
      </c>
      <c r="C12" s="60" t="str">
        <f>'AP-5 Plan Mjto'!H17</f>
        <v>2014 -2017</v>
      </c>
      <c r="D12" s="62" t="s">
        <v>51</v>
      </c>
      <c r="E12" s="64" t="s">
        <v>53</v>
      </c>
      <c r="F12" s="66">
        <v>41762.0</v>
      </c>
      <c r="G12" s="66">
        <v>41939.0</v>
      </c>
      <c r="H12" s="68">
        <v>900000.0</v>
      </c>
      <c r="I12" s="64"/>
      <c r="J12" s="64"/>
      <c r="K12" s="64"/>
      <c r="L12" s="64"/>
      <c r="M12" s="64" t="s">
        <v>36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40.5" customHeight="1">
      <c r="A13" s="54"/>
      <c r="B13" s="54"/>
      <c r="C13" s="54"/>
      <c r="D13" s="62" t="s">
        <v>54</v>
      </c>
      <c r="E13" s="64" t="s">
        <v>55</v>
      </c>
      <c r="F13" s="66">
        <v>42018.0</v>
      </c>
      <c r="G13" s="64" t="s">
        <v>56</v>
      </c>
      <c r="H13" s="68" t="s">
        <v>35</v>
      </c>
      <c r="I13" s="64"/>
      <c r="J13" s="64"/>
      <c r="K13" s="64"/>
      <c r="L13" s="64"/>
      <c r="M13" s="64" t="s">
        <v>36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2.25" customHeight="1">
      <c r="A14" s="27"/>
      <c r="B14" s="27"/>
      <c r="C14" s="27"/>
      <c r="D14" s="62" t="s">
        <v>57</v>
      </c>
      <c r="E14" s="64" t="s">
        <v>55</v>
      </c>
      <c r="F14" s="66">
        <v>42018.0</v>
      </c>
      <c r="G14" s="64" t="s">
        <v>56</v>
      </c>
      <c r="H14" s="68" t="s">
        <v>35</v>
      </c>
      <c r="I14" s="64"/>
      <c r="J14" s="64"/>
      <c r="K14" s="64"/>
      <c r="L14" s="64"/>
      <c r="M14" s="64" t="s">
        <v>36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60.0" customHeight="1">
      <c r="A15" s="41">
        <f>'AP-5 Plan Mjto'!F18</f>
        <v>6</v>
      </c>
      <c r="B15" s="41">
        <f>'AP-5 Plan Mjto'!G18</f>
        <v>8</v>
      </c>
      <c r="C15" s="74" t="str">
        <f>'AP-5 Plan Mjto'!H17</f>
        <v>2014 -2017</v>
      </c>
      <c r="D15" s="76" t="s">
        <v>58</v>
      </c>
      <c r="E15" s="50" t="s">
        <v>55</v>
      </c>
      <c r="F15" s="51">
        <v>42017.0</v>
      </c>
      <c r="G15" s="50" t="s">
        <v>56</v>
      </c>
      <c r="H15" s="78" t="s">
        <v>35</v>
      </c>
      <c r="I15" s="50"/>
      <c r="J15" s="50"/>
      <c r="K15" s="50"/>
      <c r="L15" s="50"/>
      <c r="M15" s="50" t="s">
        <v>36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6.75" customHeight="1">
      <c r="A16" s="27"/>
      <c r="B16" s="27"/>
      <c r="C16" s="74" t="str">
        <f>'AP-5 Plan Mjto'!H18</f>
        <v>2016 - 2017</v>
      </c>
      <c r="D16" s="76" t="s">
        <v>61</v>
      </c>
      <c r="E16" s="50" t="s">
        <v>62</v>
      </c>
      <c r="F16" s="51">
        <v>42030.0</v>
      </c>
      <c r="G16" s="50" t="s">
        <v>56</v>
      </c>
      <c r="H16" s="78" t="s">
        <v>35</v>
      </c>
      <c r="I16" s="50"/>
      <c r="J16" s="50"/>
      <c r="K16" s="50"/>
      <c r="L16" s="50"/>
      <c r="M16" s="50" t="s">
        <v>36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62.25" customHeight="1">
      <c r="A17" s="58">
        <f>'AP-5 Plan Mjto'!F19</f>
        <v>0</v>
      </c>
      <c r="B17" s="58">
        <f>'AP-5 Plan Mjto'!G19</f>
        <v>2</v>
      </c>
      <c r="C17" s="60" t="str">
        <f>'AP-5 Plan Mjto'!H19</f>
        <v>2012 - 2017</v>
      </c>
      <c r="D17" s="85" t="s">
        <v>68</v>
      </c>
      <c r="E17" s="62" t="s">
        <v>70</v>
      </c>
      <c r="F17" s="66">
        <v>41204.0</v>
      </c>
      <c r="G17" s="64" t="s">
        <v>56</v>
      </c>
      <c r="H17" s="87" t="s">
        <v>35</v>
      </c>
      <c r="I17" s="64"/>
      <c r="J17" s="64"/>
      <c r="K17" s="64"/>
      <c r="L17" s="64"/>
      <c r="M17" s="64" t="s">
        <v>36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71.25" customHeight="1">
      <c r="A18" s="27"/>
      <c r="B18" s="27"/>
      <c r="C18" s="27"/>
      <c r="D18" s="85" t="s">
        <v>72</v>
      </c>
      <c r="E18" s="62" t="s">
        <v>70</v>
      </c>
      <c r="F18" s="66">
        <v>41204.0</v>
      </c>
      <c r="G18" s="64" t="s">
        <v>56</v>
      </c>
      <c r="H18" s="68">
        <f>190108512+15190722</f>
        <v>205299234</v>
      </c>
      <c r="I18" s="64"/>
      <c r="J18" s="64"/>
      <c r="K18" s="64"/>
      <c r="L18" s="64"/>
      <c r="M18" s="64" t="s">
        <v>36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4.0" customHeight="1">
      <c r="A19" s="58">
        <f>'AP-5 Plan Mjto'!F20</f>
        <v>2</v>
      </c>
      <c r="B19" s="41">
        <f>'AP-5 Plan Mjto'!G20</f>
        <v>4</v>
      </c>
      <c r="C19" s="46">
        <f>'AP-5 Plan Mjto'!H20</f>
        <v>2017</v>
      </c>
      <c r="D19" s="76" t="s">
        <v>85</v>
      </c>
      <c r="E19" s="76" t="s">
        <v>86</v>
      </c>
      <c r="F19" s="51">
        <v>42696.0</v>
      </c>
      <c r="G19" s="50" t="s">
        <v>56</v>
      </c>
      <c r="H19" s="78" t="s">
        <v>35</v>
      </c>
      <c r="I19" s="50"/>
      <c r="J19" s="50"/>
      <c r="K19" s="50"/>
      <c r="L19" s="50"/>
      <c r="M19" s="50" t="s">
        <v>36</v>
      </c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0.0" customHeight="1">
      <c r="A20" s="54"/>
      <c r="B20" s="27"/>
      <c r="C20" s="27"/>
      <c r="D20" s="76" t="s">
        <v>94</v>
      </c>
      <c r="E20" s="76" t="s">
        <v>95</v>
      </c>
      <c r="F20" s="51">
        <v>42618.0</v>
      </c>
      <c r="G20" s="50" t="s">
        <v>56</v>
      </c>
      <c r="H20" s="78">
        <f>1965000+825860+3792000</f>
        <v>6582860</v>
      </c>
      <c r="I20" s="50"/>
      <c r="J20" s="50"/>
      <c r="K20" s="50"/>
      <c r="L20" s="50"/>
      <c r="M20" s="50" t="s">
        <v>36</v>
      </c>
      <c r="N20" s="3"/>
      <c r="O20" s="94"/>
      <c r="P20" s="94"/>
      <c r="Q20" s="94"/>
      <c r="R20" s="96"/>
      <c r="S20" s="3"/>
      <c r="T20" s="3"/>
      <c r="U20" s="3"/>
      <c r="V20" s="3"/>
      <c r="W20" s="3"/>
      <c r="X20" s="3"/>
      <c r="Y20" s="3"/>
      <c r="Z20" s="3"/>
    </row>
    <row r="21" ht="24.0" customHeight="1">
      <c r="A21" s="54"/>
      <c r="B21" s="98">
        <f>'AP-5 Plan Mjto'!G21</f>
        <v>20</v>
      </c>
      <c r="C21" s="64">
        <f>'AP-5 Plan Mjto'!H21</f>
        <v>2017</v>
      </c>
      <c r="D21" s="60" t="s">
        <v>103</v>
      </c>
      <c r="E21" s="64" t="s">
        <v>65</v>
      </c>
      <c r="F21" s="66">
        <v>42618.0</v>
      </c>
      <c r="G21" s="64" t="s">
        <v>56</v>
      </c>
      <c r="H21" s="68" t="s">
        <v>35</v>
      </c>
      <c r="I21" s="64"/>
      <c r="J21" s="64"/>
      <c r="K21" s="64"/>
      <c r="L21" s="64"/>
      <c r="M21" s="64" t="s">
        <v>36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4.0" customHeight="1">
      <c r="A22" s="54"/>
      <c r="B22" s="41">
        <f>'AP-5 Plan Mjto'!G22</f>
        <v>8</v>
      </c>
      <c r="C22" s="46">
        <f>'AP-5 Plan Mjto'!H22</f>
        <v>2017</v>
      </c>
      <c r="D22" s="100" t="s">
        <v>112</v>
      </c>
      <c r="E22" s="50" t="s">
        <v>113</v>
      </c>
      <c r="F22" s="51">
        <v>42618.0</v>
      </c>
      <c r="G22" s="50" t="s">
        <v>56</v>
      </c>
      <c r="H22" s="78" t="s">
        <v>35</v>
      </c>
      <c r="I22" s="50"/>
      <c r="J22" s="50"/>
      <c r="K22" s="50"/>
      <c r="L22" s="50"/>
      <c r="M22" s="50" t="s">
        <v>36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54"/>
      <c r="B23" s="27"/>
      <c r="C23" s="27"/>
      <c r="D23" s="100" t="s">
        <v>115</v>
      </c>
      <c r="E23" s="50" t="s">
        <v>113</v>
      </c>
      <c r="F23" s="51">
        <v>42618.0</v>
      </c>
      <c r="G23" s="50" t="s">
        <v>56</v>
      </c>
      <c r="H23" s="78" t="s">
        <v>35</v>
      </c>
      <c r="I23" s="50"/>
      <c r="J23" s="50" t="s">
        <v>36</v>
      </c>
      <c r="K23" s="50"/>
      <c r="L23" s="50"/>
      <c r="M23" s="5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4.0" customHeight="1">
      <c r="A24" s="54"/>
      <c r="B24" s="58">
        <f>'AP-5 Plan Mjto'!G23</f>
        <v>4</v>
      </c>
      <c r="C24" s="60">
        <f>'AP-5 Plan Mjto'!H23</f>
        <v>2017</v>
      </c>
      <c r="D24" s="100" t="s">
        <v>121</v>
      </c>
      <c r="E24" s="64" t="s">
        <v>113</v>
      </c>
      <c r="F24" s="66">
        <v>42618.0</v>
      </c>
      <c r="G24" s="64" t="s">
        <v>56</v>
      </c>
      <c r="H24" s="68" t="s">
        <v>35</v>
      </c>
      <c r="I24" s="64"/>
      <c r="J24" s="64"/>
      <c r="K24" s="64"/>
      <c r="L24" s="64"/>
      <c r="M24" s="64" t="s">
        <v>36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4.0" customHeight="1">
      <c r="A25" s="54"/>
      <c r="B25" s="27"/>
      <c r="C25" s="27"/>
      <c r="D25" s="100" t="s">
        <v>125</v>
      </c>
      <c r="E25" s="64" t="s">
        <v>113</v>
      </c>
      <c r="F25" s="66">
        <v>42978.0</v>
      </c>
      <c r="G25" s="64" t="s">
        <v>56</v>
      </c>
      <c r="H25" s="68">
        <v>6457000.0</v>
      </c>
      <c r="I25" s="64"/>
      <c r="J25" s="64"/>
      <c r="K25" s="64"/>
      <c r="L25" s="64"/>
      <c r="M25" s="64" t="s">
        <v>36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4.0" customHeight="1">
      <c r="A26" s="54"/>
      <c r="B26" s="41">
        <f>'AP-5 Plan Mjto'!G24</f>
        <v>4</v>
      </c>
      <c r="C26" s="46">
        <f>'AP-5 Plan Mjto'!H24</f>
        <v>2017</v>
      </c>
      <c r="D26" s="100" t="s">
        <v>127</v>
      </c>
      <c r="E26" s="50" t="s">
        <v>128</v>
      </c>
      <c r="F26" s="51">
        <v>42618.0</v>
      </c>
      <c r="G26" s="50" t="s">
        <v>56</v>
      </c>
      <c r="H26" s="78" t="s">
        <v>35</v>
      </c>
      <c r="I26" s="50"/>
      <c r="J26" s="50"/>
      <c r="K26" s="50"/>
      <c r="L26" s="50"/>
      <c r="M26" s="50" t="s">
        <v>36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4.0" customHeight="1">
      <c r="A27" s="27"/>
      <c r="B27" s="27"/>
      <c r="C27" s="27"/>
      <c r="D27" s="100" t="s">
        <v>130</v>
      </c>
      <c r="E27" s="50" t="s">
        <v>128</v>
      </c>
      <c r="F27" s="51">
        <v>42618.0</v>
      </c>
      <c r="G27" s="50" t="s">
        <v>56</v>
      </c>
      <c r="H27" s="78" t="s">
        <v>35</v>
      </c>
      <c r="I27" s="50"/>
      <c r="J27" s="50"/>
      <c r="K27" s="50"/>
      <c r="L27" s="50"/>
      <c r="M27" s="50" t="s">
        <v>36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4.0" customHeight="1">
      <c r="A28" s="108">
        <f>'AP-5 Plan Mjto'!F25</f>
        <v>2</v>
      </c>
      <c r="B28" s="98">
        <f>'AP-5 Plan Mjto'!G26</f>
        <v>5</v>
      </c>
      <c r="C28" s="64" t="str">
        <f>'AP-5 Plan Mjto'!H25</f>
        <v>2014 - 2017</v>
      </c>
      <c r="D28" s="64" t="s">
        <v>144</v>
      </c>
      <c r="E28" s="64" t="s">
        <v>146</v>
      </c>
      <c r="F28" s="66">
        <v>41666.0</v>
      </c>
      <c r="G28" s="64" t="s">
        <v>56</v>
      </c>
      <c r="H28" s="68">
        <f>3465449+20447219+55797610+68627872</f>
        <v>148338150</v>
      </c>
      <c r="I28" s="64"/>
      <c r="J28" s="64"/>
      <c r="K28" s="64"/>
      <c r="L28" s="64"/>
      <c r="M28" s="64" t="s">
        <v>36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6.0" customHeight="1">
      <c r="A29" s="98">
        <f>'AP-5 Plan Mjto'!F27</f>
        <v>1</v>
      </c>
      <c r="B29" s="108">
        <f>'AP-5 Plan Mjto'!G27</f>
        <v>1</v>
      </c>
      <c r="C29" s="50">
        <f>'AP-5 Plan Mjto'!H27</f>
        <v>2016</v>
      </c>
      <c r="D29" s="50" t="s">
        <v>150</v>
      </c>
      <c r="E29" s="50" t="s">
        <v>133</v>
      </c>
      <c r="F29" s="51">
        <v>42663.0</v>
      </c>
      <c r="G29" s="51">
        <v>42663.0</v>
      </c>
      <c r="H29" s="78" t="s">
        <v>35</v>
      </c>
      <c r="I29" s="50"/>
      <c r="J29" s="50"/>
      <c r="K29" s="50"/>
      <c r="L29" s="50"/>
      <c r="M29" s="50" t="s">
        <v>36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4.0" customHeight="1">
      <c r="A30" s="41">
        <f>'AP-5 Plan Mjto'!F28</f>
        <v>0</v>
      </c>
      <c r="B30" s="58">
        <f>'AP-5 Plan Mjto'!G28</f>
        <v>6</v>
      </c>
      <c r="C30" s="60">
        <f>'AP-5 Plan Mjto'!H28</f>
        <v>2017</v>
      </c>
      <c r="D30" s="64" t="s">
        <v>151</v>
      </c>
      <c r="E30" s="64" t="s">
        <v>152</v>
      </c>
      <c r="F30" s="111">
        <v>41621.0</v>
      </c>
      <c r="G30" s="64" t="s">
        <v>56</v>
      </c>
      <c r="H30" s="68">
        <v>1223090.0</v>
      </c>
      <c r="I30" s="64"/>
      <c r="J30" s="64"/>
      <c r="K30" s="64"/>
      <c r="L30" s="64"/>
      <c r="M30" s="64" t="s">
        <v>36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6.0" customHeight="1">
      <c r="A31" s="54"/>
      <c r="B31" s="112"/>
      <c r="C31" s="113"/>
      <c r="D31" s="64" t="s">
        <v>153</v>
      </c>
      <c r="E31" s="64" t="s">
        <v>154</v>
      </c>
      <c r="F31" s="66">
        <v>42569.0</v>
      </c>
      <c r="G31" s="64" t="s">
        <v>56</v>
      </c>
      <c r="H31" s="68" t="s">
        <v>35</v>
      </c>
      <c r="I31" s="64"/>
      <c r="J31" s="64"/>
      <c r="K31" s="64"/>
      <c r="L31" s="64"/>
      <c r="M31" s="64" t="s">
        <v>36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4.0" customHeight="1">
      <c r="A32" s="114"/>
      <c r="B32" s="115"/>
      <c r="C32" s="116"/>
      <c r="D32" s="64" t="s">
        <v>155</v>
      </c>
      <c r="E32" s="64" t="s">
        <v>156</v>
      </c>
      <c r="F32" s="66">
        <v>41809.0</v>
      </c>
      <c r="G32" s="66" t="s">
        <v>56</v>
      </c>
      <c r="H32" s="68" t="s">
        <v>35</v>
      </c>
      <c r="I32" s="64"/>
      <c r="J32" s="64"/>
      <c r="K32" s="64"/>
      <c r="L32" s="64"/>
      <c r="M32" s="64" t="s">
        <v>36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117"/>
      <c r="F33" s="3"/>
      <c r="G33" s="3"/>
      <c r="H33" s="9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117"/>
      <c r="F34" s="3"/>
      <c r="G34" s="3"/>
      <c r="H34" s="9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117"/>
      <c r="F35" s="3"/>
      <c r="G35" s="3"/>
      <c r="H35" s="9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117"/>
      <c r="F36" s="3"/>
      <c r="G36" s="3"/>
      <c r="H36" s="9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117"/>
      <c r="F37" s="3"/>
      <c r="G37" s="3"/>
      <c r="H37" s="9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117"/>
      <c r="F38" s="3"/>
      <c r="G38" s="3"/>
      <c r="H38" s="9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117"/>
      <c r="F39" s="3"/>
      <c r="G39" s="3"/>
      <c r="H39" s="9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117"/>
      <c r="F40" s="3"/>
      <c r="G40" s="3"/>
      <c r="H40" s="9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117"/>
      <c r="F41" s="3"/>
      <c r="G41" s="3"/>
      <c r="H41" s="9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117"/>
      <c r="F42" s="3"/>
      <c r="G42" s="3"/>
      <c r="H42" s="9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117"/>
      <c r="F43" s="3"/>
      <c r="G43" s="3"/>
      <c r="H43" s="9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117"/>
      <c r="F44" s="3"/>
      <c r="G44" s="3"/>
      <c r="H44" s="9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117"/>
      <c r="F45" s="3"/>
      <c r="G45" s="3"/>
      <c r="H45" s="9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117"/>
      <c r="F46" s="3"/>
      <c r="G46" s="3"/>
      <c r="H46" s="9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117"/>
      <c r="F47" s="3"/>
      <c r="G47" s="3"/>
      <c r="H47" s="9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117"/>
      <c r="F48" s="3"/>
      <c r="G48" s="3"/>
      <c r="H48" s="9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117"/>
      <c r="F49" s="3"/>
      <c r="G49" s="3"/>
      <c r="H49" s="9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117"/>
      <c r="F50" s="3"/>
      <c r="G50" s="3"/>
      <c r="H50" s="9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117"/>
      <c r="F51" s="3"/>
      <c r="G51" s="3"/>
      <c r="H51" s="9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117"/>
      <c r="F52" s="3"/>
      <c r="G52" s="3"/>
      <c r="H52" s="9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117"/>
      <c r="F53" s="3"/>
      <c r="G53" s="3"/>
      <c r="H53" s="9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117"/>
      <c r="F54" s="3"/>
      <c r="G54" s="3"/>
      <c r="H54" s="9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117"/>
      <c r="F55" s="3"/>
      <c r="G55" s="3"/>
      <c r="H55" s="9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117"/>
      <c r="F56" s="3"/>
      <c r="G56" s="3"/>
      <c r="H56" s="9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117"/>
      <c r="F57" s="3"/>
      <c r="G57" s="3"/>
      <c r="H57" s="9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117"/>
      <c r="F58" s="3"/>
      <c r="G58" s="3"/>
      <c r="H58" s="9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117"/>
      <c r="F59" s="3"/>
      <c r="G59" s="3"/>
      <c r="H59" s="9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117"/>
      <c r="F60" s="3"/>
      <c r="G60" s="3"/>
      <c r="H60" s="9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117"/>
      <c r="F61" s="3"/>
      <c r="G61" s="3"/>
      <c r="H61" s="9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117"/>
      <c r="F62" s="3"/>
      <c r="G62" s="3"/>
      <c r="H62" s="9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117"/>
      <c r="F63" s="3"/>
      <c r="G63" s="3"/>
      <c r="H63" s="9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117"/>
      <c r="F64" s="3"/>
      <c r="G64" s="3"/>
      <c r="H64" s="9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117"/>
      <c r="F65" s="3"/>
      <c r="G65" s="3"/>
      <c r="H65" s="9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117"/>
      <c r="F66" s="3"/>
      <c r="G66" s="3"/>
      <c r="H66" s="9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117"/>
      <c r="F67" s="3"/>
      <c r="G67" s="3"/>
      <c r="H67" s="9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117"/>
      <c r="F68" s="3"/>
      <c r="G68" s="3"/>
      <c r="H68" s="9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117"/>
      <c r="F69" s="3"/>
      <c r="G69" s="3"/>
      <c r="H69" s="9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117"/>
      <c r="F70" s="3"/>
      <c r="G70" s="3"/>
      <c r="H70" s="9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117"/>
      <c r="F71" s="3"/>
      <c r="G71" s="3"/>
      <c r="H71" s="9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117"/>
      <c r="F72" s="3"/>
      <c r="G72" s="3"/>
      <c r="H72" s="9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117"/>
      <c r="F73" s="3"/>
      <c r="G73" s="3"/>
      <c r="H73" s="9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117"/>
      <c r="F74" s="3"/>
      <c r="G74" s="3"/>
      <c r="H74" s="9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117"/>
      <c r="F75" s="3"/>
      <c r="G75" s="3"/>
      <c r="H75" s="9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117"/>
      <c r="F76" s="3"/>
      <c r="G76" s="3"/>
      <c r="H76" s="9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117"/>
      <c r="F77" s="3"/>
      <c r="G77" s="3"/>
      <c r="H77" s="9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117"/>
      <c r="F78" s="3"/>
      <c r="G78" s="3"/>
      <c r="H78" s="9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117"/>
      <c r="F79" s="3"/>
      <c r="G79" s="3"/>
      <c r="H79" s="9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117"/>
      <c r="F80" s="3"/>
      <c r="G80" s="3"/>
      <c r="H80" s="9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117"/>
      <c r="F81" s="3"/>
      <c r="G81" s="3"/>
      <c r="H81" s="9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117"/>
      <c r="F82" s="3"/>
      <c r="G82" s="3"/>
      <c r="H82" s="9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117"/>
      <c r="F83" s="3"/>
      <c r="G83" s="3"/>
      <c r="H83" s="9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117"/>
      <c r="F84" s="3"/>
      <c r="G84" s="3"/>
      <c r="H84" s="9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117"/>
      <c r="F85" s="3"/>
      <c r="G85" s="3"/>
      <c r="H85" s="9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117"/>
      <c r="F86" s="3"/>
      <c r="G86" s="3"/>
      <c r="H86" s="9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117"/>
      <c r="F87" s="3"/>
      <c r="G87" s="3"/>
      <c r="H87" s="9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117"/>
      <c r="F88" s="3"/>
      <c r="G88" s="3"/>
      <c r="H88" s="9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117"/>
      <c r="F89" s="3"/>
      <c r="G89" s="3"/>
      <c r="H89" s="9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117"/>
      <c r="F90" s="3"/>
      <c r="G90" s="3"/>
      <c r="H90" s="9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117"/>
      <c r="F91" s="3"/>
      <c r="G91" s="3"/>
      <c r="H91" s="9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117"/>
      <c r="F92" s="3"/>
      <c r="G92" s="3"/>
      <c r="H92" s="9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117"/>
      <c r="F93" s="3"/>
      <c r="G93" s="3"/>
      <c r="H93" s="9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117"/>
      <c r="F94" s="3"/>
      <c r="G94" s="3"/>
      <c r="H94" s="9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117"/>
      <c r="F95" s="3"/>
      <c r="G95" s="3"/>
      <c r="H95" s="9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117"/>
      <c r="F96" s="3"/>
      <c r="G96" s="3"/>
      <c r="H96" s="9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117"/>
      <c r="F97" s="3"/>
      <c r="G97" s="3"/>
      <c r="H97" s="9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117"/>
      <c r="F98" s="3"/>
      <c r="G98" s="3"/>
      <c r="H98" s="9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117"/>
      <c r="F99" s="3"/>
      <c r="G99" s="3"/>
      <c r="H99" s="9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117"/>
      <c r="F100" s="3"/>
      <c r="G100" s="3"/>
      <c r="H100" s="9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117"/>
      <c r="F101" s="3"/>
      <c r="G101" s="3"/>
      <c r="H101" s="9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117"/>
      <c r="F102" s="3"/>
      <c r="G102" s="3"/>
      <c r="H102" s="9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117"/>
      <c r="F103" s="3"/>
      <c r="G103" s="3"/>
      <c r="H103" s="9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117"/>
      <c r="F104" s="3"/>
      <c r="G104" s="3"/>
      <c r="H104" s="9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117"/>
      <c r="F105" s="3"/>
      <c r="G105" s="3"/>
      <c r="H105" s="9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117"/>
      <c r="F106" s="3"/>
      <c r="G106" s="3"/>
      <c r="H106" s="9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117"/>
      <c r="F107" s="3"/>
      <c r="G107" s="3"/>
      <c r="H107" s="9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117"/>
      <c r="F108" s="3"/>
      <c r="G108" s="3"/>
      <c r="H108" s="9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117"/>
      <c r="F109" s="3"/>
      <c r="G109" s="3"/>
      <c r="H109" s="9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117"/>
      <c r="F110" s="3"/>
      <c r="G110" s="3"/>
      <c r="H110" s="9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117"/>
      <c r="F111" s="3"/>
      <c r="G111" s="3"/>
      <c r="H111" s="9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117"/>
      <c r="F112" s="3"/>
      <c r="G112" s="3"/>
      <c r="H112" s="9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117"/>
      <c r="F113" s="3"/>
      <c r="G113" s="3"/>
      <c r="H113" s="9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117"/>
      <c r="F114" s="3"/>
      <c r="G114" s="3"/>
      <c r="H114" s="9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117"/>
      <c r="F115" s="3"/>
      <c r="G115" s="3"/>
      <c r="H115" s="9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117"/>
      <c r="F116" s="3"/>
      <c r="G116" s="3"/>
      <c r="H116" s="9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117"/>
      <c r="F117" s="3"/>
      <c r="G117" s="3"/>
      <c r="H117" s="9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117"/>
      <c r="F118" s="3"/>
      <c r="G118" s="3"/>
      <c r="H118" s="9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117"/>
      <c r="F119" s="3"/>
      <c r="G119" s="3"/>
      <c r="H119" s="9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117"/>
      <c r="F120" s="3"/>
      <c r="G120" s="3"/>
      <c r="H120" s="9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117"/>
      <c r="F121" s="3"/>
      <c r="G121" s="3"/>
      <c r="H121" s="9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117"/>
      <c r="F122" s="3"/>
      <c r="G122" s="3"/>
      <c r="H122" s="9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117"/>
      <c r="F123" s="3"/>
      <c r="G123" s="3"/>
      <c r="H123" s="9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117"/>
      <c r="F124" s="3"/>
      <c r="G124" s="3"/>
      <c r="H124" s="9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117"/>
      <c r="F125" s="3"/>
      <c r="G125" s="3"/>
      <c r="H125" s="9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117"/>
      <c r="F126" s="3"/>
      <c r="G126" s="3"/>
      <c r="H126" s="9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117"/>
      <c r="F127" s="3"/>
      <c r="G127" s="3"/>
      <c r="H127" s="9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117"/>
      <c r="F128" s="3"/>
      <c r="G128" s="3"/>
      <c r="H128" s="9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117"/>
      <c r="F129" s="3"/>
      <c r="G129" s="3"/>
      <c r="H129" s="9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117"/>
      <c r="F130" s="3"/>
      <c r="G130" s="3"/>
      <c r="H130" s="9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117"/>
      <c r="F131" s="3"/>
      <c r="G131" s="3"/>
      <c r="H131" s="9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117"/>
      <c r="F132" s="3"/>
      <c r="G132" s="3"/>
      <c r="H132" s="9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117"/>
      <c r="F133" s="3"/>
      <c r="G133" s="3"/>
      <c r="H133" s="9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117"/>
      <c r="F134" s="3"/>
      <c r="G134" s="3"/>
      <c r="H134" s="9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117"/>
      <c r="F135" s="3"/>
      <c r="G135" s="3"/>
      <c r="H135" s="9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117"/>
      <c r="F136" s="3"/>
      <c r="G136" s="3"/>
      <c r="H136" s="9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117"/>
      <c r="F137" s="3"/>
      <c r="G137" s="3"/>
      <c r="H137" s="9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117"/>
      <c r="F138" s="3"/>
      <c r="G138" s="3"/>
      <c r="H138" s="9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117"/>
      <c r="F139" s="3"/>
      <c r="G139" s="3"/>
      <c r="H139" s="9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117"/>
      <c r="F140" s="3"/>
      <c r="G140" s="3"/>
      <c r="H140" s="9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117"/>
      <c r="F141" s="3"/>
      <c r="G141" s="3"/>
      <c r="H141" s="9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117"/>
      <c r="F142" s="3"/>
      <c r="G142" s="3"/>
      <c r="H142" s="9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117"/>
      <c r="F143" s="3"/>
      <c r="G143" s="3"/>
      <c r="H143" s="9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117"/>
      <c r="F144" s="3"/>
      <c r="G144" s="3"/>
      <c r="H144" s="9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117"/>
      <c r="F145" s="3"/>
      <c r="G145" s="3"/>
      <c r="H145" s="9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117"/>
      <c r="F146" s="3"/>
      <c r="G146" s="3"/>
      <c r="H146" s="9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117"/>
      <c r="F147" s="3"/>
      <c r="G147" s="3"/>
      <c r="H147" s="9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117"/>
      <c r="F148" s="3"/>
      <c r="G148" s="3"/>
      <c r="H148" s="9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117"/>
      <c r="F149" s="3"/>
      <c r="G149" s="3"/>
      <c r="H149" s="9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117"/>
      <c r="F150" s="3"/>
      <c r="G150" s="3"/>
      <c r="H150" s="9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117"/>
      <c r="F151" s="3"/>
      <c r="G151" s="3"/>
      <c r="H151" s="9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117"/>
      <c r="F152" s="3"/>
      <c r="G152" s="3"/>
      <c r="H152" s="9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117"/>
      <c r="F153" s="3"/>
      <c r="G153" s="3"/>
      <c r="H153" s="9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117"/>
      <c r="F154" s="3"/>
      <c r="G154" s="3"/>
      <c r="H154" s="9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117"/>
      <c r="F155" s="3"/>
      <c r="G155" s="3"/>
      <c r="H155" s="9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117"/>
      <c r="F156" s="3"/>
      <c r="G156" s="3"/>
      <c r="H156" s="9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117"/>
      <c r="F157" s="3"/>
      <c r="G157" s="3"/>
      <c r="H157" s="9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117"/>
      <c r="F158" s="3"/>
      <c r="G158" s="3"/>
      <c r="H158" s="9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117"/>
      <c r="F159" s="3"/>
      <c r="G159" s="3"/>
      <c r="H159" s="9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117"/>
      <c r="F160" s="3"/>
      <c r="G160" s="3"/>
      <c r="H160" s="9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117"/>
      <c r="F161" s="3"/>
      <c r="G161" s="3"/>
      <c r="H161" s="9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117"/>
      <c r="F162" s="3"/>
      <c r="G162" s="3"/>
      <c r="H162" s="9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117"/>
      <c r="F163" s="3"/>
      <c r="G163" s="3"/>
      <c r="H163" s="9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117"/>
      <c r="F164" s="3"/>
      <c r="G164" s="3"/>
      <c r="H164" s="9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117"/>
      <c r="F165" s="3"/>
      <c r="G165" s="3"/>
      <c r="H165" s="9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117"/>
      <c r="F166" s="3"/>
      <c r="G166" s="3"/>
      <c r="H166" s="9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117"/>
      <c r="F167" s="3"/>
      <c r="G167" s="3"/>
      <c r="H167" s="9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117"/>
      <c r="F168" s="3"/>
      <c r="G168" s="3"/>
      <c r="H168" s="9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117"/>
      <c r="F169" s="3"/>
      <c r="G169" s="3"/>
      <c r="H169" s="9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117"/>
      <c r="F170" s="3"/>
      <c r="G170" s="3"/>
      <c r="H170" s="9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117"/>
      <c r="F171" s="3"/>
      <c r="G171" s="3"/>
      <c r="H171" s="9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117"/>
      <c r="F172" s="3"/>
      <c r="G172" s="3"/>
      <c r="H172" s="9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117"/>
      <c r="F173" s="3"/>
      <c r="G173" s="3"/>
      <c r="H173" s="9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117"/>
      <c r="F174" s="3"/>
      <c r="G174" s="3"/>
      <c r="H174" s="9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117"/>
      <c r="F175" s="3"/>
      <c r="G175" s="3"/>
      <c r="H175" s="9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117"/>
      <c r="F176" s="3"/>
      <c r="G176" s="3"/>
      <c r="H176" s="9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117"/>
      <c r="F177" s="3"/>
      <c r="G177" s="3"/>
      <c r="H177" s="9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117"/>
      <c r="F178" s="3"/>
      <c r="G178" s="3"/>
      <c r="H178" s="9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117"/>
      <c r="F179" s="3"/>
      <c r="G179" s="3"/>
      <c r="H179" s="9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117"/>
      <c r="F180" s="3"/>
      <c r="G180" s="3"/>
      <c r="H180" s="9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117"/>
      <c r="F181" s="3"/>
      <c r="G181" s="3"/>
      <c r="H181" s="9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117"/>
      <c r="F182" s="3"/>
      <c r="G182" s="3"/>
      <c r="H182" s="9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117"/>
      <c r="F183" s="3"/>
      <c r="G183" s="3"/>
      <c r="H183" s="9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117"/>
      <c r="F184" s="3"/>
      <c r="G184" s="3"/>
      <c r="H184" s="9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117"/>
      <c r="F185" s="3"/>
      <c r="G185" s="3"/>
      <c r="H185" s="9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117"/>
      <c r="F186" s="3"/>
      <c r="G186" s="3"/>
      <c r="H186" s="9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117"/>
      <c r="F187" s="3"/>
      <c r="G187" s="3"/>
      <c r="H187" s="9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117"/>
      <c r="F188" s="3"/>
      <c r="G188" s="3"/>
      <c r="H188" s="9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117"/>
      <c r="F189" s="3"/>
      <c r="G189" s="3"/>
      <c r="H189" s="9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117"/>
      <c r="F190" s="3"/>
      <c r="G190" s="3"/>
      <c r="H190" s="9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117"/>
      <c r="F191" s="3"/>
      <c r="G191" s="3"/>
      <c r="H191" s="9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117"/>
      <c r="F192" s="3"/>
      <c r="G192" s="3"/>
      <c r="H192" s="9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117"/>
      <c r="F193" s="3"/>
      <c r="G193" s="3"/>
      <c r="H193" s="9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117"/>
      <c r="F194" s="3"/>
      <c r="G194" s="3"/>
      <c r="H194" s="9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117"/>
      <c r="F195" s="3"/>
      <c r="G195" s="3"/>
      <c r="H195" s="9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117"/>
      <c r="F196" s="3"/>
      <c r="G196" s="3"/>
      <c r="H196" s="9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117"/>
      <c r="F197" s="3"/>
      <c r="G197" s="3"/>
      <c r="H197" s="9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117"/>
      <c r="F198" s="3"/>
      <c r="G198" s="3"/>
      <c r="H198" s="9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117"/>
      <c r="F199" s="3"/>
      <c r="G199" s="3"/>
      <c r="H199" s="9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117"/>
      <c r="F200" s="3"/>
      <c r="G200" s="3"/>
      <c r="H200" s="9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117"/>
      <c r="F201" s="3"/>
      <c r="G201" s="3"/>
      <c r="H201" s="9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117"/>
      <c r="F202" s="3"/>
      <c r="G202" s="3"/>
      <c r="H202" s="9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117"/>
      <c r="F203" s="3"/>
      <c r="G203" s="3"/>
      <c r="H203" s="9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117"/>
      <c r="F204" s="3"/>
      <c r="G204" s="3"/>
      <c r="H204" s="9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117"/>
      <c r="F205" s="3"/>
      <c r="G205" s="3"/>
      <c r="H205" s="9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117"/>
      <c r="F206" s="3"/>
      <c r="G206" s="3"/>
      <c r="H206" s="9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117"/>
      <c r="F207" s="3"/>
      <c r="G207" s="3"/>
      <c r="H207" s="9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117"/>
      <c r="F208" s="3"/>
      <c r="G208" s="3"/>
      <c r="H208" s="9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117"/>
      <c r="F209" s="3"/>
      <c r="G209" s="3"/>
      <c r="H209" s="9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117"/>
      <c r="F210" s="3"/>
      <c r="G210" s="3"/>
      <c r="H210" s="9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117"/>
      <c r="F211" s="3"/>
      <c r="G211" s="3"/>
      <c r="H211" s="9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117"/>
      <c r="F212" s="3"/>
      <c r="G212" s="3"/>
      <c r="H212" s="9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117"/>
      <c r="F213" s="3"/>
      <c r="G213" s="3"/>
      <c r="H213" s="9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117"/>
      <c r="F214" s="3"/>
      <c r="G214" s="3"/>
      <c r="H214" s="9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117"/>
      <c r="F215" s="3"/>
      <c r="G215" s="3"/>
      <c r="H215" s="9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117"/>
      <c r="F216" s="3"/>
      <c r="G216" s="3"/>
      <c r="H216" s="9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117"/>
      <c r="F217" s="3"/>
      <c r="G217" s="3"/>
      <c r="H217" s="9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117"/>
      <c r="F218" s="3"/>
      <c r="G218" s="3"/>
      <c r="H218" s="9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117"/>
      <c r="F219" s="3"/>
      <c r="G219" s="3"/>
      <c r="H219" s="9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117"/>
      <c r="F220" s="3"/>
      <c r="G220" s="3"/>
      <c r="H220" s="9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117"/>
      <c r="F221" s="3"/>
      <c r="G221" s="3"/>
      <c r="H221" s="96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117"/>
      <c r="F222" s="3"/>
      <c r="G222" s="3"/>
      <c r="H222" s="96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117"/>
      <c r="F223" s="3"/>
      <c r="G223" s="3"/>
      <c r="H223" s="96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117"/>
      <c r="F224" s="3"/>
      <c r="G224" s="3"/>
      <c r="H224" s="96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117"/>
      <c r="F225" s="3"/>
      <c r="G225" s="3"/>
      <c r="H225" s="96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117"/>
      <c r="F226" s="3"/>
      <c r="G226" s="3"/>
      <c r="H226" s="96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117"/>
      <c r="F227" s="3"/>
      <c r="G227" s="3"/>
      <c r="H227" s="96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117"/>
      <c r="F228" s="3"/>
      <c r="G228" s="3"/>
      <c r="H228" s="96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117"/>
      <c r="F229" s="3"/>
      <c r="G229" s="3"/>
      <c r="H229" s="96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117"/>
      <c r="F230" s="3"/>
      <c r="G230" s="3"/>
      <c r="H230" s="96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117"/>
      <c r="F231" s="3"/>
      <c r="G231" s="3"/>
      <c r="H231" s="96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117"/>
      <c r="F232" s="3"/>
      <c r="G232" s="3"/>
      <c r="H232" s="96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117"/>
      <c r="F233" s="3"/>
      <c r="G233" s="3"/>
      <c r="H233" s="96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117"/>
      <c r="F234" s="3"/>
      <c r="G234" s="3"/>
      <c r="H234" s="96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117"/>
      <c r="F235" s="3"/>
      <c r="G235" s="3"/>
      <c r="H235" s="96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117"/>
      <c r="F236" s="3"/>
      <c r="G236" s="3"/>
      <c r="H236" s="96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117"/>
      <c r="F237" s="3"/>
      <c r="G237" s="3"/>
      <c r="H237" s="96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117"/>
      <c r="F238" s="3"/>
      <c r="G238" s="3"/>
      <c r="H238" s="96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117"/>
      <c r="F239" s="3"/>
      <c r="G239" s="3"/>
      <c r="H239" s="96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117"/>
      <c r="F240" s="3"/>
      <c r="G240" s="3"/>
      <c r="H240" s="96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117"/>
      <c r="F241" s="3"/>
      <c r="G241" s="3"/>
      <c r="H241" s="96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117"/>
      <c r="F242" s="3"/>
      <c r="G242" s="3"/>
      <c r="H242" s="96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117"/>
      <c r="F243" s="3"/>
      <c r="G243" s="3"/>
      <c r="H243" s="96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117"/>
      <c r="F244" s="3"/>
      <c r="G244" s="3"/>
      <c r="H244" s="96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117"/>
      <c r="F245" s="3"/>
      <c r="G245" s="3"/>
      <c r="H245" s="96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117"/>
      <c r="F246" s="3"/>
      <c r="G246" s="3"/>
      <c r="H246" s="96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117"/>
      <c r="F247" s="3"/>
      <c r="G247" s="3"/>
      <c r="H247" s="96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117"/>
      <c r="F248" s="3"/>
      <c r="G248" s="3"/>
      <c r="H248" s="96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117"/>
      <c r="F249" s="3"/>
      <c r="G249" s="3"/>
      <c r="H249" s="96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117"/>
      <c r="F250" s="3"/>
      <c r="G250" s="3"/>
      <c r="H250" s="96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117"/>
      <c r="F251" s="3"/>
      <c r="G251" s="3"/>
      <c r="H251" s="96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117"/>
      <c r="F252" s="3"/>
      <c r="G252" s="3"/>
      <c r="H252" s="96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117"/>
      <c r="F253" s="3"/>
      <c r="G253" s="3"/>
      <c r="H253" s="96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117"/>
      <c r="F254" s="3"/>
      <c r="G254" s="3"/>
      <c r="H254" s="96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117"/>
      <c r="F255" s="3"/>
      <c r="G255" s="3"/>
      <c r="H255" s="96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117"/>
      <c r="F256" s="3"/>
      <c r="G256" s="3"/>
      <c r="H256" s="96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117"/>
      <c r="F257" s="3"/>
      <c r="G257" s="3"/>
      <c r="H257" s="96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117"/>
      <c r="F258" s="3"/>
      <c r="G258" s="3"/>
      <c r="H258" s="96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117"/>
      <c r="F259" s="3"/>
      <c r="G259" s="3"/>
      <c r="H259" s="96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117"/>
      <c r="F260" s="3"/>
      <c r="G260" s="3"/>
      <c r="H260" s="96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117"/>
      <c r="F261" s="3"/>
      <c r="G261" s="3"/>
      <c r="H261" s="96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117"/>
      <c r="F262" s="3"/>
      <c r="G262" s="3"/>
      <c r="H262" s="96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117"/>
      <c r="F263" s="3"/>
      <c r="G263" s="3"/>
      <c r="H263" s="96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117"/>
      <c r="F264" s="3"/>
      <c r="G264" s="3"/>
      <c r="H264" s="96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117"/>
      <c r="F265" s="3"/>
      <c r="G265" s="3"/>
      <c r="H265" s="96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117"/>
      <c r="F266" s="3"/>
      <c r="G266" s="3"/>
      <c r="H266" s="96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117"/>
      <c r="F267" s="3"/>
      <c r="G267" s="3"/>
      <c r="H267" s="96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117"/>
      <c r="F268" s="3"/>
      <c r="G268" s="3"/>
      <c r="H268" s="96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117"/>
      <c r="F269" s="3"/>
      <c r="G269" s="3"/>
      <c r="H269" s="96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117"/>
      <c r="F270" s="3"/>
      <c r="G270" s="3"/>
      <c r="H270" s="96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117"/>
      <c r="F271" s="3"/>
      <c r="G271" s="3"/>
      <c r="H271" s="96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117"/>
      <c r="F272" s="3"/>
      <c r="G272" s="3"/>
      <c r="H272" s="96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117"/>
      <c r="F273" s="3"/>
      <c r="G273" s="3"/>
      <c r="H273" s="96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117"/>
      <c r="F274" s="3"/>
      <c r="G274" s="3"/>
      <c r="H274" s="96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117"/>
      <c r="F275" s="3"/>
      <c r="G275" s="3"/>
      <c r="H275" s="96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117"/>
      <c r="F276" s="3"/>
      <c r="G276" s="3"/>
      <c r="H276" s="96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117"/>
      <c r="F277" s="3"/>
      <c r="G277" s="3"/>
      <c r="H277" s="96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117"/>
      <c r="F278" s="3"/>
      <c r="G278" s="3"/>
      <c r="H278" s="96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117"/>
      <c r="F279" s="3"/>
      <c r="G279" s="3"/>
      <c r="H279" s="96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117"/>
      <c r="F280" s="3"/>
      <c r="G280" s="3"/>
      <c r="H280" s="96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117"/>
      <c r="F281" s="3"/>
      <c r="G281" s="3"/>
      <c r="H281" s="96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117"/>
      <c r="F282" s="3"/>
      <c r="G282" s="3"/>
      <c r="H282" s="96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117"/>
      <c r="F283" s="3"/>
      <c r="G283" s="3"/>
      <c r="H283" s="96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117"/>
      <c r="F284" s="3"/>
      <c r="G284" s="3"/>
      <c r="H284" s="96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117"/>
      <c r="F285" s="3"/>
      <c r="G285" s="3"/>
      <c r="H285" s="96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117"/>
      <c r="F286" s="3"/>
      <c r="G286" s="3"/>
      <c r="H286" s="96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117"/>
      <c r="F287" s="3"/>
      <c r="G287" s="3"/>
      <c r="H287" s="96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117"/>
      <c r="F288" s="3"/>
      <c r="G288" s="3"/>
      <c r="H288" s="96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117"/>
      <c r="F289" s="3"/>
      <c r="G289" s="3"/>
      <c r="H289" s="96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117"/>
      <c r="F290" s="3"/>
      <c r="G290" s="3"/>
      <c r="H290" s="96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117"/>
      <c r="F291" s="3"/>
      <c r="G291" s="3"/>
      <c r="H291" s="96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117"/>
      <c r="F292" s="3"/>
      <c r="G292" s="3"/>
      <c r="H292" s="96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117"/>
      <c r="F293" s="3"/>
      <c r="G293" s="3"/>
      <c r="H293" s="96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117"/>
      <c r="F294" s="3"/>
      <c r="G294" s="3"/>
      <c r="H294" s="96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117"/>
      <c r="F295" s="3"/>
      <c r="G295" s="3"/>
      <c r="H295" s="96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117"/>
      <c r="F296" s="3"/>
      <c r="G296" s="3"/>
      <c r="H296" s="96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117"/>
      <c r="F297" s="3"/>
      <c r="G297" s="3"/>
      <c r="H297" s="96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117"/>
      <c r="F298" s="3"/>
      <c r="G298" s="3"/>
      <c r="H298" s="96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117"/>
      <c r="F299" s="3"/>
      <c r="G299" s="3"/>
      <c r="H299" s="96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117"/>
      <c r="F300" s="3"/>
      <c r="G300" s="3"/>
      <c r="H300" s="96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117"/>
      <c r="F301" s="3"/>
      <c r="G301" s="3"/>
      <c r="H301" s="96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117"/>
      <c r="F302" s="3"/>
      <c r="G302" s="3"/>
      <c r="H302" s="96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117"/>
      <c r="F303" s="3"/>
      <c r="G303" s="3"/>
      <c r="H303" s="96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117"/>
      <c r="F304" s="3"/>
      <c r="G304" s="3"/>
      <c r="H304" s="96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117"/>
      <c r="F305" s="3"/>
      <c r="G305" s="3"/>
      <c r="H305" s="96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117"/>
      <c r="F306" s="3"/>
      <c r="G306" s="3"/>
      <c r="H306" s="96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117"/>
      <c r="F307" s="3"/>
      <c r="G307" s="3"/>
      <c r="H307" s="96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117"/>
      <c r="F308" s="3"/>
      <c r="G308" s="3"/>
      <c r="H308" s="96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117"/>
      <c r="F309" s="3"/>
      <c r="G309" s="3"/>
      <c r="H309" s="96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117"/>
      <c r="F310" s="3"/>
      <c r="G310" s="3"/>
      <c r="H310" s="96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117"/>
      <c r="F311" s="3"/>
      <c r="G311" s="3"/>
      <c r="H311" s="96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117"/>
      <c r="F312" s="3"/>
      <c r="G312" s="3"/>
      <c r="H312" s="96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117"/>
      <c r="F313" s="3"/>
      <c r="G313" s="3"/>
      <c r="H313" s="96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117"/>
      <c r="F314" s="3"/>
      <c r="G314" s="3"/>
      <c r="H314" s="96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117"/>
      <c r="F315" s="3"/>
      <c r="G315" s="3"/>
      <c r="H315" s="96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117"/>
      <c r="F316" s="3"/>
      <c r="G316" s="3"/>
      <c r="H316" s="96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117"/>
      <c r="F317" s="3"/>
      <c r="G317" s="3"/>
      <c r="H317" s="96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117"/>
      <c r="F318" s="3"/>
      <c r="G318" s="3"/>
      <c r="H318" s="96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117"/>
      <c r="F319" s="3"/>
      <c r="G319" s="3"/>
      <c r="H319" s="96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117"/>
      <c r="F320" s="3"/>
      <c r="G320" s="3"/>
      <c r="H320" s="96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117"/>
      <c r="F321" s="3"/>
      <c r="G321" s="3"/>
      <c r="H321" s="96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117"/>
      <c r="F322" s="3"/>
      <c r="G322" s="3"/>
      <c r="H322" s="96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117"/>
      <c r="F323" s="3"/>
      <c r="G323" s="3"/>
      <c r="H323" s="96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117"/>
      <c r="F324" s="3"/>
      <c r="G324" s="3"/>
      <c r="H324" s="96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117"/>
      <c r="F325" s="3"/>
      <c r="G325" s="3"/>
      <c r="H325" s="96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117"/>
      <c r="F326" s="3"/>
      <c r="G326" s="3"/>
      <c r="H326" s="96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117"/>
      <c r="F327" s="3"/>
      <c r="G327" s="3"/>
      <c r="H327" s="96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117"/>
      <c r="F328" s="3"/>
      <c r="G328" s="3"/>
      <c r="H328" s="96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117"/>
      <c r="F329" s="3"/>
      <c r="G329" s="3"/>
      <c r="H329" s="96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117"/>
      <c r="F330" s="3"/>
      <c r="G330" s="3"/>
      <c r="H330" s="96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117"/>
      <c r="F331" s="3"/>
      <c r="G331" s="3"/>
      <c r="H331" s="96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117"/>
      <c r="F332" s="3"/>
      <c r="G332" s="3"/>
      <c r="H332" s="96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117"/>
      <c r="F333" s="3"/>
      <c r="G333" s="3"/>
      <c r="H333" s="96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117"/>
      <c r="F334" s="3"/>
      <c r="G334" s="3"/>
      <c r="H334" s="96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117"/>
      <c r="F335" s="3"/>
      <c r="G335" s="3"/>
      <c r="H335" s="96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117"/>
      <c r="F336" s="3"/>
      <c r="G336" s="3"/>
      <c r="H336" s="96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117"/>
      <c r="F337" s="3"/>
      <c r="G337" s="3"/>
      <c r="H337" s="96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117"/>
      <c r="F338" s="3"/>
      <c r="G338" s="3"/>
      <c r="H338" s="96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117"/>
      <c r="F339" s="3"/>
      <c r="G339" s="3"/>
      <c r="H339" s="96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117"/>
      <c r="F340" s="3"/>
      <c r="G340" s="3"/>
      <c r="H340" s="96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117"/>
      <c r="F341" s="3"/>
      <c r="G341" s="3"/>
      <c r="H341" s="96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117"/>
      <c r="F342" s="3"/>
      <c r="G342" s="3"/>
      <c r="H342" s="96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117"/>
      <c r="F343" s="3"/>
      <c r="G343" s="3"/>
      <c r="H343" s="96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117"/>
      <c r="F344" s="3"/>
      <c r="G344" s="3"/>
      <c r="H344" s="96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117"/>
      <c r="F345" s="3"/>
      <c r="G345" s="3"/>
      <c r="H345" s="96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117"/>
      <c r="F346" s="3"/>
      <c r="G346" s="3"/>
      <c r="H346" s="96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117"/>
      <c r="F347" s="3"/>
      <c r="G347" s="3"/>
      <c r="H347" s="96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117"/>
      <c r="F348" s="3"/>
      <c r="G348" s="3"/>
      <c r="H348" s="96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117"/>
      <c r="F349" s="3"/>
      <c r="G349" s="3"/>
      <c r="H349" s="96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117"/>
      <c r="F350" s="3"/>
      <c r="G350" s="3"/>
      <c r="H350" s="96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117"/>
      <c r="F351" s="3"/>
      <c r="G351" s="3"/>
      <c r="H351" s="96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117"/>
      <c r="F352" s="3"/>
      <c r="G352" s="3"/>
      <c r="H352" s="96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117"/>
      <c r="F353" s="3"/>
      <c r="G353" s="3"/>
      <c r="H353" s="96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117"/>
      <c r="F354" s="3"/>
      <c r="G354" s="3"/>
      <c r="H354" s="96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117"/>
      <c r="F355" s="3"/>
      <c r="G355" s="3"/>
      <c r="H355" s="96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117"/>
      <c r="F356" s="3"/>
      <c r="G356" s="3"/>
      <c r="H356" s="96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117"/>
      <c r="F357" s="3"/>
      <c r="G357" s="3"/>
      <c r="H357" s="96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117"/>
      <c r="F358" s="3"/>
      <c r="G358" s="3"/>
      <c r="H358" s="96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117"/>
      <c r="F359" s="3"/>
      <c r="G359" s="3"/>
      <c r="H359" s="96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117"/>
      <c r="F360" s="3"/>
      <c r="G360" s="3"/>
      <c r="H360" s="96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117"/>
      <c r="F361" s="3"/>
      <c r="G361" s="3"/>
      <c r="H361" s="96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117"/>
      <c r="F362" s="3"/>
      <c r="G362" s="3"/>
      <c r="H362" s="96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117"/>
      <c r="F363" s="3"/>
      <c r="G363" s="3"/>
      <c r="H363" s="96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117"/>
      <c r="F364" s="3"/>
      <c r="G364" s="3"/>
      <c r="H364" s="96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117"/>
      <c r="F365" s="3"/>
      <c r="G365" s="3"/>
      <c r="H365" s="96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117"/>
      <c r="F366" s="3"/>
      <c r="G366" s="3"/>
      <c r="H366" s="96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117"/>
      <c r="F367" s="3"/>
      <c r="G367" s="3"/>
      <c r="H367" s="96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117"/>
      <c r="F368" s="3"/>
      <c r="G368" s="3"/>
      <c r="H368" s="96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117"/>
      <c r="F369" s="3"/>
      <c r="G369" s="3"/>
      <c r="H369" s="96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117"/>
      <c r="F370" s="3"/>
      <c r="G370" s="3"/>
      <c r="H370" s="96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117"/>
      <c r="F371" s="3"/>
      <c r="G371" s="3"/>
      <c r="H371" s="96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117"/>
      <c r="F372" s="3"/>
      <c r="G372" s="3"/>
      <c r="H372" s="96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117"/>
      <c r="F373" s="3"/>
      <c r="G373" s="3"/>
      <c r="H373" s="96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117"/>
      <c r="F374" s="3"/>
      <c r="G374" s="3"/>
      <c r="H374" s="96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117"/>
      <c r="F375" s="3"/>
      <c r="G375" s="3"/>
      <c r="H375" s="96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117"/>
      <c r="F376" s="3"/>
      <c r="G376" s="3"/>
      <c r="H376" s="96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117"/>
      <c r="F377" s="3"/>
      <c r="G377" s="3"/>
      <c r="H377" s="96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117"/>
      <c r="F378" s="3"/>
      <c r="G378" s="3"/>
      <c r="H378" s="96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117"/>
      <c r="F379" s="3"/>
      <c r="G379" s="3"/>
      <c r="H379" s="96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117"/>
      <c r="F380" s="3"/>
      <c r="G380" s="3"/>
      <c r="H380" s="96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117"/>
      <c r="F381" s="3"/>
      <c r="G381" s="3"/>
      <c r="H381" s="96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117"/>
      <c r="F382" s="3"/>
      <c r="G382" s="3"/>
      <c r="H382" s="96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117"/>
      <c r="F383" s="3"/>
      <c r="G383" s="3"/>
      <c r="H383" s="96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117"/>
      <c r="F384" s="3"/>
      <c r="G384" s="3"/>
      <c r="H384" s="96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117"/>
      <c r="F385" s="3"/>
      <c r="G385" s="3"/>
      <c r="H385" s="96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117"/>
      <c r="F386" s="3"/>
      <c r="G386" s="3"/>
      <c r="H386" s="96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117"/>
      <c r="F387" s="3"/>
      <c r="G387" s="3"/>
      <c r="H387" s="96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117"/>
      <c r="F388" s="3"/>
      <c r="G388" s="3"/>
      <c r="H388" s="96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117"/>
      <c r="F389" s="3"/>
      <c r="G389" s="3"/>
      <c r="H389" s="96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117"/>
      <c r="F390" s="3"/>
      <c r="G390" s="3"/>
      <c r="H390" s="96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117"/>
      <c r="F391" s="3"/>
      <c r="G391" s="3"/>
      <c r="H391" s="96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117"/>
      <c r="F392" s="3"/>
      <c r="G392" s="3"/>
      <c r="H392" s="96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117"/>
      <c r="F393" s="3"/>
      <c r="G393" s="3"/>
      <c r="H393" s="96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117"/>
      <c r="F394" s="3"/>
      <c r="G394" s="3"/>
      <c r="H394" s="96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117"/>
      <c r="F395" s="3"/>
      <c r="G395" s="3"/>
      <c r="H395" s="96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117"/>
      <c r="F396" s="3"/>
      <c r="G396" s="3"/>
      <c r="H396" s="96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117"/>
      <c r="F397" s="3"/>
      <c r="G397" s="3"/>
      <c r="H397" s="96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117"/>
      <c r="F398" s="3"/>
      <c r="G398" s="3"/>
      <c r="H398" s="96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117"/>
      <c r="F399" s="3"/>
      <c r="G399" s="3"/>
      <c r="H399" s="96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117"/>
      <c r="F400" s="3"/>
      <c r="G400" s="3"/>
      <c r="H400" s="96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117"/>
      <c r="F401" s="3"/>
      <c r="G401" s="3"/>
      <c r="H401" s="96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117"/>
      <c r="F402" s="3"/>
      <c r="G402" s="3"/>
      <c r="H402" s="96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117"/>
      <c r="F403" s="3"/>
      <c r="G403" s="3"/>
      <c r="H403" s="96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117"/>
      <c r="F404" s="3"/>
      <c r="G404" s="3"/>
      <c r="H404" s="96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117"/>
      <c r="F405" s="3"/>
      <c r="G405" s="3"/>
      <c r="H405" s="96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117"/>
      <c r="F406" s="3"/>
      <c r="G406" s="3"/>
      <c r="H406" s="96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117"/>
      <c r="F407" s="3"/>
      <c r="G407" s="3"/>
      <c r="H407" s="96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117"/>
      <c r="F408" s="3"/>
      <c r="G408" s="3"/>
      <c r="H408" s="96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117"/>
      <c r="F409" s="3"/>
      <c r="G409" s="3"/>
      <c r="H409" s="96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117"/>
      <c r="F410" s="3"/>
      <c r="G410" s="3"/>
      <c r="H410" s="96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117"/>
      <c r="F411" s="3"/>
      <c r="G411" s="3"/>
      <c r="H411" s="96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117"/>
      <c r="F412" s="3"/>
      <c r="G412" s="3"/>
      <c r="H412" s="96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117"/>
      <c r="F413" s="3"/>
      <c r="G413" s="3"/>
      <c r="H413" s="96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117"/>
      <c r="F414" s="3"/>
      <c r="G414" s="3"/>
      <c r="H414" s="96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117"/>
      <c r="F415" s="3"/>
      <c r="G415" s="3"/>
      <c r="H415" s="96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117"/>
      <c r="F416" s="3"/>
      <c r="G416" s="3"/>
      <c r="H416" s="96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117"/>
      <c r="F417" s="3"/>
      <c r="G417" s="3"/>
      <c r="H417" s="96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117"/>
      <c r="F418" s="3"/>
      <c r="G418" s="3"/>
      <c r="H418" s="96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117"/>
      <c r="F419" s="3"/>
      <c r="G419" s="3"/>
      <c r="H419" s="96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117"/>
      <c r="F420" s="3"/>
      <c r="G420" s="3"/>
      <c r="H420" s="96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117"/>
      <c r="F421" s="3"/>
      <c r="G421" s="3"/>
      <c r="H421" s="96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117"/>
      <c r="F422" s="3"/>
      <c r="G422" s="3"/>
      <c r="H422" s="96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117"/>
      <c r="F423" s="3"/>
      <c r="G423" s="3"/>
      <c r="H423" s="96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117"/>
      <c r="F424" s="3"/>
      <c r="G424" s="3"/>
      <c r="H424" s="96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117"/>
      <c r="F425" s="3"/>
      <c r="G425" s="3"/>
      <c r="H425" s="96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117"/>
      <c r="F426" s="3"/>
      <c r="G426" s="3"/>
      <c r="H426" s="96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117"/>
      <c r="F427" s="3"/>
      <c r="G427" s="3"/>
      <c r="H427" s="96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117"/>
      <c r="F428" s="3"/>
      <c r="G428" s="3"/>
      <c r="H428" s="96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117"/>
      <c r="F429" s="3"/>
      <c r="G429" s="3"/>
      <c r="H429" s="96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117"/>
      <c r="F430" s="3"/>
      <c r="G430" s="3"/>
      <c r="H430" s="96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117"/>
      <c r="F431" s="3"/>
      <c r="G431" s="3"/>
      <c r="H431" s="96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117"/>
      <c r="F432" s="3"/>
      <c r="G432" s="3"/>
      <c r="H432" s="96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117"/>
      <c r="F433" s="3"/>
      <c r="G433" s="3"/>
      <c r="H433" s="96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117"/>
      <c r="F434" s="3"/>
      <c r="G434" s="3"/>
      <c r="H434" s="96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117"/>
      <c r="F435" s="3"/>
      <c r="G435" s="3"/>
      <c r="H435" s="96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117"/>
      <c r="F436" s="3"/>
      <c r="G436" s="3"/>
      <c r="H436" s="96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117"/>
      <c r="F437" s="3"/>
      <c r="G437" s="3"/>
      <c r="H437" s="96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117"/>
      <c r="F438" s="3"/>
      <c r="G438" s="3"/>
      <c r="H438" s="96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117"/>
      <c r="F439" s="3"/>
      <c r="G439" s="3"/>
      <c r="H439" s="96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117"/>
      <c r="F440" s="3"/>
      <c r="G440" s="3"/>
      <c r="H440" s="96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117"/>
      <c r="F441" s="3"/>
      <c r="G441" s="3"/>
      <c r="H441" s="96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117"/>
      <c r="F442" s="3"/>
      <c r="G442" s="3"/>
      <c r="H442" s="96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117"/>
      <c r="F443" s="3"/>
      <c r="G443" s="3"/>
      <c r="H443" s="96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117"/>
      <c r="F444" s="3"/>
      <c r="G444" s="3"/>
      <c r="H444" s="96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117"/>
      <c r="F445" s="3"/>
      <c r="G445" s="3"/>
      <c r="H445" s="96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117"/>
      <c r="F446" s="3"/>
      <c r="G446" s="3"/>
      <c r="H446" s="96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117"/>
      <c r="F447" s="3"/>
      <c r="G447" s="3"/>
      <c r="H447" s="96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117"/>
      <c r="F448" s="3"/>
      <c r="G448" s="3"/>
      <c r="H448" s="96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117"/>
      <c r="F449" s="3"/>
      <c r="G449" s="3"/>
      <c r="H449" s="96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117"/>
      <c r="F450" s="3"/>
      <c r="G450" s="3"/>
      <c r="H450" s="96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117"/>
      <c r="F451" s="3"/>
      <c r="G451" s="3"/>
      <c r="H451" s="96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117"/>
      <c r="F452" s="3"/>
      <c r="G452" s="3"/>
      <c r="H452" s="96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117"/>
      <c r="F453" s="3"/>
      <c r="G453" s="3"/>
      <c r="H453" s="96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117"/>
      <c r="F454" s="3"/>
      <c r="G454" s="3"/>
      <c r="H454" s="96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117"/>
      <c r="F455" s="3"/>
      <c r="G455" s="3"/>
      <c r="H455" s="96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117"/>
      <c r="F456" s="3"/>
      <c r="G456" s="3"/>
      <c r="H456" s="96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117"/>
      <c r="F457" s="3"/>
      <c r="G457" s="3"/>
      <c r="H457" s="96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117"/>
      <c r="F458" s="3"/>
      <c r="G458" s="3"/>
      <c r="H458" s="96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117"/>
      <c r="F459" s="3"/>
      <c r="G459" s="3"/>
      <c r="H459" s="96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117"/>
      <c r="F460" s="3"/>
      <c r="G460" s="3"/>
      <c r="H460" s="96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117"/>
      <c r="F461" s="3"/>
      <c r="G461" s="3"/>
      <c r="H461" s="96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117"/>
      <c r="F462" s="3"/>
      <c r="G462" s="3"/>
      <c r="H462" s="96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117"/>
      <c r="F463" s="3"/>
      <c r="G463" s="3"/>
      <c r="H463" s="96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117"/>
      <c r="F464" s="3"/>
      <c r="G464" s="3"/>
      <c r="H464" s="96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117"/>
      <c r="F465" s="3"/>
      <c r="G465" s="3"/>
      <c r="H465" s="96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117"/>
      <c r="F466" s="3"/>
      <c r="G466" s="3"/>
      <c r="H466" s="96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117"/>
      <c r="F467" s="3"/>
      <c r="G467" s="3"/>
      <c r="H467" s="96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117"/>
      <c r="F468" s="3"/>
      <c r="G468" s="3"/>
      <c r="H468" s="96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117"/>
      <c r="F469" s="3"/>
      <c r="G469" s="3"/>
      <c r="H469" s="96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117"/>
      <c r="F470" s="3"/>
      <c r="G470" s="3"/>
      <c r="H470" s="96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117"/>
      <c r="F471" s="3"/>
      <c r="G471" s="3"/>
      <c r="H471" s="96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117"/>
      <c r="F472" s="3"/>
      <c r="G472" s="3"/>
      <c r="H472" s="96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117"/>
      <c r="F473" s="3"/>
      <c r="G473" s="3"/>
      <c r="H473" s="96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117"/>
      <c r="F474" s="3"/>
      <c r="G474" s="3"/>
      <c r="H474" s="96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117"/>
      <c r="F475" s="3"/>
      <c r="G475" s="3"/>
      <c r="H475" s="96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117"/>
      <c r="F476" s="3"/>
      <c r="G476" s="3"/>
      <c r="H476" s="96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117"/>
      <c r="F477" s="3"/>
      <c r="G477" s="3"/>
      <c r="H477" s="96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117"/>
      <c r="F478" s="3"/>
      <c r="G478" s="3"/>
      <c r="H478" s="96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117"/>
      <c r="F479" s="3"/>
      <c r="G479" s="3"/>
      <c r="H479" s="96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117"/>
      <c r="F480" s="3"/>
      <c r="G480" s="3"/>
      <c r="H480" s="96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117"/>
      <c r="F481" s="3"/>
      <c r="G481" s="3"/>
      <c r="H481" s="96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117"/>
      <c r="F482" s="3"/>
      <c r="G482" s="3"/>
      <c r="H482" s="96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117"/>
      <c r="F483" s="3"/>
      <c r="G483" s="3"/>
      <c r="H483" s="96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117"/>
      <c r="F484" s="3"/>
      <c r="G484" s="3"/>
      <c r="H484" s="96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117"/>
      <c r="F485" s="3"/>
      <c r="G485" s="3"/>
      <c r="H485" s="96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117"/>
      <c r="F486" s="3"/>
      <c r="G486" s="3"/>
      <c r="H486" s="96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117"/>
      <c r="F487" s="3"/>
      <c r="G487" s="3"/>
      <c r="H487" s="96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117"/>
      <c r="F488" s="3"/>
      <c r="G488" s="3"/>
      <c r="H488" s="96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117"/>
      <c r="F489" s="3"/>
      <c r="G489" s="3"/>
      <c r="H489" s="96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117"/>
      <c r="F490" s="3"/>
      <c r="G490" s="3"/>
      <c r="H490" s="96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117"/>
      <c r="F491" s="3"/>
      <c r="G491" s="3"/>
      <c r="H491" s="96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117"/>
      <c r="F492" s="3"/>
      <c r="G492" s="3"/>
      <c r="H492" s="96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117"/>
      <c r="F493" s="3"/>
      <c r="G493" s="3"/>
      <c r="H493" s="96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117"/>
      <c r="F494" s="3"/>
      <c r="G494" s="3"/>
      <c r="H494" s="96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117"/>
      <c r="F495" s="3"/>
      <c r="G495" s="3"/>
      <c r="H495" s="96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117"/>
      <c r="F496" s="3"/>
      <c r="G496" s="3"/>
      <c r="H496" s="96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117"/>
      <c r="F497" s="3"/>
      <c r="G497" s="3"/>
      <c r="H497" s="96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117"/>
      <c r="F498" s="3"/>
      <c r="G498" s="3"/>
      <c r="H498" s="96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117"/>
      <c r="F499" s="3"/>
      <c r="G499" s="3"/>
      <c r="H499" s="96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117"/>
      <c r="F500" s="3"/>
      <c r="G500" s="3"/>
      <c r="H500" s="96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117"/>
      <c r="F501" s="3"/>
      <c r="G501" s="3"/>
      <c r="H501" s="96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117"/>
      <c r="F502" s="3"/>
      <c r="G502" s="3"/>
      <c r="H502" s="9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117"/>
      <c r="F503" s="3"/>
      <c r="G503" s="3"/>
      <c r="H503" s="96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117"/>
      <c r="F504" s="3"/>
      <c r="G504" s="3"/>
      <c r="H504" s="96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117"/>
      <c r="F505" s="3"/>
      <c r="G505" s="3"/>
      <c r="H505" s="96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117"/>
      <c r="F506" s="3"/>
      <c r="G506" s="3"/>
      <c r="H506" s="96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117"/>
      <c r="F507" s="3"/>
      <c r="G507" s="3"/>
      <c r="H507" s="96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117"/>
      <c r="F508" s="3"/>
      <c r="G508" s="3"/>
      <c r="H508" s="96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117"/>
      <c r="F509" s="3"/>
      <c r="G509" s="3"/>
      <c r="H509" s="96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117"/>
      <c r="F510" s="3"/>
      <c r="G510" s="3"/>
      <c r="H510" s="96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117"/>
      <c r="F511" s="3"/>
      <c r="G511" s="3"/>
      <c r="H511" s="96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117"/>
      <c r="F512" s="3"/>
      <c r="G512" s="3"/>
      <c r="H512" s="96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117"/>
      <c r="F513" s="3"/>
      <c r="G513" s="3"/>
      <c r="H513" s="96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117"/>
      <c r="F514" s="3"/>
      <c r="G514" s="3"/>
      <c r="H514" s="96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117"/>
      <c r="F515" s="3"/>
      <c r="G515" s="3"/>
      <c r="H515" s="96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117"/>
      <c r="F516" s="3"/>
      <c r="G516" s="3"/>
      <c r="H516" s="96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117"/>
      <c r="F517" s="3"/>
      <c r="G517" s="3"/>
      <c r="H517" s="96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117"/>
      <c r="F518" s="3"/>
      <c r="G518" s="3"/>
      <c r="H518" s="96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117"/>
      <c r="F519" s="3"/>
      <c r="G519" s="3"/>
      <c r="H519" s="96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117"/>
      <c r="F520" s="3"/>
      <c r="G520" s="3"/>
      <c r="H520" s="96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117"/>
      <c r="F521" s="3"/>
      <c r="G521" s="3"/>
      <c r="H521" s="96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117"/>
      <c r="F522" s="3"/>
      <c r="G522" s="3"/>
      <c r="H522" s="96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117"/>
      <c r="F523" s="3"/>
      <c r="G523" s="3"/>
      <c r="H523" s="96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117"/>
      <c r="F524" s="3"/>
      <c r="G524" s="3"/>
      <c r="H524" s="96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117"/>
      <c r="F525" s="3"/>
      <c r="G525" s="3"/>
      <c r="H525" s="96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117"/>
      <c r="F526" s="3"/>
      <c r="G526" s="3"/>
      <c r="H526" s="96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117"/>
      <c r="F527" s="3"/>
      <c r="G527" s="3"/>
      <c r="H527" s="96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117"/>
      <c r="F528" s="3"/>
      <c r="G528" s="3"/>
      <c r="H528" s="96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117"/>
      <c r="F529" s="3"/>
      <c r="G529" s="3"/>
      <c r="H529" s="96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117"/>
      <c r="F530" s="3"/>
      <c r="G530" s="3"/>
      <c r="H530" s="96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117"/>
      <c r="F531" s="3"/>
      <c r="G531" s="3"/>
      <c r="H531" s="96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117"/>
      <c r="F532" s="3"/>
      <c r="G532" s="3"/>
      <c r="H532" s="96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117"/>
      <c r="F533" s="3"/>
      <c r="G533" s="3"/>
      <c r="H533" s="96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117"/>
      <c r="F534" s="3"/>
      <c r="G534" s="3"/>
      <c r="H534" s="96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117"/>
      <c r="F535" s="3"/>
      <c r="G535" s="3"/>
      <c r="H535" s="96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117"/>
      <c r="F536" s="3"/>
      <c r="G536" s="3"/>
      <c r="H536" s="96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117"/>
      <c r="F537" s="3"/>
      <c r="G537" s="3"/>
      <c r="H537" s="96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117"/>
      <c r="F538" s="3"/>
      <c r="G538" s="3"/>
      <c r="H538" s="96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117"/>
      <c r="F539" s="3"/>
      <c r="G539" s="3"/>
      <c r="H539" s="96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117"/>
      <c r="F540" s="3"/>
      <c r="G540" s="3"/>
      <c r="H540" s="96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117"/>
      <c r="F541" s="3"/>
      <c r="G541" s="3"/>
      <c r="H541" s="96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117"/>
      <c r="F542" s="3"/>
      <c r="G542" s="3"/>
      <c r="H542" s="96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117"/>
      <c r="F543" s="3"/>
      <c r="G543" s="3"/>
      <c r="H543" s="96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117"/>
      <c r="F544" s="3"/>
      <c r="G544" s="3"/>
      <c r="H544" s="96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117"/>
      <c r="F545" s="3"/>
      <c r="G545" s="3"/>
      <c r="H545" s="96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117"/>
      <c r="F546" s="3"/>
      <c r="G546" s="3"/>
      <c r="H546" s="96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117"/>
      <c r="F547" s="3"/>
      <c r="G547" s="3"/>
      <c r="H547" s="96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117"/>
      <c r="F548" s="3"/>
      <c r="G548" s="3"/>
      <c r="H548" s="96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117"/>
      <c r="F549" s="3"/>
      <c r="G549" s="3"/>
      <c r="H549" s="96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117"/>
      <c r="F550" s="3"/>
      <c r="G550" s="3"/>
      <c r="H550" s="96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117"/>
      <c r="F551" s="3"/>
      <c r="G551" s="3"/>
      <c r="H551" s="96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117"/>
      <c r="F552" s="3"/>
      <c r="G552" s="3"/>
      <c r="H552" s="96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117"/>
      <c r="F553" s="3"/>
      <c r="G553" s="3"/>
      <c r="H553" s="96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117"/>
      <c r="F554" s="3"/>
      <c r="G554" s="3"/>
      <c r="H554" s="96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117"/>
      <c r="F555" s="3"/>
      <c r="G555" s="3"/>
      <c r="H555" s="96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117"/>
      <c r="F556" s="3"/>
      <c r="G556" s="3"/>
      <c r="H556" s="96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117"/>
      <c r="F557" s="3"/>
      <c r="G557" s="3"/>
      <c r="H557" s="96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117"/>
      <c r="F558" s="3"/>
      <c r="G558" s="3"/>
      <c r="H558" s="96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117"/>
      <c r="F559" s="3"/>
      <c r="G559" s="3"/>
      <c r="H559" s="96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117"/>
      <c r="F560" s="3"/>
      <c r="G560" s="3"/>
      <c r="H560" s="96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117"/>
      <c r="F561" s="3"/>
      <c r="G561" s="3"/>
      <c r="H561" s="96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117"/>
      <c r="F562" s="3"/>
      <c r="G562" s="3"/>
      <c r="H562" s="96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117"/>
      <c r="F563" s="3"/>
      <c r="G563" s="3"/>
      <c r="H563" s="96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117"/>
      <c r="F564" s="3"/>
      <c r="G564" s="3"/>
      <c r="H564" s="96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117"/>
      <c r="F565" s="3"/>
      <c r="G565" s="3"/>
      <c r="H565" s="96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117"/>
      <c r="F566" s="3"/>
      <c r="G566" s="3"/>
      <c r="H566" s="96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117"/>
      <c r="F567" s="3"/>
      <c r="G567" s="3"/>
      <c r="H567" s="96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117"/>
      <c r="F568" s="3"/>
      <c r="G568" s="3"/>
      <c r="H568" s="96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117"/>
      <c r="F569" s="3"/>
      <c r="G569" s="3"/>
      <c r="H569" s="96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117"/>
      <c r="F570" s="3"/>
      <c r="G570" s="3"/>
      <c r="H570" s="96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117"/>
      <c r="F571" s="3"/>
      <c r="G571" s="3"/>
      <c r="H571" s="96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117"/>
      <c r="F572" s="3"/>
      <c r="G572" s="3"/>
      <c r="H572" s="96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117"/>
      <c r="F573" s="3"/>
      <c r="G573" s="3"/>
      <c r="H573" s="96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117"/>
      <c r="F574" s="3"/>
      <c r="G574" s="3"/>
      <c r="H574" s="96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117"/>
      <c r="F575" s="3"/>
      <c r="G575" s="3"/>
      <c r="H575" s="96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117"/>
      <c r="F576" s="3"/>
      <c r="G576" s="3"/>
      <c r="H576" s="96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117"/>
      <c r="F577" s="3"/>
      <c r="G577" s="3"/>
      <c r="H577" s="96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117"/>
      <c r="F578" s="3"/>
      <c r="G578" s="3"/>
      <c r="H578" s="96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117"/>
      <c r="F579" s="3"/>
      <c r="G579" s="3"/>
      <c r="H579" s="96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117"/>
      <c r="F580" s="3"/>
      <c r="G580" s="3"/>
      <c r="H580" s="96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117"/>
      <c r="F581" s="3"/>
      <c r="G581" s="3"/>
      <c r="H581" s="96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117"/>
      <c r="F582" s="3"/>
      <c r="G582" s="3"/>
      <c r="H582" s="96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117"/>
      <c r="F583" s="3"/>
      <c r="G583" s="3"/>
      <c r="H583" s="96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117"/>
      <c r="F584" s="3"/>
      <c r="G584" s="3"/>
      <c r="H584" s="96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117"/>
      <c r="F585" s="3"/>
      <c r="G585" s="3"/>
      <c r="H585" s="96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117"/>
      <c r="F586" s="3"/>
      <c r="G586" s="3"/>
      <c r="H586" s="96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117"/>
      <c r="F587" s="3"/>
      <c r="G587" s="3"/>
      <c r="H587" s="96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117"/>
      <c r="F588" s="3"/>
      <c r="G588" s="3"/>
      <c r="H588" s="96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117"/>
      <c r="F589" s="3"/>
      <c r="G589" s="3"/>
      <c r="H589" s="96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117"/>
      <c r="F590" s="3"/>
      <c r="G590" s="3"/>
      <c r="H590" s="96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117"/>
      <c r="F591" s="3"/>
      <c r="G591" s="3"/>
      <c r="H591" s="96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117"/>
      <c r="F592" s="3"/>
      <c r="G592" s="3"/>
      <c r="H592" s="96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117"/>
      <c r="F593" s="3"/>
      <c r="G593" s="3"/>
      <c r="H593" s="96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117"/>
      <c r="F594" s="3"/>
      <c r="G594" s="3"/>
      <c r="H594" s="96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117"/>
      <c r="F595" s="3"/>
      <c r="G595" s="3"/>
      <c r="H595" s="96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117"/>
      <c r="F596" s="3"/>
      <c r="G596" s="3"/>
      <c r="H596" s="96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117"/>
      <c r="F597" s="3"/>
      <c r="G597" s="3"/>
      <c r="H597" s="96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117"/>
      <c r="F598" s="3"/>
      <c r="G598" s="3"/>
      <c r="H598" s="96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117"/>
      <c r="F599" s="3"/>
      <c r="G599" s="3"/>
      <c r="H599" s="96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117"/>
      <c r="F600" s="3"/>
      <c r="G600" s="3"/>
      <c r="H600" s="96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117"/>
      <c r="F601" s="3"/>
      <c r="G601" s="3"/>
      <c r="H601" s="96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117"/>
      <c r="F602" s="3"/>
      <c r="G602" s="3"/>
      <c r="H602" s="96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117"/>
      <c r="F603" s="3"/>
      <c r="G603" s="3"/>
      <c r="H603" s="96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117"/>
      <c r="F604" s="3"/>
      <c r="G604" s="3"/>
      <c r="H604" s="96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117"/>
      <c r="F605" s="3"/>
      <c r="G605" s="3"/>
      <c r="H605" s="96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117"/>
      <c r="F606" s="3"/>
      <c r="G606" s="3"/>
      <c r="H606" s="96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117"/>
      <c r="F607" s="3"/>
      <c r="G607" s="3"/>
      <c r="H607" s="96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117"/>
      <c r="F608" s="3"/>
      <c r="G608" s="3"/>
      <c r="H608" s="96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117"/>
      <c r="F609" s="3"/>
      <c r="G609" s="3"/>
      <c r="H609" s="96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117"/>
      <c r="F610" s="3"/>
      <c r="G610" s="3"/>
      <c r="H610" s="96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117"/>
      <c r="F611" s="3"/>
      <c r="G611" s="3"/>
      <c r="H611" s="96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117"/>
      <c r="F612" s="3"/>
      <c r="G612" s="3"/>
      <c r="H612" s="96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117"/>
      <c r="F613" s="3"/>
      <c r="G613" s="3"/>
      <c r="H613" s="96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117"/>
      <c r="F614" s="3"/>
      <c r="G614" s="3"/>
      <c r="H614" s="96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117"/>
      <c r="F615" s="3"/>
      <c r="G615" s="3"/>
      <c r="H615" s="96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117"/>
      <c r="F616" s="3"/>
      <c r="G616" s="3"/>
      <c r="H616" s="96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117"/>
      <c r="F617" s="3"/>
      <c r="G617" s="3"/>
      <c r="H617" s="96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117"/>
      <c r="F618" s="3"/>
      <c r="G618" s="3"/>
      <c r="H618" s="96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117"/>
      <c r="F619" s="3"/>
      <c r="G619" s="3"/>
      <c r="H619" s="96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117"/>
      <c r="F620" s="3"/>
      <c r="G620" s="3"/>
      <c r="H620" s="96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117"/>
      <c r="F621" s="3"/>
      <c r="G621" s="3"/>
      <c r="H621" s="96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117"/>
      <c r="F622" s="3"/>
      <c r="G622" s="3"/>
      <c r="H622" s="96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117"/>
      <c r="F623" s="3"/>
      <c r="G623" s="3"/>
      <c r="H623" s="96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117"/>
      <c r="F624" s="3"/>
      <c r="G624" s="3"/>
      <c r="H624" s="96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117"/>
      <c r="F625" s="3"/>
      <c r="G625" s="3"/>
      <c r="H625" s="96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117"/>
      <c r="F626" s="3"/>
      <c r="G626" s="3"/>
      <c r="H626" s="96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117"/>
      <c r="F627" s="3"/>
      <c r="G627" s="3"/>
      <c r="H627" s="96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117"/>
      <c r="F628" s="3"/>
      <c r="G628" s="3"/>
      <c r="H628" s="96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117"/>
      <c r="F629" s="3"/>
      <c r="G629" s="3"/>
      <c r="H629" s="96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117"/>
      <c r="F630" s="3"/>
      <c r="G630" s="3"/>
      <c r="H630" s="96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117"/>
      <c r="F631" s="3"/>
      <c r="G631" s="3"/>
      <c r="H631" s="96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117"/>
      <c r="F632" s="3"/>
      <c r="G632" s="3"/>
      <c r="H632" s="96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117"/>
      <c r="F633" s="3"/>
      <c r="G633" s="3"/>
      <c r="H633" s="96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117"/>
      <c r="F634" s="3"/>
      <c r="G634" s="3"/>
      <c r="H634" s="96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117"/>
      <c r="F635" s="3"/>
      <c r="G635" s="3"/>
      <c r="H635" s="96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117"/>
      <c r="F636" s="3"/>
      <c r="G636" s="3"/>
      <c r="H636" s="96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117"/>
      <c r="F637" s="3"/>
      <c r="G637" s="3"/>
      <c r="H637" s="96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117"/>
      <c r="F638" s="3"/>
      <c r="G638" s="3"/>
      <c r="H638" s="96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117"/>
      <c r="F639" s="3"/>
      <c r="G639" s="3"/>
      <c r="H639" s="96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117"/>
      <c r="F640" s="3"/>
      <c r="G640" s="3"/>
      <c r="H640" s="96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117"/>
      <c r="F641" s="3"/>
      <c r="G641" s="3"/>
      <c r="H641" s="96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117"/>
      <c r="F642" s="3"/>
      <c r="G642" s="3"/>
      <c r="H642" s="96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117"/>
      <c r="F643" s="3"/>
      <c r="G643" s="3"/>
      <c r="H643" s="96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117"/>
      <c r="F644" s="3"/>
      <c r="G644" s="3"/>
      <c r="H644" s="96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117"/>
      <c r="F645" s="3"/>
      <c r="G645" s="3"/>
      <c r="H645" s="96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117"/>
      <c r="F646" s="3"/>
      <c r="G646" s="3"/>
      <c r="H646" s="96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117"/>
      <c r="F647" s="3"/>
      <c r="G647" s="3"/>
      <c r="H647" s="96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117"/>
      <c r="F648" s="3"/>
      <c r="G648" s="3"/>
      <c r="H648" s="96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117"/>
      <c r="F649" s="3"/>
      <c r="G649" s="3"/>
      <c r="H649" s="96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117"/>
      <c r="F650" s="3"/>
      <c r="G650" s="3"/>
      <c r="H650" s="96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117"/>
      <c r="F651" s="3"/>
      <c r="G651" s="3"/>
      <c r="H651" s="96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117"/>
      <c r="F652" s="3"/>
      <c r="G652" s="3"/>
      <c r="H652" s="96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117"/>
      <c r="F653" s="3"/>
      <c r="G653" s="3"/>
      <c r="H653" s="96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117"/>
      <c r="F654" s="3"/>
      <c r="G654" s="3"/>
      <c r="H654" s="96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117"/>
      <c r="F655" s="3"/>
      <c r="G655" s="3"/>
      <c r="H655" s="96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117"/>
      <c r="F656" s="3"/>
      <c r="G656" s="3"/>
      <c r="H656" s="96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117"/>
      <c r="F657" s="3"/>
      <c r="G657" s="3"/>
      <c r="H657" s="96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117"/>
      <c r="F658" s="3"/>
      <c r="G658" s="3"/>
      <c r="H658" s="96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117"/>
      <c r="F659" s="3"/>
      <c r="G659" s="3"/>
      <c r="H659" s="96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117"/>
      <c r="F660" s="3"/>
      <c r="G660" s="3"/>
      <c r="H660" s="96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117"/>
      <c r="F661" s="3"/>
      <c r="G661" s="3"/>
      <c r="H661" s="96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117"/>
      <c r="F662" s="3"/>
      <c r="G662" s="3"/>
      <c r="H662" s="96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117"/>
      <c r="F663" s="3"/>
      <c r="G663" s="3"/>
      <c r="H663" s="96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117"/>
      <c r="F664" s="3"/>
      <c r="G664" s="3"/>
      <c r="H664" s="96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117"/>
      <c r="F665" s="3"/>
      <c r="G665" s="3"/>
      <c r="H665" s="96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117"/>
      <c r="F666" s="3"/>
      <c r="G666" s="3"/>
      <c r="H666" s="96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117"/>
      <c r="F667" s="3"/>
      <c r="G667" s="3"/>
      <c r="H667" s="96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117"/>
      <c r="F668" s="3"/>
      <c r="G668" s="3"/>
      <c r="H668" s="96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117"/>
      <c r="F669" s="3"/>
      <c r="G669" s="3"/>
      <c r="H669" s="96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117"/>
      <c r="F670" s="3"/>
      <c r="G670" s="3"/>
      <c r="H670" s="96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117"/>
      <c r="F671" s="3"/>
      <c r="G671" s="3"/>
      <c r="H671" s="96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117"/>
      <c r="F672" s="3"/>
      <c r="G672" s="3"/>
      <c r="H672" s="96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117"/>
      <c r="F673" s="3"/>
      <c r="G673" s="3"/>
      <c r="H673" s="96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117"/>
      <c r="F674" s="3"/>
      <c r="G674" s="3"/>
      <c r="H674" s="96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117"/>
      <c r="F675" s="3"/>
      <c r="G675" s="3"/>
      <c r="H675" s="96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117"/>
      <c r="F676" s="3"/>
      <c r="G676" s="3"/>
      <c r="H676" s="96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117"/>
      <c r="F677" s="3"/>
      <c r="G677" s="3"/>
      <c r="H677" s="96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117"/>
      <c r="F678" s="3"/>
      <c r="G678" s="3"/>
      <c r="H678" s="96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117"/>
      <c r="F679" s="3"/>
      <c r="G679" s="3"/>
      <c r="H679" s="96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117"/>
      <c r="F680" s="3"/>
      <c r="G680" s="3"/>
      <c r="H680" s="96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117"/>
      <c r="F681" s="3"/>
      <c r="G681" s="3"/>
      <c r="H681" s="96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117"/>
      <c r="F682" s="3"/>
      <c r="G682" s="3"/>
      <c r="H682" s="96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117"/>
      <c r="F683" s="3"/>
      <c r="G683" s="3"/>
      <c r="H683" s="96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117"/>
      <c r="F684" s="3"/>
      <c r="G684" s="3"/>
      <c r="H684" s="96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117"/>
      <c r="F685" s="3"/>
      <c r="G685" s="3"/>
      <c r="H685" s="96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117"/>
      <c r="F686" s="3"/>
      <c r="G686" s="3"/>
      <c r="H686" s="96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117"/>
      <c r="F687" s="3"/>
      <c r="G687" s="3"/>
      <c r="H687" s="96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117"/>
      <c r="F688" s="3"/>
      <c r="G688" s="3"/>
      <c r="H688" s="96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117"/>
      <c r="F689" s="3"/>
      <c r="G689" s="3"/>
      <c r="H689" s="96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117"/>
      <c r="F690" s="3"/>
      <c r="G690" s="3"/>
      <c r="H690" s="96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117"/>
      <c r="F691" s="3"/>
      <c r="G691" s="3"/>
      <c r="H691" s="96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117"/>
      <c r="F692" s="3"/>
      <c r="G692" s="3"/>
      <c r="H692" s="96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117"/>
      <c r="F693" s="3"/>
      <c r="G693" s="3"/>
      <c r="H693" s="96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117"/>
      <c r="F694" s="3"/>
      <c r="G694" s="3"/>
      <c r="H694" s="96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117"/>
      <c r="F695" s="3"/>
      <c r="G695" s="3"/>
      <c r="H695" s="96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117"/>
      <c r="F696" s="3"/>
      <c r="G696" s="3"/>
      <c r="H696" s="96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117"/>
      <c r="F697" s="3"/>
      <c r="G697" s="3"/>
      <c r="H697" s="96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117"/>
      <c r="F698" s="3"/>
      <c r="G698" s="3"/>
      <c r="H698" s="96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117"/>
      <c r="F699" s="3"/>
      <c r="G699" s="3"/>
      <c r="H699" s="96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117"/>
      <c r="F700" s="3"/>
      <c r="G700" s="3"/>
      <c r="H700" s="96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117"/>
      <c r="F701" s="3"/>
      <c r="G701" s="3"/>
      <c r="H701" s="96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117"/>
      <c r="F702" s="3"/>
      <c r="G702" s="3"/>
      <c r="H702" s="96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117"/>
      <c r="F703" s="3"/>
      <c r="G703" s="3"/>
      <c r="H703" s="96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117"/>
      <c r="F704" s="3"/>
      <c r="G704" s="3"/>
      <c r="H704" s="96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117"/>
      <c r="F705" s="3"/>
      <c r="G705" s="3"/>
      <c r="H705" s="96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117"/>
      <c r="F706" s="3"/>
      <c r="G706" s="3"/>
      <c r="H706" s="96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117"/>
      <c r="F707" s="3"/>
      <c r="G707" s="3"/>
      <c r="H707" s="96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117"/>
      <c r="F708" s="3"/>
      <c r="G708" s="3"/>
      <c r="H708" s="96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117"/>
      <c r="F709" s="3"/>
      <c r="G709" s="3"/>
      <c r="H709" s="96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117"/>
      <c r="F710" s="3"/>
      <c r="G710" s="3"/>
      <c r="H710" s="96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117"/>
      <c r="F711" s="3"/>
      <c r="G711" s="3"/>
      <c r="H711" s="96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117"/>
      <c r="F712" s="3"/>
      <c r="G712" s="3"/>
      <c r="H712" s="96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117"/>
      <c r="F713" s="3"/>
      <c r="G713" s="3"/>
      <c r="H713" s="96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117"/>
      <c r="F714" s="3"/>
      <c r="G714" s="3"/>
      <c r="H714" s="96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117"/>
      <c r="F715" s="3"/>
      <c r="G715" s="3"/>
      <c r="H715" s="96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117"/>
      <c r="F716" s="3"/>
      <c r="G716" s="3"/>
      <c r="H716" s="96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117"/>
      <c r="F717" s="3"/>
      <c r="G717" s="3"/>
      <c r="H717" s="96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117"/>
      <c r="F718" s="3"/>
      <c r="G718" s="3"/>
      <c r="H718" s="96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117"/>
      <c r="F719" s="3"/>
      <c r="G719" s="3"/>
      <c r="H719" s="96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117"/>
      <c r="F720" s="3"/>
      <c r="G720" s="3"/>
      <c r="H720" s="96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117"/>
      <c r="F721" s="3"/>
      <c r="G721" s="3"/>
      <c r="H721" s="96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117"/>
      <c r="F722" s="3"/>
      <c r="G722" s="3"/>
      <c r="H722" s="96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117"/>
      <c r="F723" s="3"/>
      <c r="G723" s="3"/>
      <c r="H723" s="96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117"/>
      <c r="F724" s="3"/>
      <c r="G724" s="3"/>
      <c r="H724" s="96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117"/>
      <c r="F725" s="3"/>
      <c r="G725" s="3"/>
      <c r="H725" s="96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117"/>
      <c r="F726" s="3"/>
      <c r="G726" s="3"/>
      <c r="H726" s="96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117"/>
      <c r="F727" s="3"/>
      <c r="G727" s="3"/>
      <c r="H727" s="96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117"/>
      <c r="F728" s="3"/>
      <c r="G728" s="3"/>
      <c r="H728" s="96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117"/>
      <c r="F729" s="3"/>
      <c r="G729" s="3"/>
      <c r="H729" s="96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117"/>
      <c r="F730" s="3"/>
      <c r="G730" s="3"/>
      <c r="H730" s="96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117"/>
      <c r="F731" s="3"/>
      <c r="G731" s="3"/>
      <c r="H731" s="96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117"/>
      <c r="F732" s="3"/>
      <c r="G732" s="3"/>
      <c r="H732" s="96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117"/>
      <c r="F733" s="3"/>
      <c r="G733" s="3"/>
      <c r="H733" s="96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117"/>
      <c r="F734" s="3"/>
      <c r="G734" s="3"/>
      <c r="H734" s="96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117"/>
      <c r="F735" s="3"/>
      <c r="G735" s="3"/>
      <c r="H735" s="96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117"/>
      <c r="F736" s="3"/>
      <c r="G736" s="3"/>
      <c r="H736" s="96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117"/>
      <c r="F737" s="3"/>
      <c r="G737" s="3"/>
      <c r="H737" s="96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117"/>
      <c r="F738" s="3"/>
      <c r="G738" s="3"/>
      <c r="H738" s="96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117"/>
      <c r="F739" s="3"/>
      <c r="G739" s="3"/>
      <c r="H739" s="96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117"/>
      <c r="F740" s="3"/>
      <c r="G740" s="3"/>
      <c r="H740" s="96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117"/>
      <c r="F741" s="3"/>
      <c r="G741" s="3"/>
      <c r="H741" s="96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117"/>
      <c r="F742" s="3"/>
      <c r="G742" s="3"/>
      <c r="H742" s="96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117"/>
      <c r="F743" s="3"/>
      <c r="G743" s="3"/>
      <c r="H743" s="96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117"/>
      <c r="F744" s="3"/>
      <c r="G744" s="3"/>
      <c r="H744" s="96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117"/>
      <c r="F745" s="3"/>
      <c r="G745" s="3"/>
      <c r="H745" s="96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117"/>
      <c r="F746" s="3"/>
      <c r="G746" s="3"/>
      <c r="H746" s="96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117"/>
      <c r="F747" s="3"/>
      <c r="G747" s="3"/>
      <c r="H747" s="96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117"/>
      <c r="F748" s="3"/>
      <c r="G748" s="3"/>
      <c r="H748" s="96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117"/>
      <c r="F749" s="3"/>
      <c r="G749" s="3"/>
      <c r="H749" s="96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117"/>
      <c r="F750" s="3"/>
      <c r="G750" s="3"/>
      <c r="H750" s="96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117"/>
      <c r="F751" s="3"/>
      <c r="G751" s="3"/>
      <c r="H751" s="96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117"/>
      <c r="F752" s="3"/>
      <c r="G752" s="3"/>
      <c r="H752" s="96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117"/>
      <c r="F753" s="3"/>
      <c r="G753" s="3"/>
      <c r="H753" s="96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117"/>
      <c r="F754" s="3"/>
      <c r="G754" s="3"/>
      <c r="H754" s="96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117"/>
      <c r="F755" s="3"/>
      <c r="G755" s="3"/>
      <c r="H755" s="96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117"/>
      <c r="F756" s="3"/>
      <c r="G756" s="3"/>
      <c r="H756" s="96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117"/>
      <c r="F757" s="3"/>
      <c r="G757" s="3"/>
      <c r="H757" s="96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117"/>
      <c r="F758" s="3"/>
      <c r="G758" s="3"/>
      <c r="H758" s="96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117"/>
      <c r="F759" s="3"/>
      <c r="G759" s="3"/>
      <c r="H759" s="96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117"/>
      <c r="F760" s="3"/>
      <c r="G760" s="3"/>
      <c r="H760" s="96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117"/>
      <c r="F761" s="3"/>
      <c r="G761" s="3"/>
      <c r="H761" s="96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117"/>
      <c r="F762" s="3"/>
      <c r="G762" s="3"/>
      <c r="H762" s="96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117"/>
      <c r="F763" s="3"/>
      <c r="G763" s="3"/>
      <c r="H763" s="96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117"/>
      <c r="F764" s="3"/>
      <c r="G764" s="3"/>
      <c r="H764" s="96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117"/>
      <c r="F765" s="3"/>
      <c r="G765" s="3"/>
      <c r="H765" s="96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117"/>
      <c r="F766" s="3"/>
      <c r="G766" s="3"/>
      <c r="H766" s="96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117"/>
      <c r="F767" s="3"/>
      <c r="G767" s="3"/>
      <c r="H767" s="96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117"/>
      <c r="F768" s="3"/>
      <c r="G768" s="3"/>
      <c r="H768" s="96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117"/>
      <c r="F769" s="3"/>
      <c r="G769" s="3"/>
      <c r="H769" s="96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117"/>
      <c r="F770" s="3"/>
      <c r="G770" s="3"/>
      <c r="H770" s="96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117"/>
      <c r="F771" s="3"/>
      <c r="G771" s="3"/>
      <c r="H771" s="96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117"/>
      <c r="F772" s="3"/>
      <c r="G772" s="3"/>
      <c r="H772" s="96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117"/>
      <c r="F773" s="3"/>
      <c r="G773" s="3"/>
      <c r="H773" s="96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117"/>
      <c r="F774" s="3"/>
      <c r="G774" s="3"/>
      <c r="H774" s="96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117"/>
      <c r="F775" s="3"/>
      <c r="G775" s="3"/>
      <c r="H775" s="96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117"/>
      <c r="F776" s="3"/>
      <c r="G776" s="3"/>
      <c r="H776" s="96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117"/>
      <c r="F777" s="3"/>
      <c r="G777" s="3"/>
      <c r="H777" s="96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117"/>
      <c r="F778" s="3"/>
      <c r="G778" s="3"/>
      <c r="H778" s="96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117"/>
      <c r="F779" s="3"/>
      <c r="G779" s="3"/>
      <c r="H779" s="96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117"/>
      <c r="F780" s="3"/>
      <c r="G780" s="3"/>
      <c r="H780" s="96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117"/>
      <c r="F781" s="3"/>
      <c r="G781" s="3"/>
      <c r="H781" s="96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117"/>
      <c r="F782" s="3"/>
      <c r="G782" s="3"/>
      <c r="H782" s="96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117"/>
      <c r="F783" s="3"/>
      <c r="G783" s="3"/>
      <c r="H783" s="96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117"/>
      <c r="F784" s="3"/>
      <c r="G784" s="3"/>
      <c r="H784" s="96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117"/>
      <c r="F785" s="3"/>
      <c r="G785" s="3"/>
      <c r="H785" s="96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117"/>
      <c r="F786" s="3"/>
      <c r="G786" s="3"/>
      <c r="H786" s="96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117"/>
      <c r="F787" s="3"/>
      <c r="G787" s="3"/>
      <c r="H787" s="96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117"/>
      <c r="F788" s="3"/>
      <c r="G788" s="3"/>
      <c r="H788" s="96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117"/>
      <c r="F789" s="3"/>
      <c r="G789" s="3"/>
      <c r="H789" s="96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117"/>
      <c r="F790" s="3"/>
      <c r="G790" s="3"/>
      <c r="H790" s="96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117"/>
      <c r="F791" s="3"/>
      <c r="G791" s="3"/>
      <c r="H791" s="96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117"/>
      <c r="F792" s="3"/>
      <c r="G792" s="3"/>
      <c r="H792" s="96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117"/>
      <c r="F793" s="3"/>
      <c r="G793" s="3"/>
      <c r="H793" s="96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117"/>
      <c r="F794" s="3"/>
      <c r="G794" s="3"/>
      <c r="H794" s="96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117"/>
      <c r="F795" s="3"/>
      <c r="G795" s="3"/>
      <c r="H795" s="96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117"/>
      <c r="F796" s="3"/>
      <c r="G796" s="3"/>
      <c r="H796" s="96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117"/>
      <c r="F797" s="3"/>
      <c r="G797" s="3"/>
      <c r="H797" s="96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117"/>
      <c r="F798" s="3"/>
      <c r="G798" s="3"/>
      <c r="H798" s="96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117"/>
      <c r="F799" s="3"/>
      <c r="G799" s="3"/>
      <c r="H799" s="96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117"/>
      <c r="F800" s="3"/>
      <c r="G800" s="3"/>
      <c r="H800" s="96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117"/>
      <c r="F801" s="3"/>
      <c r="G801" s="3"/>
      <c r="H801" s="96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117"/>
      <c r="F802" s="3"/>
      <c r="G802" s="3"/>
      <c r="H802" s="96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117"/>
      <c r="F803" s="3"/>
      <c r="G803" s="3"/>
      <c r="H803" s="96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117"/>
      <c r="F804" s="3"/>
      <c r="G804" s="3"/>
      <c r="H804" s="96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117"/>
      <c r="F805" s="3"/>
      <c r="G805" s="3"/>
      <c r="H805" s="96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117"/>
      <c r="F806" s="3"/>
      <c r="G806" s="3"/>
      <c r="H806" s="96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117"/>
      <c r="F807" s="3"/>
      <c r="G807" s="3"/>
      <c r="H807" s="96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117"/>
      <c r="F808" s="3"/>
      <c r="G808" s="3"/>
      <c r="H808" s="96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117"/>
      <c r="F809" s="3"/>
      <c r="G809" s="3"/>
      <c r="H809" s="96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117"/>
      <c r="F810" s="3"/>
      <c r="G810" s="3"/>
      <c r="H810" s="96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117"/>
      <c r="F811" s="3"/>
      <c r="G811" s="3"/>
      <c r="H811" s="96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117"/>
      <c r="F812" s="3"/>
      <c r="G812" s="3"/>
      <c r="H812" s="96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117"/>
      <c r="F813" s="3"/>
      <c r="G813" s="3"/>
      <c r="H813" s="96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117"/>
      <c r="F814" s="3"/>
      <c r="G814" s="3"/>
      <c r="H814" s="96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117"/>
      <c r="F815" s="3"/>
      <c r="G815" s="3"/>
      <c r="H815" s="96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117"/>
      <c r="F816" s="3"/>
      <c r="G816" s="3"/>
      <c r="H816" s="96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117"/>
      <c r="F817" s="3"/>
      <c r="G817" s="3"/>
      <c r="H817" s="96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117"/>
      <c r="F818" s="3"/>
      <c r="G818" s="3"/>
      <c r="H818" s="96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117"/>
      <c r="F819" s="3"/>
      <c r="G819" s="3"/>
      <c r="H819" s="96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117"/>
      <c r="F820" s="3"/>
      <c r="G820" s="3"/>
      <c r="H820" s="96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117"/>
      <c r="F821" s="3"/>
      <c r="G821" s="3"/>
      <c r="H821" s="96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117"/>
      <c r="F822" s="3"/>
      <c r="G822" s="3"/>
      <c r="H822" s="96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117"/>
      <c r="F823" s="3"/>
      <c r="G823" s="3"/>
      <c r="H823" s="96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117"/>
      <c r="F824" s="3"/>
      <c r="G824" s="3"/>
      <c r="H824" s="96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117"/>
      <c r="F825" s="3"/>
      <c r="G825" s="3"/>
      <c r="H825" s="96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117"/>
      <c r="F826" s="3"/>
      <c r="G826" s="3"/>
      <c r="H826" s="96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117"/>
      <c r="F827" s="3"/>
      <c r="G827" s="3"/>
      <c r="H827" s="96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117"/>
      <c r="F828" s="3"/>
      <c r="G828" s="3"/>
      <c r="H828" s="96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117"/>
      <c r="F829" s="3"/>
      <c r="G829" s="3"/>
      <c r="H829" s="96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117"/>
      <c r="F830" s="3"/>
      <c r="G830" s="3"/>
      <c r="H830" s="96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117"/>
      <c r="F831" s="3"/>
      <c r="G831" s="3"/>
      <c r="H831" s="96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117"/>
      <c r="F832" s="3"/>
      <c r="G832" s="3"/>
      <c r="H832" s="96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117"/>
      <c r="F833" s="3"/>
      <c r="G833" s="3"/>
      <c r="H833" s="96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117"/>
      <c r="F834" s="3"/>
      <c r="G834" s="3"/>
      <c r="H834" s="96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117"/>
      <c r="F835" s="3"/>
      <c r="G835" s="3"/>
      <c r="H835" s="96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117"/>
      <c r="F836" s="3"/>
      <c r="G836" s="3"/>
      <c r="H836" s="96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117"/>
      <c r="F837" s="3"/>
      <c r="G837" s="3"/>
      <c r="H837" s="96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117"/>
      <c r="F838" s="3"/>
      <c r="G838" s="3"/>
      <c r="H838" s="96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117"/>
      <c r="F839" s="3"/>
      <c r="G839" s="3"/>
      <c r="H839" s="96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117"/>
      <c r="F840" s="3"/>
      <c r="G840" s="3"/>
      <c r="H840" s="96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117"/>
      <c r="F841" s="3"/>
      <c r="G841" s="3"/>
      <c r="H841" s="96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117"/>
      <c r="F842" s="3"/>
      <c r="G842" s="3"/>
      <c r="H842" s="96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117"/>
      <c r="F843" s="3"/>
      <c r="G843" s="3"/>
      <c r="H843" s="96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117"/>
      <c r="F844" s="3"/>
      <c r="G844" s="3"/>
      <c r="H844" s="96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117"/>
      <c r="F845" s="3"/>
      <c r="G845" s="3"/>
      <c r="H845" s="96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117"/>
      <c r="F846" s="3"/>
      <c r="G846" s="3"/>
      <c r="H846" s="96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117"/>
      <c r="F847" s="3"/>
      <c r="G847" s="3"/>
      <c r="H847" s="96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117"/>
      <c r="F848" s="3"/>
      <c r="G848" s="3"/>
      <c r="H848" s="96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117"/>
      <c r="F849" s="3"/>
      <c r="G849" s="3"/>
      <c r="H849" s="96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117"/>
      <c r="F850" s="3"/>
      <c r="G850" s="3"/>
      <c r="H850" s="96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117"/>
      <c r="F851" s="3"/>
      <c r="G851" s="3"/>
      <c r="H851" s="96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117"/>
      <c r="F852" s="3"/>
      <c r="G852" s="3"/>
      <c r="H852" s="96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117"/>
      <c r="F853" s="3"/>
      <c r="G853" s="3"/>
      <c r="H853" s="96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117"/>
      <c r="F854" s="3"/>
      <c r="G854" s="3"/>
      <c r="H854" s="96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117"/>
      <c r="F855" s="3"/>
      <c r="G855" s="3"/>
      <c r="H855" s="96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117"/>
      <c r="F856" s="3"/>
      <c r="G856" s="3"/>
      <c r="H856" s="96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117"/>
      <c r="F857" s="3"/>
      <c r="G857" s="3"/>
      <c r="H857" s="96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117"/>
      <c r="F858" s="3"/>
      <c r="G858" s="3"/>
      <c r="H858" s="96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117"/>
      <c r="F859" s="3"/>
      <c r="G859" s="3"/>
      <c r="H859" s="96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117"/>
      <c r="F860" s="3"/>
      <c r="G860" s="3"/>
      <c r="H860" s="96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117"/>
      <c r="F861" s="3"/>
      <c r="G861" s="3"/>
      <c r="H861" s="96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117"/>
      <c r="F862" s="3"/>
      <c r="G862" s="3"/>
      <c r="H862" s="96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117"/>
      <c r="F863" s="3"/>
      <c r="G863" s="3"/>
      <c r="H863" s="96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117"/>
      <c r="F864" s="3"/>
      <c r="G864" s="3"/>
      <c r="H864" s="96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117"/>
      <c r="F865" s="3"/>
      <c r="G865" s="3"/>
      <c r="H865" s="96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117"/>
      <c r="F866" s="3"/>
      <c r="G866" s="3"/>
      <c r="H866" s="96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117"/>
      <c r="F867" s="3"/>
      <c r="G867" s="3"/>
      <c r="H867" s="96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117"/>
      <c r="F868" s="3"/>
      <c r="G868" s="3"/>
      <c r="H868" s="96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117"/>
      <c r="F869" s="3"/>
      <c r="G869" s="3"/>
      <c r="H869" s="96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117"/>
      <c r="F870" s="3"/>
      <c r="G870" s="3"/>
      <c r="H870" s="96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117"/>
      <c r="F871" s="3"/>
      <c r="G871" s="3"/>
      <c r="H871" s="96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117"/>
      <c r="F872" s="3"/>
      <c r="G872" s="3"/>
      <c r="H872" s="96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117"/>
      <c r="F873" s="3"/>
      <c r="G873" s="3"/>
      <c r="H873" s="96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117"/>
      <c r="F874" s="3"/>
      <c r="G874" s="3"/>
      <c r="H874" s="96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117"/>
      <c r="F875" s="3"/>
      <c r="G875" s="3"/>
      <c r="H875" s="96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117"/>
      <c r="F876" s="3"/>
      <c r="G876" s="3"/>
      <c r="H876" s="96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117"/>
      <c r="F877" s="3"/>
      <c r="G877" s="3"/>
      <c r="H877" s="96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117"/>
      <c r="F878" s="3"/>
      <c r="G878" s="3"/>
      <c r="H878" s="96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117"/>
      <c r="F879" s="3"/>
      <c r="G879" s="3"/>
      <c r="H879" s="96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117"/>
      <c r="F880" s="3"/>
      <c r="G880" s="3"/>
      <c r="H880" s="96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117"/>
      <c r="F881" s="3"/>
      <c r="G881" s="3"/>
      <c r="H881" s="96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117"/>
      <c r="F882" s="3"/>
      <c r="G882" s="3"/>
      <c r="H882" s="96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117"/>
      <c r="F883" s="3"/>
      <c r="G883" s="3"/>
      <c r="H883" s="96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117"/>
      <c r="F884" s="3"/>
      <c r="G884" s="3"/>
      <c r="H884" s="96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117"/>
      <c r="F885" s="3"/>
      <c r="G885" s="3"/>
      <c r="H885" s="96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117"/>
      <c r="F886" s="3"/>
      <c r="G886" s="3"/>
      <c r="H886" s="96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117"/>
      <c r="F887" s="3"/>
      <c r="G887" s="3"/>
      <c r="H887" s="96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117"/>
      <c r="F888" s="3"/>
      <c r="G888" s="3"/>
      <c r="H888" s="96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117"/>
      <c r="F889" s="3"/>
      <c r="G889" s="3"/>
      <c r="H889" s="96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117"/>
      <c r="F890" s="3"/>
      <c r="G890" s="3"/>
      <c r="H890" s="96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117"/>
      <c r="F891" s="3"/>
      <c r="G891" s="3"/>
      <c r="H891" s="96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117"/>
      <c r="F892" s="3"/>
      <c r="G892" s="3"/>
      <c r="H892" s="96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117"/>
      <c r="F893" s="3"/>
      <c r="G893" s="3"/>
      <c r="H893" s="96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117"/>
      <c r="F894" s="3"/>
      <c r="G894" s="3"/>
      <c r="H894" s="96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117"/>
      <c r="F895" s="3"/>
      <c r="G895" s="3"/>
      <c r="H895" s="96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117"/>
      <c r="F896" s="3"/>
      <c r="G896" s="3"/>
      <c r="H896" s="96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117"/>
      <c r="F897" s="3"/>
      <c r="G897" s="3"/>
      <c r="H897" s="96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117"/>
      <c r="F898" s="3"/>
      <c r="G898" s="3"/>
      <c r="H898" s="96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117"/>
      <c r="F899" s="3"/>
      <c r="G899" s="3"/>
      <c r="H899" s="96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117"/>
      <c r="F900" s="3"/>
      <c r="G900" s="3"/>
      <c r="H900" s="96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117"/>
      <c r="F901" s="3"/>
      <c r="G901" s="3"/>
      <c r="H901" s="96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117"/>
      <c r="F902" s="3"/>
      <c r="G902" s="3"/>
      <c r="H902" s="96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117"/>
      <c r="F903" s="3"/>
      <c r="G903" s="3"/>
      <c r="H903" s="96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117"/>
      <c r="F904" s="3"/>
      <c r="G904" s="3"/>
      <c r="H904" s="96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117"/>
      <c r="F905" s="3"/>
      <c r="G905" s="3"/>
      <c r="H905" s="96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117"/>
      <c r="F906" s="3"/>
      <c r="G906" s="3"/>
      <c r="H906" s="96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117"/>
      <c r="F907" s="3"/>
      <c r="G907" s="3"/>
      <c r="H907" s="96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117"/>
      <c r="F908" s="3"/>
      <c r="G908" s="3"/>
      <c r="H908" s="96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117"/>
      <c r="F909" s="3"/>
      <c r="G909" s="3"/>
      <c r="H909" s="96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117"/>
      <c r="F910" s="3"/>
      <c r="G910" s="3"/>
      <c r="H910" s="96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117"/>
      <c r="F911" s="3"/>
      <c r="G911" s="3"/>
      <c r="H911" s="96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117"/>
      <c r="F912" s="3"/>
      <c r="G912" s="3"/>
      <c r="H912" s="96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117"/>
      <c r="F913" s="3"/>
      <c r="G913" s="3"/>
      <c r="H913" s="96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117"/>
      <c r="F914" s="3"/>
      <c r="G914" s="3"/>
      <c r="H914" s="96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117"/>
      <c r="F915" s="3"/>
      <c r="G915" s="3"/>
      <c r="H915" s="96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117"/>
      <c r="F916" s="3"/>
      <c r="G916" s="3"/>
      <c r="H916" s="96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117"/>
      <c r="F917" s="3"/>
      <c r="G917" s="3"/>
      <c r="H917" s="96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117"/>
      <c r="F918" s="3"/>
      <c r="G918" s="3"/>
      <c r="H918" s="96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117"/>
      <c r="F919" s="3"/>
      <c r="G919" s="3"/>
      <c r="H919" s="96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117"/>
      <c r="F920" s="3"/>
      <c r="G920" s="3"/>
      <c r="H920" s="96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117"/>
      <c r="F921" s="3"/>
      <c r="G921" s="3"/>
      <c r="H921" s="96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117"/>
      <c r="F922" s="3"/>
      <c r="G922" s="3"/>
      <c r="H922" s="96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117"/>
      <c r="F923" s="3"/>
      <c r="G923" s="3"/>
      <c r="H923" s="96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117"/>
      <c r="F924" s="3"/>
      <c r="G924" s="3"/>
      <c r="H924" s="96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117"/>
      <c r="F925" s="3"/>
      <c r="G925" s="3"/>
      <c r="H925" s="96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117"/>
      <c r="F926" s="3"/>
      <c r="G926" s="3"/>
      <c r="H926" s="96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117"/>
      <c r="F927" s="3"/>
      <c r="G927" s="3"/>
      <c r="H927" s="96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117"/>
      <c r="F928" s="3"/>
      <c r="G928" s="3"/>
      <c r="H928" s="96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117"/>
      <c r="F929" s="3"/>
      <c r="G929" s="3"/>
      <c r="H929" s="96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117"/>
      <c r="F930" s="3"/>
      <c r="G930" s="3"/>
      <c r="H930" s="96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117"/>
      <c r="F931" s="3"/>
      <c r="G931" s="3"/>
      <c r="H931" s="96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117"/>
      <c r="F932" s="3"/>
      <c r="G932" s="3"/>
      <c r="H932" s="96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117"/>
      <c r="F933" s="3"/>
      <c r="G933" s="3"/>
      <c r="H933" s="96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117"/>
      <c r="F934" s="3"/>
      <c r="G934" s="3"/>
      <c r="H934" s="96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117"/>
      <c r="F935" s="3"/>
      <c r="G935" s="3"/>
      <c r="H935" s="96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117"/>
      <c r="F936" s="3"/>
      <c r="G936" s="3"/>
      <c r="H936" s="96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117"/>
      <c r="F937" s="3"/>
      <c r="G937" s="3"/>
      <c r="H937" s="96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117"/>
      <c r="F938" s="3"/>
      <c r="G938" s="3"/>
      <c r="H938" s="96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117"/>
      <c r="F939" s="3"/>
      <c r="G939" s="3"/>
      <c r="H939" s="96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117"/>
      <c r="F940" s="3"/>
      <c r="G940" s="3"/>
      <c r="H940" s="96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117"/>
      <c r="F941" s="3"/>
      <c r="G941" s="3"/>
      <c r="H941" s="96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117"/>
      <c r="F942" s="3"/>
      <c r="G942" s="3"/>
      <c r="H942" s="96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117"/>
      <c r="F943" s="3"/>
      <c r="G943" s="3"/>
      <c r="H943" s="96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117"/>
      <c r="F944" s="3"/>
      <c r="G944" s="3"/>
      <c r="H944" s="96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117"/>
      <c r="F945" s="3"/>
      <c r="G945" s="3"/>
      <c r="H945" s="96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117"/>
      <c r="F946" s="3"/>
      <c r="G946" s="3"/>
      <c r="H946" s="96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117"/>
      <c r="F947" s="3"/>
      <c r="G947" s="3"/>
      <c r="H947" s="96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117"/>
      <c r="F948" s="3"/>
      <c r="G948" s="3"/>
      <c r="H948" s="96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117"/>
      <c r="F949" s="3"/>
      <c r="G949" s="3"/>
      <c r="H949" s="96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117"/>
      <c r="F950" s="3"/>
      <c r="G950" s="3"/>
      <c r="H950" s="96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117"/>
      <c r="F951" s="3"/>
      <c r="G951" s="3"/>
      <c r="H951" s="96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117"/>
      <c r="F952" s="3"/>
      <c r="G952" s="3"/>
      <c r="H952" s="96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117"/>
      <c r="F953" s="3"/>
      <c r="G953" s="3"/>
      <c r="H953" s="96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117"/>
      <c r="F954" s="3"/>
      <c r="G954" s="3"/>
      <c r="H954" s="96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117"/>
      <c r="F955" s="3"/>
      <c r="G955" s="3"/>
      <c r="H955" s="96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117"/>
      <c r="F956" s="3"/>
      <c r="G956" s="3"/>
      <c r="H956" s="96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117"/>
      <c r="F957" s="3"/>
      <c r="G957" s="3"/>
      <c r="H957" s="96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117"/>
      <c r="F958" s="3"/>
      <c r="G958" s="3"/>
      <c r="H958" s="96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117"/>
      <c r="F959" s="3"/>
      <c r="G959" s="3"/>
      <c r="H959" s="96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117"/>
      <c r="F960" s="3"/>
      <c r="G960" s="3"/>
      <c r="H960" s="96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117"/>
      <c r="F961" s="3"/>
      <c r="G961" s="3"/>
      <c r="H961" s="96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117"/>
      <c r="F962" s="3"/>
      <c r="G962" s="3"/>
      <c r="H962" s="96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117"/>
      <c r="F963" s="3"/>
      <c r="G963" s="3"/>
      <c r="H963" s="96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117"/>
      <c r="F964" s="3"/>
      <c r="G964" s="3"/>
      <c r="H964" s="96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117"/>
      <c r="F965" s="3"/>
      <c r="G965" s="3"/>
      <c r="H965" s="96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117"/>
      <c r="F966" s="3"/>
      <c r="G966" s="3"/>
      <c r="H966" s="96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117"/>
      <c r="F967" s="3"/>
      <c r="G967" s="3"/>
      <c r="H967" s="96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117"/>
      <c r="F968" s="3"/>
      <c r="G968" s="3"/>
      <c r="H968" s="96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117"/>
      <c r="F969" s="3"/>
      <c r="G969" s="3"/>
      <c r="H969" s="96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117"/>
      <c r="F970" s="3"/>
      <c r="G970" s="3"/>
      <c r="H970" s="96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117"/>
      <c r="F971" s="3"/>
      <c r="G971" s="3"/>
      <c r="H971" s="96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117"/>
      <c r="F972" s="3"/>
      <c r="G972" s="3"/>
      <c r="H972" s="96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117"/>
      <c r="F973" s="3"/>
      <c r="G973" s="3"/>
      <c r="H973" s="96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117"/>
      <c r="F974" s="3"/>
      <c r="G974" s="3"/>
      <c r="H974" s="96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117"/>
      <c r="F975" s="3"/>
      <c r="G975" s="3"/>
      <c r="H975" s="96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117"/>
      <c r="F976" s="3"/>
      <c r="G976" s="3"/>
      <c r="H976" s="96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117"/>
      <c r="F977" s="3"/>
      <c r="G977" s="3"/>
      <c r="H977" s="96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117"/>
      <c r="F978" s="3"/>
      <c r="G978" s="3"/>
      <c r="H978" s="96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117"/>
      <c r="F979" s="3"/>
      <c r="G979" s="3"/>
      <c r="H979" s="96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117"/>
      <c r="F980" s="3"/>
      <c r="G980" s="3"/>
      <c r="H980" s="96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117"/>
      <c r="F981" s="3"/>
      <c r="G981" s="3"/>
      <c r="H981" s="96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117"/>
      <c r="F982" s="3"/>
      <c r="G982" s="3"/>
      <c r="H982" s="96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117"/>
      <c r="F983" s="3"/>
      <c r="G983" s="3"/>
      <c r="H983" s="96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117"/>
      <c r="F984" s="3"/>
      <c r="G984" s="3"/>
      <c r="H984" s="96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117"/>
      <c r="F985" s="3"/>
      <c r="G985" s="3"/>
      <c r="H985" s="96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117"/>
      <c r="F986" s="3"/>
      <c r="G986" s="3"/>
      <c r="H986" s="96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117"/>
      <c r="F987" s="3"/>
      <c r="G987" s="3"/>
      <c r="H987" s="96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117"/>
      <c r="F988" s="3"/>
      <c r="G988" s="3"/>
      <c r="H988" s="96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117"/>
      <c r="F989" s="3"/>
      <c r="G989" s="3"/>
      <c r="H989" s="96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117"/>
      <c r="F990" s="3"/>
      <c r="G990" s="3"/>
      <c r="H990" s="96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117"/>
      <c r="F991" s="3"/>
      <c r="G991" s="3"/>
      <c r="H991" s="96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117"/>
      <c r="F992" s="3"/>
      <c r="G992" s="3"/>
      <c r="H992" s="96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117"/>
      <c r="F993" s="3"/>
      <c r="G993" s="3"/>
      <c r="H993" s="96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117"/>
      <c r="F994" s="3"/>
      <c r="G994" s="3"/>
      <c r="H994" s="96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117"/>
      <c r="F995" s="3"/>
      <c r="G995" s="3"/>
      <c r="H995" s="96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117"/>
      <c r="F996" s="3"/>
      <c r="G996" s="3"/>
      <c r="H996" s="96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117"/>
      <c r="F997" s="3"/>
      <c r="G997" s="3"/>
      <c r="H997" s="96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117"/>
      <c r="F998" s="3"/>
      <c r="G998" s="3"/>
      <c r="H998" s="96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117"/>
      <c r="F999" s="3"/>
      <c r="G999" s="3"/>
      <c r="H999" s="96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117"/>
      <c r="F1000" s="3"/>
      <c r="G1000" s="3"/>
      <c r="H1000" s="96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1">
    <mergeCell ref="A8:A11"/>
    <mergeCell ref="A6:C6"/>
    <mergeCell ref="C26:C27"/>
    <mergeCell ref="C24:C25"/>
    <mergeCell ref="A30:A32"/>
    <mergeCell ref="B26:B27"/>
    <mergeCell ref="B24:B25"/>
    <mergeCell ref="A15:A16"/>
    <mergeCell ref="A19:A27"/>
    <mergeCell ref="A17:A18"/>
    <mergeCell ref="B15:B16"/>
    <mergeCell ref="B17:B18"/>
    <mergeCell ref="C19:C20"/>
    <mergeCell ref="C17:C18"/>
    <mergeCell ref="B8:B11"/>
    <mergeCell ref="C12:C14"/>
    <mergeCell ref="B12:B14"/>
    <mergeCell ref="A12:A14"/>
    <mergeCell ref="C22:C23"/>
    <mergeCell ref="B22:B23"/>
    <mergeCell ref="B19:B20"/>
    <mergeCell ref="F6:G6"/>
    <mergeCell ref="H6:H7"/>
    <mergeCell ref="C8:C11"/>
    <mergeCell ref="I6:M6"/>
    <mergeCell ref="D6:D7"/>
    <mergeCell ref="E6:E7"/>
    <mergeCell ref="A1:M1"/>
    <mergeCell ref="A2:M2"/>
    <mergeCell ref="A3:M3"/>
    <mergeCell ref="H8:H11"/>
  </mergeCells>
  <printOptions/>
  <pageMargins bottom="0.75" footer="0.0" header="0.0" left="0.7" right="0.7" top="0.75"/>
  <pageSetup orientation="landscape"/>
  <drawing r:id="rId2"/>
  <legacyDrawing r:id="rId3"/>
</worksheet>
</file>