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_i\Desktop\Lab Files\lock-in\"/>
    </mc:Choice>
  </mc:AlternateContent>
  <xr:revisionPtr revIDLastSave="0" documentId="13_ncr:1_{5A2F2E8C-F2EF-4361-BBB1-7B0DBCAB0D90}" xr6:coauthVersionLast="45" xr6:coauthVersionMax="45" xr10:uidLastSave="{00000000-0000-0000-0000-000000000000}"/>
  <bookViews>
    <workbookView xWindow="-108" yWindow="-108" windowWidth="23256" windowHeight="12576" activeTab="3" xr2:uid="{5A74241D-8FD1-46F7-9192-FFA114A4EE7D}"/>
  </bookViews>
  <sheets>
    <sheet name="amplitude(old)" sheetId="1" r:id="rId1"/>
    <sheet name="lockin(old)" sheetId="2" r:id="rId2"/>
    <sheet name="amplitude" sheetId="3" r:id="rId3"/>
    <sheet name="locki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6" i="3" l="1"/>
  <c r="F36" i="3" s="1"/>
  <c r="I36" i="4"/>
  <c r="F36" i="4" s="1"/>
  <c r="J36" i="4"/>
  <c r="G36" i="4" s="1"/>
  <c r="J36" i="3"/>
  <c r="G36" i="3" s="1"/>
  <c r="J41" i="3"/>
  <c r="G41" i="3" s="1"/>
  <c r="J41" i="4"/>
  <c r="G41" i="4" s="1"/>
  <c r="I41" i="4"/>
  <c r="F41" i="4" s="1"/>
  <c r="I41" i="3"/>
  <c r="F41" i="3" s="1"/>
  <c r="I40" i="3"/>
  <c r="F40" i="3" s="1"/>
  <c r="I40" i="4"/>
  <c r="F40" i="4" s="1"/>
  <c r="J40" i="4"/>
  <c r="G40" i="4" s="1"/>
  <c r="J40" i="3"/>
  <c r="G40" i="3" s="1"/>
  <c r="J39" i="3"/>
  <c r="G39" i="3" s="1"/>
  <c r="J39" i="4"/>
  <c r="G39" i="4" s="1"/>
  <c r="B39" i="4" s="1"/>
  <c r="I39" i="3"/>
  <c r="F39" i="3" s="1"/>
  <c r="I38" i="4"/>
  <c r="F38" i="4" s="1"/>
  <c r="J38" i="4"/>
  <c r="G38" i="4"/>
  <c r="J38" i="3"/>
  <c r="G38" i="3" s="1"/>
  <c r="B38" i="3" s="1"/>
  <c r="J37" i="3"/>
  <c r="G37" i="3" s="1"/>
  <c r="B37" i="3" s="1"/>
  <c r="J37" i="4"/>
  <c r="G37" i="4" s="1"/>
  <c r="B37" i="4" s="1"/>
  <c r="J35" i="3"/>
  <c r="G35" i="3" s="1"/>
  <c r="J35" i="4"/>
  <c r="G35" i="4" s="1"/>
  <c r="B35" i="4" s="1"/>
  <c r="I35" i="3"/>
  <c r="F35" i="3" s="1"/>
  <c r="I34" i="4"/>
  <c r="F34" i="4" s="1"/>
  <c r="G34" i="4"/>
  <c r="J34" i="4"/>
  <c r="G34" i="3"/>
  <c r="B34" i="3" s="1"/>
  <c r="J34" i="3"/>
  <c r="G33" i="3"/>
  <c r="B33" i="3" s="1"/>
  <c r="J33" i="3"/>
  <c r="G33" i="4"/>
  <c r="B33" i="4" s="1"/>
  <c r="J33" i="4"/>
  <c r="G32" i="4"/>
  <c r="B32" i="4" s="1"/>
  <c r="J32" i="4"/>
  <c r="G32" i="3"/>
  <c r="B32" i="3" s="1"/>
  <c r="J32" i="3"/>
  <c r="G31" i="3"/>
  <c r="B31" i="3" s="1"/>
  <c r="J31" i="3"/>
  <c r="G31" i="4"/>
  <c r="B31" i="4" s="1"/>
  <c r="J31" i="4"/>
  <c r="G23" i="4"/>
  <c r="J23" i="4"/>
  <c r="G23" i="3"/>
  <c r="J23" i="3"/>
  <c r="F23" i="3"/>
  <c r="F23" i="4"/>
  <c r="I23" i="4"/>
  <c r="I23" i="3"/>
  <c r="G22" i="4"/>
  <c r="J22" i="4"/>
  <c r="G22" i="3"/>
  <c r="B22" i="3" s="1"/>
  <c r="J22" i="3"/>
  <c r="I22" i="4"/>
  <c r="F22" i="4" s="1"/>
  <c r="G21" i="3"/>
  <c r="J21" i="3"/>
  <c r="G20" i="3"/>
  <c r="B20" i="3" s="1"/>
  <c r="J20" i="3"/>
  <c r="G20" i="4"/>
  <c r="B20" i="4" s="1"/>
  <c r="J20" i="4"/>
  <c r="G19" i="4"/>
  <c r="B19" i="4" s="1"/>
  <c r="J19" i="4"/>
  <c r="G19" i="3"/>
  <c r="J19" i="3"/>
  <c r="G18" i="3"/>
  <c r="B18" i="3" s="1"/>
  <c r="J18" i="3"/>
  <c r="B1" i="4"/>
  <c r="B15" i="4"/>
  <c r="B27" i="3"/>
  <c r="B26" i="3"/>
  <c r="B25" i="3"/>
  <c r="B24" i="3"/>
  <c r="B21" i="3"/>
  <c r="B19" i="3"/>
  <c r="B17" i="3"/>
  <c r="B27" i="4"/>
  <c r="B26" i="4"/>
  <c r="B25" i="4"/>
  <c r="B24" i="4"/>
  <c r="B21" i="4"/>
  <c r="B18" i="4"/>
  <c r="B17" i="4"/>
  <c r="B41" i="3" l="1"/>
  <c r="B41" i="4"/>
  <c r="B40" i="3"/>
  <c r="B40" i="4"/>
  <c r="B39" i="3"/>
  <c r="B38" i="4"/>
  <c r="B36" i="3"/>
  <c r="B36" i="4"/>
  <c r="B35" i="3"/>
  <c r="B34" i="4"/>
  <c r="B23" i="3"/>
  <c r="B23" i="4"/>
  <c r="B22" i="4"/>
  <c r="B4" i="3"/>
  <c r="B5" i="3"/>
  <c r="B6" i="3"/>
  <c r="B7" i="3"/>
  <c r="B8" i="3"/>
  <c r="B9" i="3"/>
  <c r="B10" i="3"/>
  <c r="B11" i="3"/>
  <c r="B12" i="3"/>
  <c r="B13" i="3"/>
  <c r="B4" i="4"/>
  <c r="B5" i="4"/>
  <c r="B6" i="4"/>
  <c r="B7" i="4"/>
  <c r="B8" i="4"/>
  <c r="B9" i="4"/>
  <c r="B10" i="4"/>
  <c r="B11" i="4"/>
  <c r="B12" i="4"/>
  <c r="B13" i="4"/>
  <c r="B3" i="4"/>
  <c r="B3" i="3"/>
  <c r="B27" i="1" l="1"/>
  <c r="B24" i="1"/>
  <c r="B25" i="1"/>
  <c r="B26" i="1"/>
  <c r="B28" i="1"/>
  <c r="B29" i="1"/>
  <c r="B23" i="1"/>
  <c r="B24" i="2"/>
  <c r="B25" i="2"/>
  <c r="B26" i="2"/>
  <c r="B27" i="2"/>
  <c r="B28" i="2"/>
  <c r="B29" i="2"/>
  <c r="B23" i="2"/>
  <c r="B19" i="2"/>
  <c r="B18" i="2"/>
  <c r="B17" i="2"/>
  <c r="B16" i="2"/>
  <c r="B15" i="2"/>
  <c r="B14" i="2"/>
  <c r="B13" i="2"/>
  <c r="B14" i="1"/>
  <c r="B15" i="1"/>
  <c r="B16" i="1"/>
  <c r="B17" i="1"/>
  <c r="B18" i="1"/>
  <c r="B19" i="1"/>
  <c r="B13" i="1"/>
  <c r="B1" i="1"/>
  <c r="B1" i="2"/>
  <c r="B9" i="2"/>
  <c r="B8" i="2"/>
  <c r="B7" i="2"/>
  <c r="B6" i="2"/>
  <c r="B5" i="2"/>
  <c r="B4" i="2"/>
  <c r="B3" i="2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<sst xmlns="http://schemas.openxmlformats.org/spreadsheetml/2006/main" count="94" uniqueCount="22">
  <si>
    <t>length</t>
  </si>
  <si>
    <t>Vsignal</t>
  </si>
  <si>
    <t>Vnoise</t>
  </si>
  <si>
    <t>snr</t>
  </si>
  <si>
    <t>length cm</t>
  </si>
  <si>
    <t>sig err</t>
  </si>
  <si>
    <t>noise err</t>
  </si>
  <si>
    <t>50hz</t>
  </si>
  <si>
    <t>50 hz</t>
  </si>
  <si>
    <t>5hz</t>
  </si>
  <si>
    <t>500hz</t>
  </si>
  <si>
    <t>yea this is going up now. We hit some kind of threshold or something</t>
  </si>
  <si>
    <t>low freq=bad, as we expected</t>
  </si>
  <si>
    <t>151.5hz</t>
  </si>
  <si>
    <t>yes 0cm cuz I got them closer</t>
  </si>
  <si>
    <t>plus minus .06</t>
  </si>
  <si>
    <t>plus minus 0.07</t>
  </si>
  <si>
    <t>plus minus 0.1</t>
  </si>
  <si>
    <t>gain of 10 here cuz it was too small to read</t>
  </si>
  <si>
    <t>gain of 1 elsewhere</t>
  </si>
  <si>
    <t>was also get difficult to read the data. Was jumping around a lot.</t>
  </si>
  <si>
    <t>yes i eyeballed at the next few points and it just want up to the noise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</si>
</sst>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'amplitude(old)'!$A$4:$A$9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'amplitude(old)'!$B$4:$B$9</c:f>
              <c:numCache>
                <c:formatCode>General</c:formatCode>
                <c:ptCount val="6"/>
                <c:pt idx="0">
                  <c:v>5.9249999999999998</c:v>
                </c:pt>
                <c:pt idx="1">
                  <c:v>2.285714285714286</c:v>
                </c:pt>
                <c:pt idx="2">
                  <c:v>0.91224489795918373</c:v>
                </c:pt>
                <c:pt idx="3">
                  <c:v>0.40816326530612246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0-4470-BD5C-8AC4112A17B4}"/>
            </c:ext>
          </c:extLst>
        </c:ser>
        <c:ser>
          <c:idx val="1"/>
          <c:order val="1"/>
          <c:tx>
            <c:v>hi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'lockin(old)'!$A$4:$A$9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'lockin(old)'!$B$4:$B$9</c:f>
              <c:numCache>
                <c:formatCode>General</c:formatCode>
                <c:ptCount val="6"/>
                <c:pt idx="0">
                  <c:v>6.0750000000000002</c:v>
                </c:pt>
                <c:pt idx="1">
                  <c:v>2.4489795918367347</c:v>
                </c:pt>
                <c:pt idx="2">
                  <c:v>1.0795918367346939</c:v>
                </c:pt>
                <c:pt idx="3">
                  <c:v>0.5775510204081632</c:v>
                </c:pt>
                <c:pt idx="4">
                  <c:v>0.40816326530612246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40-4470-BD5C-8AC4112A1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70872"/>
        <c:axId val="574371192"/>
      </c:scatterChart>
      <c:valAx>
        <c:axId val="57437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71192"/>
        <c:crosses val="autoZero"/>
        <c:crossBetween val="midCat"/>
      </c:valAx>
      <c:valAx>
        <c:axId val="57437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7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'amplitude(old)'!$A$13:$A$19</c:f>
              <c:numCache>
                <c:formatCode>General</c:formatCode>
                <c:ptCount val="7"/>
                <c:pt idx="0">
                  <c:v>0.03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'amplitude(old)'!$B$13:$B$19</c:f>
              <c:numCache>
                <c:formatCode>General</c:formatCode>
                <c:ptCount val="7"/>
                <c:pt idx="0">
                  <c:v>4.7703180212014145</c:v>
                </c:pt>
                <c:pt idx="1">
                  <c:v>2.5971731448763253</c:v>
                </c:pt>
                <c:pt idx="2">
                  <c:v>1.5873015873015874</c:v>
                </c:pt>
                <c:pt idx="3">
                  <c:v>0.81673881673881676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D-4080-B69C-215B25A1E3A8}"/>
            </c:ext>
          </c:extLst>
        </c:ser>
        <c:ser>
          <c:idx val="1"/>
          <c:order val="1"/>
          <c:tx>
            <c:v>lockin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'lockin(old)'!$A$13:$A$19</c:f>
              <c:numCache>
                <c:formatCode>General</c:formatCode>
                <c:ptCount val="7"/>
                <c:pt idx="0">
                  <c:v>0.03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'lockin(old)'!$B$13:$B$19</c:f>
              <c:numCache>
                <c:formatCode>General</c:formatCode>
                <c:ptCount val="7"/>
                <c:pt idx="0">
                  <c:v>5.7420494699646651</c:v>
                </c:pt>
                <c:pt idx="1">
                  <c:v>3.4982332155477036</c:v>
                </c:pt>
                <c:pt idx="2">
                  <c:v>2.896551724137931</c:v>
                </c:pt>
                <c:pt idx="3">
                  <c:v>1.3564213564213565</c:v>
                </c:pt>
                <c:pt idx="4">
                  <c:v>0.81673881673881676</c:v>
                </c:pt>
                <c:pt idx="5">
                  <c:v>0.57720057720057727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D-4080-B69C-215B25A1E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48792"/>
        <c:axId val="569350072"/>
      </c:scatterChart>
      <c:valAx>
        <c:axId val="56934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50072"/>
        <c:crosses val="autoZero"/>
        <c:crossBetween val="midCat"/>
      </c:valAx>
      <c:valAx>
        <c:axId val="56935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4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'amplitude(old)'!$A$23:$A$29</c:f>
              <c:numCache>
                <c:formatCode>General</c:formatCode>
                <c:ptCount val="7"/>
                <c:pt idx="0">
                  <c:v>0.03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'amplitude(old)'!$B$23:$B$29</c:f>
              <c:numCache>
                <c:formatCode>General</c:formatCode>
                <c:ptCount val="7"/>
                <c:pt idx="0">
                  <c:v>3.308080808080808</c:v>
                </c:pt>
                <c:pt idx="1">
                  <c:v>0.96834264432029793</c:v>
                </c:pt>
                <c:pt idx="2">
                  <c:v>0.3462897526501767</c:v>
                </c:pt>
                <c:pt idx="3">
                  <c:v>0.16267942583732056</c:v>
                </c:pt>
                <c:pt idx="4">
                  <c:v>9.3209876543209877E-2</c:v>
                </c:pt>
                <c:pt idx="5">
                  <c:v>6.2368815592203891E-2</c:v>
                </c:pt>
                <c:pt idx="6">
                  <c:v>4.0393343419062026E-2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6-4A5C-BAED-F267920E3271}"/>
            </c:ext>
          </c:extLst>
        </c:ser>
        <c:ser>
          <c:idx val="1"/>
          <c:order val="1"/>
          <c:tx>
            <c:v>lockin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'lockin(old)'!$A$23:$A$29</c:f>
              <c:numCache>
                <c:formatCode>General</c:formatCode>
                <c:ptCount val="7"/>
                <c:pt idx="0">
                  <c:v>0.03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'lockin(old)'!$B$23:$B$29</c:f>
              <c:numCache>
                <c:formatCode>General</c:formatCode>
                <c:ptCount val="7"/>
                <c:pt idx="0">
                  <c:v>3.308080808080808</c:v>
                </c:pt>
                <c:pt idx="1">
                  <c:v>1.042830540037244</c:v>
                </c:pt>
                <c:pt idx="2">
                  <c:v>0.31534569983136596</c:v>
                </c:pt>
                <c:pt idx="3">
                  <c:v>0.15588697017268446</c:v>
                </c:pt>
                <c:pt idx="4">
                  <c:v>9.0156249999999993E-2</c:v>
                </c:pt>
                <c:pt idx="5">
                  <c:v>6.3173652694610782E-2</c:v>
                </c:pt>
                <c:pt idx="6">
                  <c:v>4.114977307110438E-2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66-4A5C-BAED-F267920E3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71832"/>
        <c:axId val="574375352"/>
      </c:scatterChart>
      <c:valAx>
        <c:axId val="57437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75352"/>
        <c:crosses val="autoZero"/>
        <c:crossBetween val="midCat"/>
      </c:valAx>
      <c:valAx>
        <c:axId val="57437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7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amp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amplitude!$A$3:$A$13</c:f>
              <c:numCache>
                <c:formatCode>General</c:formatCode>
                <c:ptCount val="11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amplitude!$B$3:$B$13</c:f>
              <c:numCache>
                <c:formatCode>General</c:formatCode>
                <c:ptCount val="11"/>
                <c:pt idx="0">
                  <c:v>27.572815533980581</c:v>
                </c:pt>
                <c:pt idx="1">
                  <c:v>18.83495145631068</c:v>
                </c:pt>
                <c:pt idx="2">
                  <c:v>13.523809523809524</c:v>
                </c:pt>
                <c:pt idx="3">
                  <c:v>11.142857142857142</c:v>
                </c:pt>
                <c:pt idx="4">
                  <c:v>6.4857142857142867</c:v>
                </c:pt>
                <c:pt idx="5">
                  <c:v>3.6981132075471699</c:v>
                </c:pt>
                <c:pt idx="6">
                  <c:v>2.7476635514018692</c:v>
                </c:pt>
                <c:pt idx="7">
                  <c:v>1.1047619047619048</c:v>
                </c:pt>
                <c:pt idx="8">
                  <c:v>0.93203883495145634</c:v>
                </c:pt>
                <c:pt idx="9">
                  <c:v>0.54285714285714293</c:v>
                </c:pt>
                <c:pt idx="10">
                  <c:v>0.18095238095238095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5-4EEF-BDB5-8D0B74EF01D9}"/>
            </c:ext>
          </c:extLst>
        </c:ser>
        <c:ser>
          <c:idx val="1"/>
          <c:order val="1"/>
          <c:tx>
            <c:v>lockin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lockin!$A$3:$A$13</c:f>
              <c:numCache>
                <c:formatCode>General</c:formatCode>
                <c:ptCount val="11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lockin!$B$3:$B$13</c:f>
              <c:numCache>
                <c:formatCode>General</c:formatCode>
                <c:ptCount val="11"/>
                <c:pt idx="0">
                  <c:v>27.572815533980581</c:v>
                </c:pt>
                <c:pt idx="1">
                  <c:v>17.924528301886792</c:v>
                </c:pt>
                <c:pt idx="2">
                  <c:v>13.148148148148147</c:v>
                </c:pt>
                <c:pt idx="3">
                  <c:v>11.428571428571429</c:v>
                </c:pt>
                <c:pt idx="4">
                  <c:v>7.5471698113207557</c:v>
                </c:pt>
                <c:pt idx="5">
                  <c:v>6.5420560747663545</c:v>
                </c:pt>
                <c:pt idx="6">
                  <c:v>4.7476635514018692</c:v>
                </c:pt>
                <c:pt idx="7">
                  <c:v>4.1588785046728978</c:v>
                </c:pt>
                <c:pt idx="8">
                  <c:v>3.6057692307692308</c:v>
                </c:pt>
                <c:pt idx="9">
                  <c:v>2.1415094339622645</c:v>
                </c:pt>
                <c:pt idx="10">
                  <c:v>2.8773584905660377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95-4EEF-BDB5-8D0B74EF0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58616"/>
        <c:axId val="590254456"/>
      </c:scatterChart>
      <c:valAx>
        <c:axId val="59025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54456"/>
        <c:crosses val="autoZero"/>
        <c:crossBetween val="midCat"/>
      </c:valAx>
      <c:valAx>
        <c:axId val="59025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5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365760</xdr:colOff>
      <xdr:row>1</xdr:row>
      <xdr:rowOff>171450</xdr:rowOff>
    </xdr:from>
    <xdr:to>
      <xdr:col>19</xdr:col>
      <xdr:colOff>68580</xdr:colOff>
      <xdr:row>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E84304-C06B-451C-9725-6925819F4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26670</xdr:rowOff>
    </xdr:from>
    <xdr:to>
      <xdr:col>19</xdr:col>
      <xdr:colOff>411480</xdr:colOff>
      <xdr:row>14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F9739-3746-45FB-98C6-9C94CFEA2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22</xdr:row>
      <xdr:rowOff>49530</xdr:rowOff>
    </xdr:from>
    <xdr:to>
      <xdr:col>18</xdr:col>
      <xdr:colOff>541020</xdr:colOff>
      <xdr:row>27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4228B4-1E6E-4F0D-9BD7-E25093D42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3</xdr:row>
      <xdr:rowOff>125730</xdr:rowOff>
    </xdr:from>
    <xdr:to>
      <xdr:col>19</xdr:col>
      <xdr:colOff>121920</xdr:colOff>
      <xdr:row>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0C277-883C-413C-A13B-85DF899E6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40E8-F429-4AF5-86A9-11121103F5DB}">
  <dimension ref="A1:J29"/>
  <sheetViews>
    <sheetView workbookViewId="0">
      <selection activeCell="I4" sqref="I4"/>
    </sheetView>
  </sheetViews>
  <sheetFormatPr defaultRowHeight="14.4" x14ac:dyDescent="0.3"/>
  <sheetData>
    <row r="1" spans="1:10" x14ac:dyDescent="0.3">
      <c r="A1" t="s">
        <v>7</v>
      </c>
      <c r="B1">
        <f>+-1</f>
        <v>-1</v>
      </c>
    </row>
    <row r="2" spans="1:10" x14ac:dyDescent="0.3">
      <c r="A2" t="s">
        <v>4</v>
      </c>
      <c r="B2" t="s">
        <v>3</v>
      </c>
      <c r="F2" t="s">
        <v>1</v>
      </c>
      <c r="G2" t="s">
        <v>2</v>
      </c>
      <c r="I2" t="s">
        <v>5</v>
      </c>
      <c r="J2" t="s">
        <v>6</v>
      </c>
    </row>
    <row r="3" spans="1:10" x14ac:dyDescent="0.3">
      <c r="A3">
        <v>0.3</v>
      </c>
      <c r="B3">
        <f t="shared" ref="B3:B9" si="0">F3/G3</f>
        <v>3549.9999999999995</v>
      </c>
      <c r="F3">
        <v>3.55</v>
      </c>
      <c r="G3">
        <v>1E-3</v>
      </c>
      <c r="I3">
        <v>0.01</v>
      </c>
      <c r="J3">
        <v>1E-3</v>
      </c>
    </row>
    <row r="4" spans="1:10" x14ac:dyDescent="0.3">
      <c r="A4">
        <v>1</v>
      </c>
      <c r="B4">
        <f t="shared" si="0"/>
        <v>5.9249999999999998</v>
      </c>
      <c r="F4">
        <v>2.37</v>
      </c>
      <c r="G4">
        <v>0.4</v>
      </c>
      <c r="I4">
        <v>0.01</v>
      </c>
      <c r="J4">
        <v>0.05</v>
      </c>
    </row>
    <row r="5" spans="1:10" x14ac:dyDescent="0.3">
      <c r="A5">
        <v>2</v>
      </c>
      <c r="B5">
        <f t="shared" si="0"/>
        <v>2.285714285714286</v>
      </c>
      <c r="F5">
        <v>1.1200000000000001</v>
      </c>
      <c r="G5">
        <v>0.49</v>
      </c>
      <c r="I5">
        <v>0.01</v>
      </c>
      <c r="J5">
        <v>1E-4</v>
      </c>
    </row>
    <row r="6" spans="1:10" x14ac:dyDescent="0.3">
      <c r="A6">
        <v>3</v>
      </c>
      <c r="B6">
        <f t="shared" si="0"/>
        <v>0.91224489795918373</v>
      </c>
      <c r="F6">
        <v>0.44700000000000001</v>
      </c>
      <c r="G6">
        <v>0.49</v>
      </c>
      <c r="I6">
        <v>1E-4</v>
      </c>
      <c r="J6">
        <v>1E-4</v>
      </c>
    </row>
    <row r="7" spans="1:10" x14ac:dyDescent="0.3">
      <c r="A7">
        <v>4</v>
      </c>
      <c r="B7">
        <f t="shared" si="0"/>
        <v>0.40816326530612246</v>
      </c>
      <c r="F7">
        <v>0.2</v>
      </c>
      <c r="G7">
        <v>0.49</v>
      </c>
      <c r="I7">
        <v>1E-4</v>
      </c>
      <c r="J7">
        <v>1E-4</v>
      </c>
    </row>
    <row r="8" spans="1:10" x14ac:dyDescent="0.3">
      <c r="A8">
        <v>5</v>
      </c>
      <c r="B8">
        <f t="shared" si="0"/>
        <v>0</v>
      </c>
      <c r="F8">
        <v>0</v>
      </c>
      <c r="G8">
        <v>0.49</v>
      </c>
      <c r="I8">
        <v>1E-3</v>
      </c>
      <c r="J8">
        <v>1E-4</v>
      </c>
    </row>
    <row r="9" spans="1:10" x14ac:dyDescent="0.3">
      <c r="A9">
        <v>6</v>
      </c>
      <c r="B9">
        <f t="shared" si="0"/>
        <v>0</v>
      </c>
      <c r="F9">
        <v>0</v>
      </c>
      <c r="G9">
        <v>0.49</v>
      </c>
      <c r="I9">
        <v>1E-3</v>
      </c>
      <c r="J9">
        <v>1E-4</v>
      </c>
    </row>
    <row r="11" spans="1:10" x14ac:dyDescent="0.3">
      <c r="A11" t="s">
        <v>9</v>
      </c>
    </row>
    <row r="12" spans="1:10" x14ac:dyDescent="0.3">
      <c r="A12" t="s">
        <v>0</v>
      </c>
      <c r="B12" t="s">
        <v>3</v>
      </c>
      <c r="F12" t="s">
        <v>1</v>
      </c>
      <c r="G12" t="s">
        <v>2</v>
      </c>
      <c r="I12" t="s">
        <v>5</v>
      </c>
      <c r="J12" t="s">
        <v>6</v>
      </c>
    </row>
    <row r="13" spans="1:10" x14ac:dyDescent="0.3">
      <c r="A13">
        <v>0.03</v>
      </c>
      <c r="B13">
        <f>F13/G13</f>
        <v>4.7703180212014145</v>
      </c>
      <c r="F13">
        <v>2.7</v>
      </c>
      <c r="G13">
        <v>0.56599999999999995</v>
      </c>
      <c r="I13">
        <v>0.01</v>
      </c>
      <c r="J13">
        <v>1E-4</v>
      </c>
    </row>
    <row r="14" spans="1:10" x14ac:dyDescent="0.3">
      <c r="A14">
        <v>1</v>
      </c>
      <c r="B14">
        <f t="shared" ref="B14:B19" si="1">F14/G14</f>
        <v>2.5971731448763253</v>
      </c>
      <c r="F14">
        <v>1.47</v>
      </c>
      <c r="G14">
        <v>0.56599999999999995</v>
      </c>
      <c r="I14">
        <v>0.03</v>
      </c>
      <c r="J14">
        <v>1E-4</v>
      </c>
    </row>
    <row r="15" spans="1:10" x14ac:dyDescent="0.3">
      <c r="A15">
        <v>2</v>
      </c>
      <c r="B15">
        <f t="shared" si="1"/>
        <v>1.5873015873015874</v>
      </c>
      <c r="F15">
        <v>1.1000000000000001</v>
      </c>
      <c r="G15">
        <v>0.69299999999999995</v>
      </c>
      <c r="I15">
        <v>0.03</v>
      </c>
      <c r="J15">
        <v>1E-4</v>
      </c>
    </row>
    <row r="16" spans="1:10" x14ac:dyDescent="0.3">
      <c r="A16">
        <v>3</v>
      </c>
      <c r="B16">
        <f t="shared" si="1"/>
        <v>0.81673881673881676</v>
      </c>
      <c r="F16">
        <v>0.56599999999999995</v>
      </c>
      <c r="G16">
        <v>0.69299999999999995</v>
      </c>
      <c r="I16">
        <v>1E-4</v>
      </c>
      <c r="J16">
        <v>1E-4</v>
      </c>
    </row>
    <row r="17" spans="1:10" x14ac:dyDescent="0.3">
      <c r="A17">
        <v>4</v>
      </c>
      <c r="B17">
        <f t="shared" si="1"/>
        <v>0</v>
      </c>
      <c r="F17">
        <v>0</v>
      </c>
      <c r="G17">
        <v>0.69299999999999995</v>
      </c>
      <c r="I17">
        <v>1E-3</v>
      </c>
      <c r="J17">
        <v>1E-4</v>
      </c>
    </row>
    <row r="18" spans="1:10" x14ac:dyDescent="0.3">
      <c r="A18">
        <v>5</v>
      </c>
      <c r="B18">
        <f t="shared" si="1"/>
        <v>0</v>
      </c>
      <c r="F18">
        <v>0</v>
      </c>
      <c r="G18">
        <v>0.69299999999999995</v>
      </c>
      <c r="I18">
        <v>1E-3</v>
      </c>
      <c r="J18">
        <v>1E-4</v>
      </c>
    </row>
    <row r="19" spans="1:10" x14ac:dyDescent="0.3">
      <c r="A19">
        <v>6</v>
      </c>
      <c r="B19">
        <f t="shared" si="1"/>
        <v>0</v>
      </c>
      <c r="F19">
        <v>0</v>
      </c>
      <c r="G19">
        <v>0.69299999999999995</v>
      </c>
      <c r="I19">
        <v>1E-3</v>
      </c>
      <c r="J19">
        <v>1E-4</v>
      </c>
    </row>
    <row r="21" spans="1:10" x14ac:dyDescent="0.3">
      <c r="A21" t="s">
        <v>10</v>
      </c>
    </row>
    <row r="22" spans="1:10" x14ac:dyDescent="0.3">
      <c r="A22" t="s">
        <v>0</v>
      </c>
      <c r="B22" t="s">
        <v>3</v>
      </c>
      <c r="F22" t="s">
        <v>1</v>
      </c>
      <c r="G22" t="s">
        <v>2</v>
      </c>
      <c r="I22" t="s">
        <v>5</v>
      </c>
      <c r="J22" t="s">
        <v>6</v>
      </c>
    </row>
    <row r="23" spans="1:10" x14ac:dyDescent="0.3">
      <c r="A23">
        <v>0.03</v>
      </c>
      <c r="B23">
        <f>F23/G23</f>
        <v>3.308080808080808</v>
      </c>
      <c r="F23">
        <v>1.31</v>
      </c>
      <c r="G23">
        <v>0.39600000000000002</v>
      </c>
      <c r="I23">
        <v>0.01</v>
      </c>
      <c r="J23">
        <v>4.0000000000000001E-3</v>
      </c>
    </row>
    <row r="24" spans="1:10" x14ac:dyDescent="0.3">
      <c r="A24">
        <v>1</v>
      </c>
      <c r="B24">
        <f t="shared" ref="B24:B29" si="2">F24/G24</f>
        <v>0.96834264432029793</v>
      </c>
      <c r="F24">
        <v>0.52</v>
      </c>
      <c r="G24">
        <v>0.53700000000000003</v>
      </c>
      <c r="I24">
        <v>5.0000000000000001E-3</v>
      </c>
      <c r="J24">
        <v>5.0000000000000001E-3</v>
      </c>
    </row>
    <row r="25" spans="1:10" x14ac:dyDescent="0.3">
      <c r="A25">
        <v>2</v>
      </c>
      <c r="B25">
        <f t="shared" si="2"/>
        <v>0.3462897526501767</v>
      </c>
      <c r="F25">
        <v>0.19600000000000001</v>
      </c>
      <c r="G25">
        <v>0.56599999999999995</v>
      </c>
      <c r="I25">
        <v>1E-4</v>
      </c>
      <c r="J25">
        <v>0.01</v>
      </c>
    </row>
    <row r="26" spans="1:10" x14ac:dyDescent="0.3">
      <c r="A26">
        <v>3</v>
      </c>
      <c r="B26">
        <f t="shared" si="2"/>
        <v>0.16267942583732056</v>
      </c>
      <c r="F26">
        <v>0.10199999999999999</v>
      </c>
      <c r="G26">
        <v>0.627</v>
      </c>
      <c r="I26">
        <v>1E-3</v>
      </c>
      <c r="J26">
        <v>3.0000000000000001E-3</v>
      </c>
    </row>
    <row r="27" spans="1:10" x14ac:dyDescent="0.3">
      <c r="A27">
        <v>4</v>
      </c>
      <c r="B27">
        <f>F27/G27</f>
        <v>9.3209876543209877E-2</v>
      </c>
      <c r="F27">
        <v>6.0400000000000002E-2</v>
      </c>
      <c r="G27">
        <v>0.64800000000000002</v>
      </c>
      <c r="I27">
        <v>5.0000000000000001E-4</v>
      </c>
      <c r="J27">
        <v>1E-3</v>
      </c>
    </row>
    <row r="28" spans="1:10" x14ac:dyDescent="0.3">
      <c r="A28">
        <v>5</v>
      </c>
      <c r="B28">
        <f t="shared" si="2"/>
        <v>6.2368815592203891E-2</v>
      </c>
      <c r="F28">
        <v>4.1599999999999998E-2</v>
      </c>
      <c r="G28">
        <v>0.66700000000000004</v>
      </c>
      <c r="I28">
        <v>1E-3</v>
      </c>
      <c r="J28">
        <v>1E-3</v>
      </c>
    </row>
    <row r="29" spans="1:10" x14ac:dyDescent="0.3">
      <c r="A29">
        <v>6</v>
      </c>
      <c r="B29">
        <f t="shared" si="2"/>
        <v>4.0393343419062026E-2</v>
      </c>
      <c r="F29">
        <v>2.6700000000000002E-2</v>
      </c>
      <c r="G29">
        <v>0.66100000000000003</v>
      </c>
      <c r="I29">
        <v>2.9999999999999997E-4</v>
      </c>
      <c r="J29">
        <v>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D15EB-EB77-4EE4-AD02-DDAB20BFF6AD}">
  <dimension ref="A1:J29"/>
  <sheetViews>
    <sheetView workbookViewId="0">
      <selection activeCell="I4" sqref="I4"/>
    </sheetView>
  </sheetViews>
  <sheetFormatPr defaultRowHeight="14.4" x14ac:dyDescent="0.3"/>
  <sheetData>
    <row r="1" spans="1:10" x14ac:dyDescent="0.3">
      <c r="A1" t="s">
        <v>8</v>
      </c>
      <c r="B1">
        <f>+-1</f>
        <v>-1</v>
      </c>
    </row>
    <row r="2" spans="1:10" x14ac:dyDescent="0.3">
      <c r="A2" t="s">
        <v>4</v>
      </c>
      <c r="B2" t="s">
        <v>3</v>
      </c>
      <c r="F2" t="s">
        <v>1</v>
      </c>
      <c r="G2" t="s">
        <v>2</v>
      </c>
      <c r="I2" t="s">
        <v>5</v>
      </c>
      <c r="J2" t="s">
        <v>6</v>
      </c>
    </row>
    <row r="3" spans="1:10" x14ac:dyDescent="0.3">
      <c r="A3">
        <v>0.3</v>
      </c>
      <c r="B3">
        <f t="shared" ref="B3:B9" si="0">F3/G3</f>
        <v>3650</v>
      </c>
      <c r="F3">
        <v>3.65</v>
      </c>
      <c r="G3">
        <v>1E-3</v>
      </c>
      <c r="I3">
        <v>0.01</v>
      </c>
      <c r="J3">
        <v>1E-3</v>
      </c>
    </row>
    <row r="4" spans="1:10" x14ac:dyDescent="0.3">
      <c r="A4">
        <v>1</v>
      </c>
      <c r="B4">
        <f t="shared" si="0"/>
        <v>6.0750000000000002</v>
      </c>
      <c r="F4">
        <v>2.4300000000000002</v>
      </c>
      <c r="G4">
        <v>0.4</v>
      </c>
      <c r="I4">
        <v>0.01</v>
      </c>
      <c r="J4">
        <v>0.05</v>
      </c>
    </row>
    <row r="5" spans="1:10" x14ac:dyDescent="0.3">
      <c r="A5">
        <v>2</v>
      </c>
      <c r="B5">
        <f t="shared" si="0"/>
        <v>2.4489795918367347</v>
      </c>
      <c r="F5">
        <v>1.2</v>
      </c>
      <c r="G5">
        <v>0.49</v>
      </c>
      <c r="I5">
        <v>1E-3</v>
      </c>
      <c r="J5">
        <v>1E-4</v>
      </c>
    </row>
    <row r="6" spans="1:10" x14ac:dyDescent="0.3">
      <c r="A6">
        <v>3</v>
      </c>
      <c r="B6">
        <f t="shared" si="0"/>
        <v>1.0795918367346939</v>
      </c>
      <c r="F6">
        <v>0.52900000000000003</v>
      </c>
      <c r="G6">
        <v>0.49</v>
      </c>
      <c r="I6">
        <v>1E-4</v>
      </c>
      <c r="J6">
        <v>1E-4</v>
      </c>
    </row>
    <row r="7" spans="1:10" x14ac:dyDescent="0.3">
      <c r="A7">
        <v>4</v>
      </c>
      <c r="B7">
        <f t="shared" si="0"/>
        <v>0.5775510204081632</v>
      </c>
      <c r="F7">
        <v>0.28299999999999997</v>
      </c>
      <c r="G7">
        <v>0.49</v>
      </c>
      <c r="I7">
        <v>1E-4</v>
      </c>
      <c r="J7">
        <v>1E-4</v>
      </c>
    </row>
    <row r="8" spans="1:10" x14ac:dyDescent="0.3">
      <c r="A8">
        <v>5</v>
      </c>
      <c r="B8">
        <f t="shared" si="0"/>
        <v>0.40816326530612246</v>
      </c>
      <c r="F8">
        <v>0.2</v>
      </c>
      <c r="G8">
        <v>0.49</v>
      </c>
      <c r="I8">
        <v>1E-4</v>
      </c>
      <c r="J8">
        <v>1E-4</v>
      </c>
    </row>
    <row r="9" spans="1:10" x14ac:dyDescent="0.3">
      <c r="A9">
        <v>6</v>
      </c>
      <c r="B9">
        <f t="shared" si="0"/>
        <v>0</v>
      </c>
      <c r="F9">
        <v>0</v>
      </c>
      <c r="G9">
        <v>0.49</v>
      </c>
      <c r="I9">
        <v>1E-3</v>
      </c>
      <c r="J9">
        <v>1E-4</v>
      </c>
    </row>
    <row r="11" spans="1:10" x14ac:dyDescent="0.3">
      <c r="A11" t="s">
        <v>9</v>
      </c>
    </row>
    <row r="12" spans="1:10" x14ac:dyDescent="0.3">
      <c r="A12" t="s">
        <v>0</v>
      </c>
      <c r="B12" t="s">
        <v>3</v>
      </c>
      <c r="F12" t="s">
        <v>1</v>
      </c>
      <c r="G12" t="s">
        <v>2</v>
      </c>
      <c r="I12" t="s">
        <v>5</v>
      </c>
      <c r="J12" t="s">
        <v>6</v>
      </c>
    </row>
    <row r="13" spans="1:10" x14ac:dyDescent="0.3">
      <c r="A13">
        <v>0.03</v>
      </c>
      <c r="B13">
        <f>F13/G13</f>
        <v>5.7420494699646651</v>
      </c>
      <c r="F13">
        <v>3.25</v>
      </c>
      <c r="G13">
        <v>0.56599999999999995</v>
      </c>
      <c r="I13">
        <v>0.05</v>
      </c>
      <c r="J13">
        <v>1E-4</v>
      </c>
    </row>
    <row r="14" spans="1:10" x14ac:dyDescent="0.3">
      <c r="A14">
        <v>1</v>
      </c>
      <c r="B14">
        <f t="shared" ref="B14:B19" si="1">F14/G14</f>
        <v>3.4982332155477036</v>
      </c>
      <c r="F14">
        <v>1.98</v>
      </c>
      <c r="G14">
        <v>0.56599999999999995</v>
      </c>
      <c r="I14">
        <v>0.02</v>
      </c>
      <c r="J14">
        <v>1E-4</v>
      </c>
    </row>
    <row r="15" spans="1:10" x14ac:dyDescent="0.3">
      <c r="A15">
        <v>2</v>
      </c>
      <c r="B15">
        <f t="shared" si="1"/>
        <v>2.896551724137931</v>
      </c>
      <c r="F15">
        <v>1.68</v>
      </c>
      <c r="G15">
        <v>0.57999999999999996</v>
      </c>
      <c r="I15">
        <v>0.03</v>
      </c>
      <c r="J15">
        <v>0.12</v>
      </c>
    </row>
    <row r="16" spans="1:10" x14ac:dyDescent="0.3">
      <c r="A16">
        <v>3</v>
      </c>
      <c r="B16">
        <f t="shared" si="1"/>
        <v>1.3564213564213565</v>
      </c>
      <c r="F16">
        <v>0.94</v>
      </c>
      <c r="G16">
        <v>0.69299999999999995</v>
      </c>
      <c r="I16">
        <v>0.05</v>
      </c>
      <c r="J16">
        <v>1E-4</v>
      </c>
    </row>
    <row r="17" spans="1:10" x14ac:dyDescent="0.3">
      <c r="A17">
        <v>4</v>
      </c>
      <c r="B17">
        <f t="shared" si="1"/>
        <v>0.81673881673881676</v>
      </c>
      <c r="F17">
        <v>0.56599999999999995</v>
      </c>
      <c r="G17">
        <v>0.69299999999999995</v>
      </c>
      <c r="I17">
        <v>1E-4</v>
      </c>
      <c r="J17">
        <v>1E-4</v>
      </c>
    </row>
    <row r="18" spans="1:10" x14ac:dyDescent="0.3">
      <c r="A18">
        <v>5</v>
      </c>
      <c r="B18">
        <f t="shared" si="1"/>
        <v>0.57720057720057727</v>
      </c>
      <c r="F18">
        <v>0.4</v>
      </c>
      <c r="G18">
        <v>0.69299999999999995</v>
      </c>
      <c r="I18">
        <v>1E-4</v>
      </c>
      <c r="J18">
        <v>1E-4</v>
      </c>
    </row>
    <row r="19" spans="1:10" x14ac:dyDescent="0.3">
      <c r="A19">
        <v>6</v>
      </c>
      <c r="B19">
        <f t="shared" si="1"/>
        <v>0</v>
      </c>
      <c r="F19">
        <v>0</v>
      </c>
      <c r="G19">
        <v>0.69299999999999995</v>
      </c>
      <c r="I19">
        <v>1E-3</v>
      </c>
      <c r="J19">
        <v>1E-4</v>
      </c>
    </row>
    <row r="21" spans="1:10" x14ac:dyDescent="0.3">
      <c r="A21" t="s">
        <v>10</v>
      </c>
    </row>
    <row r="22" spans="1:10" x14ac:dyDescent="0.3">
      <c r="A22" t="s">
        <v>0</v>
      </c>
      <c r="B22" t="s">
        <v>3</v>
      </c>
      <c r="F22" t="s">
        <v>1</v>
      </c>
      <c r="G22" t="s">
        <v>2</v>
      </c>
      <c r="I22" t="s">
        <v>5</v>
      </c>
      <c r="J22" t="s">
        <v>6</v>
      </c>
    </row>
    <row r="23" spans="1:10" x14ac:dyDescent="0.3">
      <c r="A23">
        <v>0.03</v>
      </c>
      <c r="B23">
        <f>F23/G23</f>
        <v>3.308080808080808</v>
      </c>
      <c r="F23">
        <v>1.31</v>
      </c>
      <c r="G23">
        <v>0.39600000000000002</v>
      </c>
      <c r="I23">
        <v>0.01</v>
      </c>
      <c r="J23">
        <v>4.0000000000000001E-3</v>
      </c>
    </row>
    <row r="24" spans="1:10" x14ac:dyDescent="0.3">
      <c r="A24">
        <v>1</v>
      </c>
      <c r="B24">
        <f t="shared" ref="B24:B29" si="2">F24/G24</f>
        <v>1.042830540037244</v>
      </c>
      <c r="F24">
        <v>0.56000000000000005</v>
      </c>
      <c r="G24">
        <v>0.53700000000000003</v>
      </c>
      <c r="I24">
        <v>1E-4</v>
      </c>
      <c r="J24">
        <v>5.0000000000000001E-3</v>
      </c>
    </row>
    <row r="25" spans="1:10" x14ac:dyDescent="0.3">
      <c r="A25">
        <v>2</v>
      </c>
      <c r="B25">
        <f t="shared" si="2"/>
        <v>0.31534569983136596</v>
      </c>
      <c r="F25">
        <v>0.187</v>
      </c>
      <c r="G25">
        <v>0.59299999999999997</v>
      </c>
      <c r="I25">
        <v>8.0000000000000002E-3</v>
      </c>
      <c r="J25">
        <v>3.0000000000000001E-3</v>
      </c>
    </row>
    <row r="26" spans="1:10" x14ac:dyDescent="0.3">
      <c r="A26">
        <v>3</v>
      </c>
      <c r="B26">
        <f t="shared" si="2"/>
        <v>0.15588697017268446</v>
      </c>
      <c r="F26">
        <v>9.9299999999999999E-2</v>
      </c>
      <c r="G26">
        <v>0.63700000000000001</v>
      </c>
      <c r="I26">
        <v>2.9999999999999997E-4</v>
      </c>
      <c r="J26">
        <v>3.0000000000000001E-3</v>
      </c>
    </row>
    <row r="27" spans="1:10" x14ac:dyDescent="0.3">
      <c r="A27">
        <v>4</v>
      </c>
      <c r="B27">
        <f t="shared" si="2"/>
        <v>9.0156249999999993E-2</v>
      </c>
      <c r="F27">
        <v>5.7700000000000001E-2</v>
      </c>
      <c r="G27">
        <v>0.64</v>
      </c>
      <c r="I27">
        <v>4.0000000000000002E-4</v>
      </c>
      <c r="J27">
        <v>1E-3</v>
      </c>
    </row>
    <row r="28" spans="1:10" x14ac:dyDescent="0.3">
      <c r="A28">
        <v>5</v>
      </c>
      <c r="B28">
        <f t="shared" si="2"/>
        <v>6.3173652694610782E-2</v>
      </c>
      <c r="F28">
        <v>4.2200000000000001E-2</v>
      </c>
      <c r="G28">
        <v>0.66800000000000004</v>
      </c>
      <c r="I28">
        <v>2.9999999999999997E-4</v>
      </c>
      <c r="J28">
        <v>1E-3</v>
      </c>
    </row>
    <row r="29" spans="1:10" x14ac:dyDescent="0.3">
      <c r="A29">
        <v>6</v>
      </c>
      <c r="B29">
        <f t="shared" si="2"/>
        <v>4.114977307110438E-2</v>
      </c>
      <c r="F29">
        <v>2.7199999999999998E-2</v>
      </c>
      <c r="G29">
        <v>0.66100000000000003</v>
      </c>
      <c r="I29">
        <v>2.9999999999999997E-4</v>
      </c>
      <c r="J29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D38F-AE3B-48A3-BE95-A08614ED9356}">
  <dimension ref="A1:R41"/>
  <sheetViews>
    <sheetView topLeftCell="A29" workbookViewId="0">
      <selection activeCell="I37" sqref="I37"/>
    </sheetView>
  </sheetViews>
  <sheetFormatPr defaultRowHeight="14.4" x14ac:dyDescent="0.3"/>
  <sheetData>
    <row r="1" spans="1:10" x14ac:dyDescent="0.3">
      <c r="A1" t="s">
        <v>7</v>
      </c>
      <c r="B1" t="s">
        <v>17</v>
      </c>
    </row>
    <row r="2" spans="1:10" x14ac:dyDescent="0.3">
      <c r="A2" t="s">
        <v>4</v>
      </c>
      <c r="B2" t="s">
        <v>3</v>
      </c>
      <c r="F2" t="s">
        <v>1</v>
      </c>
      <c r="G2" t="s">
        <v>2</v>
      </c>
      <c r="I2" t="s">
        <v>5</v>
      </c>
      <c r="J2" t="s">
        <v>6</v>
      </c>
    </row>
    <row r="3" spans="1:10" x14ac:dyDescent="0.3">
      <c r="A3">
        <v>0.2</v>
      </c>
      <c r="B3">
        <f t="shared" ref="B3:B17" si="0">F3/G3</f>
        <v>27.572815533980581</v>
      </c>
      <c r="F3">
        <v>2.84</v>
      </c>
      <c r="G3">
        <v>0.10299999999999999</v>
      </c>
      <c r="I3">
        <v>0.01</v>
      </c>
      <c r="J3">
        <v>2E-3</v>
      </c>
    </row>
    <row r="4" spans="1:10" x14ac:dyDescent="0.3">
      <c r="A4">
        <v>0.5</v>
      </c>
      <c r="B4">
        <f t="shared" si="0"/>
        <v>18.83495145631068</v>
      </c>
      <c r="F4">
        <v>1.94</v>
      </c>
      <c r="G4">
        <v>0.10299999999999999</v>
      </c>
      <c r="I4">
        <v>0.01</v>
      </c>
      <c r="J4">
        <v>3.0000000000000001E-3</v>
      </c>
    </row>
    <row r="5" spans="1:10" x14ac:dyDescent="0.3">
      <c r="A5">
        <v>1</v>
      </c>
      <c r="B5">
        <f t="shared" si="0"/>
        <v>13.523809523809524</v>
      </c>
      <c r="F5">
        <v>1.42</v>
      </c>
      <c r="G5">
        <v>0.105</v>
      </c>
      <c r="I5">
        <v>0.01</v>
      </c>
      <c r="J5">
        <v>4.0000000000000001E-3</v>
      </c>
    </row>
    <row r="6" spans="1:10" x14ac:dyDescent="0.3">
      <c r="A6">
        <v>1.5</v>
      </c>
      <c r="B6">
        <f t="shared" si="0"/>
        <v>11.142857142857142</v>
      </c>
      <c r="F6">
        <v>1.17</v>
      </c>
      <c r="G6">
        <v>0.105</v>
      </c>
      <c r="I6">
        <v>0.01</v>
      </c>
      <c r="J6">
        <v>6.0000000000000001E-3</v>
      </c>
    </row>
    <row r="7" spans="1:10" x14ac:dyDescent="0.3">
      <c r="A7">
        <v>2</v>
      </c>
      <c r="B7">
        <f t="shared" si="0"/>
        <v>6.4857142857142867</v>
      </c>
      <c r="F7">
        <v>0.68100000000000005</v>
      </c>
      <c r="G7">
        <v>0.105</v>
      </c>
      <c r="I7">
        <v>8.9999999999999993E-3</v>
      </c>
      <c r="J7">
        <v>4.0000000000000001E-3</v>
      </c>
    </row>
    <row r="8" spans="1:10" x14ac:dyDescent="0.3">
      <c r="A8">
        <v>2.5</v>
      </c>
      <c r="B8">
        <f t="shared" si="0"/>
        <v>3.6981132075471699</v>
      </c>
      <c r="F8">
        <v>0.39200000000000002</v>
      </c>
      <c r="G8">
        <v>0.106</v>
      </c>
      <c r="I8">
        <v>3.0000000000000001E-3</v>
      </c>
      <c r="J8">
        <v>4.0000000000000001E-3</v>
      </c>
    </row>
    <row r="9" spans="1:10" x14ac:dyDescent="0.3">
      <c r="A9">
        <v>3</v>
      </c>
      <c r="B9">
        <f t="shared" si="0"/>
        <v>2.7476635514018692</v>
      </c>
      <c r="F9">
        <v>0.29399999999999998</v>
      </c>
      <c r="G9">
        <v>0.107</v>
      </c>
      <c r="I9">
        <v>4.0000000000000001E-3</v>
      </c>
      <c r="J9">
        <v>5.0000000000000001E-3</v>
      </c>
    </row>
    <row r="10" spans="1:10" x14ac:dyDescent="0.3">
      <c r="A10">
        <v>3.5</v>
      </c>
      <c r="B10">
        <f t="shared" si="0"/>
        <v>1.1047619047619048</v>
      </c>
      <c r="F10">
        <v>0.11600000000000001</v>
      </c>
      <c r="G10">
        <v>0.105</v>
      </c>
      <c r="I10">
        <v>7.0000000000000001E-3</v>
      </c>
      <c r="J10">
        <v>3.0000000000000001E-3</v>
      </c>
    </row>
    <row r="11" spans="1:10" x14ac:dyDescent="0.3">
      <c r="A11">
        <v>4</v>
      </c>
      <c r="B11">
        <f t="shared" si="0"/>
        <v>0.93203883495145634</v>
      </c>
      <c r="F11">
        <v>9.6000000000000002E-2</v>
      </c>
      <c r="G11">
        <v>0.10299999999999999</v>
      </c>
      <c r="I11">
        <v>2.7000000000000001E-3</v>
      </c>
      <c r="J11">
        <v>4.0000000000000001E-3</v>
      </c>
    </row>
    <row r="12" spans="1:10" x14ac:dyDescent="0.3">
      <c r="A12">
        <v>4.5</v>
      </c>
      <c r="B12">
        <f t="shared" si="0"/>
        <v>0.54285714285714293</v>
      </c>
      <c r="F12">
        <v>5.7000000000000002E-2</v>
      </c>
      <c r="G12">
        <v>0.105</v>
      </c>
      <c r="I12">
        <v>1.2E-2</v>
      </c>
      <c r="J12">
        <v>2E-3</v>
      </c>
    </row>
    <row r="13" spans="1:10" x14ac:dyDescent="0.3">
      <c r="A13">
        <v>5</v>
      </c>
      <c r="B13">
        <f t="shared" si="0"/>
        <v>0.18095238095238095</v>
      </c>
      <c r="F13">
        <v>1.9E-2</v>
      </c>
      <c r="G13">
        <v>0.105</v>
      </c>
      <c r="I13">
        <v>4.0000000000000001E-3</v>
      </c>
      <c r="J13">
        <v>4.0000000000000001E-3</v>
      </c>
    </row>
    <row r="15" spans="1:10" x14ac:dyDescent="0.3">
      <c r="A15" t="s">
        <v>9</v>
      </c>
      <c r="B15" t="s">
        <v>16</v>
      </c>
    </row>
    <row r="16" spans="1:10" x14ac:dyDescent="0.3">
      <c r="A16" t="s">
        <v>4</v>
      </c>
      <c r="B16" t="s">
        <v>3</v>
      </c>
      <c r="F16" t="s">
        <v>1</v>
      </c>
      <c r="G16" t="s">
        <v>2</v>
      </c>
      <c r="I16" t="s">
        <v>5</v>
      </c>
      <c r="J16" t="s">
        <v>6</v>
      </c>
    </row>
    <row r="17" spans="1:18" x14ac:dyDescent="0.3">
      <c r="A17">
        <v>0</v>
      </c>
      <c r="B17">
        <f t="shared" ref="B17:B27" si="1">F17/G17</f>
        <v>45.55555555555555</v>
      </c>
      <c r="F17">
        <v>8.1999999999999993</v>
      </c>
      <c r="G17">
        <v>0.18</v>
      </c>
      <c r="I17">
        <v>0.01</v>
      </c>
      <c r="J17">
        <v>0.01</v>
      </c>
      <c r="N17" t="s">
        <v>14</v>
      </c>
    </row>
    <row r="18" spans="1:18" x14ac:dyDescent="0.3">
      <c r="A18">
        <v>0.5</v>
      </c>
      <c r="B18">
        <f t="shared" si="1"/>
        <v>36.64835164835165</v>
      </c>
      <c r="F18">
        <v>6.67</v>
      </c>
      <c r="G18">
        <f>0.173+J18</f>
        <v>0.182</v>
      </c>
      <c r="I18">
        <v>0.01</v>
      </c>
      <c r="J18">
        <f>(0.191-0.173)/2</f>
        <v>9.000000000000008E-3</v>
      </c>
    </row>
    <row r="19" spans="1:18" x14ac:dyDescent="0.3">
      <c r="A19">
        <v>1</v>
      </c>
      <c r="B19">
        <f t="shared" si="1"/>
        <v>31.567567567567568</v>
      </c>
      <c r="F19">
        <v>5.84</v>
      </c>
      <c r="G19">
        <f>0.177+J19</f>
        <v>0.185</v>
      </c>
      <c r="I19">
        <v>0.01</v>
      </c>
      <c r="J19">
        <f>(0.193-0.177)/2</f>
        <v>8.0000000000000071E-3</v>
      </c>
    </row>
    <row r="20" spans="1:18" x14ac:dyDescent="0.3">
      <c r="A20">
        <v>1.5</v>
      </c>
      <c r="B20">
        <f t="shared" si="1"/>
        <v>31.16809116809117</v>
      </c>
      <c r="F20">
        <v>5.47</v>
      </c>
      <c r="G20">
        <f>0.165+J20</f>
        <v>0.17549999999999999</v>
      </c>
      <c r="I20">
        <v>0.02</v>
      </c>
      <c r="J20">
        <f>(0.186-0.165)/2</f>
        <v>1.0499999999999995E-2</v>
      </c>
    </row>
    <row r="21" spans="1:18" x14ac:dyDescent="0.3">
      <c r="A21">
        <v>2</v>
      </c>
      <c r="B21">
        <f t="shared" si="1"/>
        <v>12.680115273775218</v>
      </c>
      <c r="F21">
        <v>2.2000000000000002</v>
      </c>
      <c r="G21">
        <f>0.162+J21</f>
        <v>0.17349999999999999</v>
      </c>
      <c r="I21">
        <v>0.01</v>
      </c>
      <c r="J21">
        <f>(0.185-0.162)/2</f>
        <v>1.1499999999999996E-2</v>
      </c>
    </row>
    <row r="22" spans="1:18" x14ac:dyDescent="0.3">
      <c r="A22">
        <v>2.5</v>
      </c>
      <c r="B22">
        <f t="shared" si="1"/>
        <v>7.4731182795698921</v>
      </c>
      <c r="F22">
        <v>1.39</v>
      </c>
      <c r="G22">
        <f>0.18+J22</f>
        <v>0.186</v>
      </c>
      <c r="I22">
        <v>1E-3</v>
      </c>
      <c r="J22">
        <f>(0.192-0.18)/2</f>
        <v>6.0000000000000053E-3</v>
      </c>
    </row>
    <row r="23" spans="1:18" x14ac:dyDescent="0.3">
      <c r="A23">
        <v>3</v>
      </c>
      <c r="B23">
        <f t="shared" si="1"/>
        <v>4.8174386920980927</v>
      </c>
      <c r="F23">
        <f>0.871+I23</f>
        <v>0.88400000000000001</v>
      </c>
      <c r="G23">
        <f>0.177+J23</f>
        <v>0.1835</v>
      </c>
      <c r="I23">
        <f>(0.897-0.871)/2</f>
        <v>1.3000000000000012E-2</v>
      </c>
      <c r="J23">
        <f>(0.19-0.177)/2</f>
        <v>6.5000000000000058E-3</v>
      </c>
    </row>
    <row r="24" spans="1:18" x14ac:dyDescent="0.3">
      <c r="A24">
        <v>3.5</v>
      </c>
      <c r="B24" t="e">
        <f t="shared" si="1"/>
        <v>#DIV/0!</v>
      </c>
    </row>
    <row r="25" spans="1:18" x14ac:dyDescent="0.3">
      <c r="A25">
        <v>4</v>
      </c>
      <c r="B25" t="e">
        <f t="shared" si="1"/>
        <v>#DIV/0!</v>
      </c>
    </row>
    <row r="26" spans="1:18" x14ac:dyDescent="0.3">
      <c r="A26">
        <v>4.5</v>
      </c>
      <c r="B26" t="e">
        <f t="shared" si="1"/>
        <v>#DIV/0!</v>
      </c>
    </row>
    <row r="27" spans="1:18" x14ac:dyDescent="0.3">
      <c r="A27">
        <v>5</v>
      </c>
      <c r="B27" t="e">
        <f t="shared" si="1"/>
        <v>#DIV/0!</v>
      </c>
    </row>
    <row r="29" spans="1:18" x14ac:dyDescent="0.3">
      <c r="A29" t="s">
        <v>13</v>
      </c>
      <c r="B29" t="s">
        <v>15</v>
      </c>
    </row>
    <row r="30" spans="1:18" x14ac:dyDescent="0.3">
      <c r="A30" t="s">
        <v>4</v>
      </c>
      <c r="B30" t="s">
        <v>3</v>
      </c>
      <c r="F30" t="s">
        <v>1</v>
      </c>
      <c r="G30" t="s">
        <v>2</v>
      </c>
      <c r="I30" t="s">
        <v>5</v>
      </c>
      <c r="J30" t="s">
        <v>6</v>
      </c>
      <c r="N30" t="s">
        <v>18</v>
      </c>
      <c r="R30" t="s">
        <v>19</v>
      </c>
    </row>
    <row r="31" spans="1:18" x14ac:dyDescent="0.3">
      <c r="A31">
        <v>0</v>
      </c>
      <c r="B31">
        <f t="shared" ref="B31:B41" si="2">F31/G31</f>
        <v>69.808917197452232</v>
      </c>
      <c r="F31">
        <v>5.48</v>
      </c>
      <c r="G31">
        <f>0.066+J31</f>
        <v>7.85E-2</v>
      </c>
      <c r="I31">
        <v>0.01</v>
      </c>
      <c r="J31">
        <f>(0.091-0.066)/2</f>
        <v>1.2499999999999997E-2</v>
      </c>
    </row>
    <row r="32" spans="1:18" x14ac:dyDescent="0.3">
      <c r="A32">
        <v>0.5</v>
      </c>
      <c r="B32">
        <f t="shared" si="2"/>
        <v>41.25</v>
      </c>
      <c r="F32">
        <v>3.3</v>
      </c>
      <c r="G32">
        <f>0.07+J32</f>
        <v>0.08</v>
      </c>
      <c r="I32">
        <v>0.01</v>
      </c>
      <c r="J32">
        <f>(0.09-0.07)/2</f>
        <v>9.999999999999995E-3</v>
      </c>
    </row>
    <row r="33" spans="1:10" x14ac:dyDescent="0.3">
      <c r="A33">
        <v>1</v>
      </c>
      <c r="B33">
        <f t="shared" si="2"/>
        <v>17.073170731707314</v>
      </c>
      <c r="F33">
        <v>1.4</v>
      </c>
      <c r="G33">
        <f>0.065+J33</f>
        <v>8.2000000000000003E-2</v>
      </c>
      <c r="I33">
        <v>0.01</v>
      </c>
      <c r="J33">
        <f>(0.099-0.065)/2</f>
        <v>1.7000000000000001E-2</v>
      </c>
    </row>
    <row r="34" spans="1:10" x14ac:dyDescent="0.3">
      <c r="A34">
        <v>1.5</v>
      </c>
      <c r="B34">
        <f t="shared" si="2"/>
        <v>9.125</v>
      </c>
      <c r="F34">
        <v>0.73</v>
      </c>
      <c r="G34">
        <f>0.063+J34</f>
        <v>0.08</v>
      </c>
      <c r="I34">
        <v>7.0000000000000001E-3</v>
      </c>
      <c r="J34">
        <f>(0.097-0.063)/2</f>
        <v>1.7000000000000001E-2</v>
      </c>
    </row>
    <row r="35" spans="1:10" x14ac:dyDescent="0.3">
      <c r="A35">
        <v>2</v>
      </c>
      <c r="B35">
        <f t="shared" si="2"/>
        <v>5.552941176470588</v>
      </c>
      <c r="F35">
        <f>0.464+I35</f>
        <v>0.47199999999999998</v>
      </c>
      <c r="G35">
        <f>0.073+J35</f>
        <v>8.4999999999999992E-2</v>
      </c>
      <c r="I35">
        <f>(0.48-0.464)/2</f>
        <v>7.9999999999999793E-3</v>
      </c>
      <c r="J35">
        <f>(0.097-0.073)/2</f>
        <v>1.2000000000000004E-2</v>
      </c>
    </row>
    <row r="36" spans="1:10" x14ac:dyDescent="0.3">
      <c r="A36">
        <v>2.5</v>
      </c>
      <c r="B36">
        <f t="shared" si="2"/>
        <v>2.7175141242937855</v>
      </c>
      <c r="F36">
        <f>0.237+I36</f>
        <v>0.24049999999999999</v>
      </c>
      <c r="G36">
        <f>0.078+J36</f>
        <v>8.8499999999999995E-2</v>
      </c>
      <c r="I36">
        <f>(0.244-0.237)/2</f>
        <v>3.5000000000000031E-3</v>
      </c>
      <c r="J36">
        <f>(0.099-0.078)/2</f>
        <v>1.0500000000000002E-2</v>
      </c>
    </row>
    <row r="37" spans="1:10" x14ac:dyDescent="0.3">
      <c r="A37">
        <v>3</v>
      </c>
      <c r="B37">
        <f t="shared" si="2"/>
        <v>2.3668639053254443</v>
      </c>
      <c r="F37">
        <v>0.2</v>
      </c>
      <c r="G37">
        <f>0.073+J37</f>
        <v>8.4499999999999992E-2</v>
      </c>
      <c r="I37">
        <v>1E-3</v>
      </c>
      <c r="J37">
        <f>(0.096-0.073)/2</f>
        <v>1.1500000000000003E-2</v>
      </c>
    </row>
    <row r="38" spans="1:10" x14ac:dyDescent="0.3">
      <c r="A38">
        <v>3.5</v>
      </c>
      <c r="B38">
        <f t="shared" si="2"/>
        <v>2.3832335329341321</v>
      </c>
      <c r="F38">
        <v>0.19900000000000001</v>
      </c>
      <c r="G38">
        <f>0.074+J38</f>
        <v>8.3499999999999991E-2</v>
      </c>
      <c r="I38">
        <v>1E-3</v>
      </c>
      <c r="J38">
        <f>(0.093-0.074)/2</f>
        <v>9.5000000000000015E-3</v>
      </c>
    </row>
    <row r="39" spans="1:10" x14ac:dyDescent="0.3">
      <c r="A39">
        <v>4</v>
      </c>
      <c r="B39">
        <f t="shared" si="2"/>
        <v>2.1551724137931036</v>
      </c>
      <c r="F39">
        <f>0.183+I39</f>
        <v>0.1875</v>
      </c>
      <c r="G39">
        <f>0.076+J39</f>
        <v>8.6999999999999994E-2</v>
      </c>
      <c r="I39">
        <f>(0.192-0.183)/2</f>
        <v>4.500000000000004E-3</v>
      </c>
      <c r="J39">
        <f>(0.098-0.076)/2</f>
        <v>1.1000000000000003E-2</v>
      </c>
    </row>
    <row r="40" spans="1:10" x14ac:dyDescent="0.3">
      <c r="A40">
        <v>4.5</v>
      </c>
      <c r="B40">
        <f t="shared" si="2"/>
        <v>1.6839080459770119</v>
      </c>
      <c r="F40">
        <f>0.138+I40</f>
        <v>0.14650000000000002</v>
      </c>
      <c r="G40">
        <f>0.075+J40</f>
        <v>8.6999999999999994E-2</v>
      </c>
      <c r="I40">
        <f>(0.155-0.138)/2</f>
        <v>8.4999999999999937E-3</v>
      </c>
      <c r="J40">
        <f>(0.099-0.075)/2</f>
        <v>1.2000000000000004E-2</v>
      </c>
    </row>
    <row r="41" spans="1:10" x14ac:dyDescent="0.3">
      <c r="A41">
        <v>5</v>
      </c>
      <c r="B41">
        <f t="shared" si="2"/>
        <v>1.3962264150943395</v>
      </c>
      <c r="F41">
        <f>0.105+I41</f>
        <v>0.111</v>
      </c>
      <c r="G41">
        <f>0.067+J41</f>
        <v>7.9500000000000001E-2</v>
      </c>
      <c r="I41">
        <f>(0.117-0.105)/2</f>
        <v>6.0000000000000053E-3</v>
      </c>
      <c r="J41">
        <f>(0.092-0.067)/2</f>
        <v>1.2499999999999997E-2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85697-EE41-4737-85F6-E758C4854C07}">
  <dimension ref="A1:M41"/>
  <sheetViews>
    <sheetView tabSelected="1" topLeftCell="A29" workbookViewId="0">
      <selection activeCell="I37" sqref="I37"/>
    </sheetView>
  </sheetViews>
  <sheetFormatPr defaultRowHeight="14.4" x14ac:dyDescent="0.3"/>
  <sheetData>
    <row r="1" spans="1:10" x14ac:dyDescent="0.3">
      <c r="A1" t="s">
        <v>7</v>
      </c>
      <c r="B1">
        <f>+-0.1</f>
        <v>-0.1</v>
      </c>
    </row>
    <row r="2" spans="1:10" x14ac:dyDescent="0.3">
      <c r="A2" t="s">
        <v>4</v>
      </c>
      <c r="B2" t="s">
        <v>3</v>
      </c>
      <c r="F2" t="s">
        <v>1</v>
      </c>
      <c r="G2" t="s">
        <v>2</v>
      </c>
      <c r="I2" t="s">
        <v>5</v>
      </c>
      <c r="J2" t="s">
        <v>6</v>
      </c>
    </row>
    <row r="3" spans="1:10" x14ac:dyDescent="0.3">
      <c r="A3">
        <v>0.2</v>
      </c>
      <c r="B3">
        <f t="shared" ref="B3:B17" si="0">F3/G3</f>
        <v>27.572815533980581</v>
      </c>
      <c r="F3">
        <v>2.84</v>
      </c>
      <c r="G3">
        <v>0.10299999999999999</v>
      </c>
      <c r="I3">
        <v>0.01</v>
      </c>
      <c r="J3">
        <v>2E-3</v>
      </c>
    </row>
    <row r="4" spans="1:10" x14ac:dyDescent="0.3">
      <c r="A4">
        <v>0.5</v>
      </c>
      <c r="B4">
        <f t="shared" si="0"/>
        <v>17.924528301886792</v>
      </c>
      <c r="F4">
        <v>1.9</v>
      </c>
      <c r="G4">
        <v>0.106</v>
      </c>
      <c r="I4">
        <v>0.01</v>
      </c>
      <c r="J4">
        <v>3.0000000000000001E-3</v>
      </c>
    </row>
    <row r="5" spans="1:10" x14ac:dyDescent="0.3">
      <c r="A5">
        <v>1</v>
      </c>
      <c r="B5">
        <f t="shared" si="0"/>
        <v>13.148148148148147</v>
      </c>
      <c r="F5">
        <v>1.42</v>
      </c>
      <c r="G5">
        <v>0.108</v>
      </c>
      <c r="I5">
        <v>0.01</v>
      </c>
      <c r="J5">
        <v>3.0000000000000001E-3</v>
      </c>
    </row>
    <row r="6" spans="1:10" x14ac:dyDescent="0.3">
      <c r="A6">
        <v>1.5</v>
      </c>
      <c r="B6">
        <f t="shared" si="0"/>
        <v>11.428571428571429</v>
      </c>
      <c r="F6">
        <v>1.2</v>
      </c>
      <c r="G6">
        <v>0.105</v>
      </c>
      <c r="I6">
        <v>0.02</v>
      </c>
      <c r="J6">
        <v>6.0000000000000001E-3</v>
      </c>
    </row>
    <row r="7" spans="1:10" x14ac:dyDescent="0.3">
      <c r="A7">
        <v>2</v>
      </c>
      <c r="B7">
        <f t="shared" si="0"/>
        <v>7.5471698113207557</v>
      </c>
      <c r="F7">
        <v>0.8</v>
      </c>
      <c r="G7">
        <v>0.106</v>
      </c>
      <c r="I7">
        <v>1E-3</v>
      </c>
      <c r="J7">
        <v>2E-3</v>
      </c>
    </row>
    <row r="8" spans="1:10" x14ac:dyDescent="0.3">
      <c r="A8">
        <v>2.5</v>
      </c>
      <c r="B8">
        <f t="shared" si="0"/>
        <v>6.5420560747663545</v>
      </c>
      <c r="F8">
        <v>0.7</v>
      </c>
      <c r="G8">
        <v>0.107</v>
      </c>
      <c r="I8">
        <v>1E-3</v>
      </c>
      <c r="J8">
        <v>3.0000000000000001E-3</v>
      </c>
    </row>
    <row r="9" spans="1:10" x14ac:dyDescent="0.3">
      <c r="A9">
        <v>3</v>
      </c>
      <c r="B9">
        <f t="shared" si="0"/>
        <v>4.7476635514018692</v>
      </c>
      <c r="F9">
        <v>0.50800000000000001</v>
      </c>
      <c r="G9">
        <v>0.107</v>
      </c>
      <c r="I9">
        <v>5.0000000000000001E-3</v>
      </c>
      <c r="J9">
        <v>3.0000000000000001E-3</v>
      </c>
    </row>
    <row r="10" spans="1:10" x14ac:dyDescent="0.3">
      <c r="A10">
        <v>3.5</v>
      </c>
      <c r="B10">
        <f t="shared" si="0"/>
        <v>4.1588785046728978</v>
      </c>
      <c r="F10">
        <v>0.44500000000000001</v>
      </c>
      <c r="G10">
        <v>0.107</v>
      </c>
      <c r="I10">
        <v>7.0000000000000001E-3</v>
      </c>
      <c r="J10">
        <v>4.0000000000000001E-3</v>
      </c>
    </row>
    <row r="11" spans="1:10" x14ac:dyDescent="0.3">
      <c r="A11">
        <v>4</v>
      </c>
      <c r="B11">
        <f t="shared" si="0"/>
        <v>3.6057692307692308</v>
      </c>
      <c r="F11">
        <v>0.375</v>
      </c>
      <c r="G11">
        <v>0.104</v>
      </c>
      <c r="I11">
        <v>6.0000000000000001E-3</v>
      </c>
      <c r="J11">
        <v>2E-3</v>
      </c>
    </row>
    <row r="12" spans="1:10" x14ac:dyDescent="0.3">
      <c r="A12">
        <v>4.5</v>
      </c>
      <c r="B12">
        <f t="shared" si="0"/>
        <v>2.1415094339622645</v>
      </c>
      <c r="F12">
        <v>0.22700000000000001</v>
      </c>
      <c r="G12">
        <v>0.106</v>
      </c>
      <c r="I12">
        <v>0.01</v>
      </c>
      <c r="J12">
        <v>2E-3</v>
      </c>
    </row>
    <row r="13" spans="1:10" x14ac:dyDescent="0.3">
      <c r="A13">
        <v>5</v>
      </c>
      <c r="B13">
        <f t="shared" si="0"/>
        <v>2.8773584905660377</v>
      </c>
      <c r="F13">
        <v>0.30499999999999999</v>
      </c>
      <c r="G13">
        <v>0.106</v>
      </c>
      <c r="I13">
        <v>4.0000000000000001E-3</v>
      </c>
      <c r="J13">
        <v>3.0000000000000001E-3</v>
      </c>
    </row>
    <row r="15" spans="1:10" x14ac:dyDescent="0.3">
      <c r="A15" t="s">
        <v>9</v>
      </c>
      <c r="B15">
        <f>+-0.07</f>
        <v>-7.0000000000000007E-2</v>
      </c>
    </row>
    <row r="16" spans="1:10" x14ac:dyDescent="0.3">
      <c r="A16" t="s">
        <v>4</v>
      </c>
      <c r="B16" t="s">
        <v>3</v>
      </c>
      <c r="F16" t="s">
        <v>1</v>
      </c>
      <c r="G16" t="s">
        <v>2</v>
      </c>
      <c r="I16" t="s">
        <v>5</v>
      </c>
      <c r="J16" t="s">
        <v>6</v>
      </c>
    </row>
    <row r="17" spans="1:13" x14ac:dyDescent="0.3">
      <c r="A17">
        <v>0</v>
      </c>
      <c r="B17">
        <f t="shared" ref="B17:B27" si="1">F17/G17</f>
        <v>16.648648648648649</v>
      </c>
      <c r="F17">
        <v>3.08</v>
      </c>
      <c r="G17">
        <v>0.185</v>
      </c>
      <c r="I17">
        <v>0.01</v>
      </c>
      <c r="J17">
        <v>8.0000000000000002E-3</v>
      </c>
    </row>
    <row r="18" spans="1:13" x14ac:dyDescent="0.3">
      <c r="A18">
        <v>0.5</v>
      </c>
      <c r="B18">
        <f t="shared" si="1"/>
        <v>15.183246073298429</v>
      </c>
      <c r="F18">
        <v>2.9</v>
      </c>
      <c r="G18">
        <v>0.191</v>
      </c>
      <c r="I18">
        <v>0.01</v>
      </c>
      <c r="J18">
        <v>5.0000000000000001E-3</v>
      </c>
    </row>
    <row r="19" spans="1:13" x14ac:dyDescent="0.3">
      <c r="A19">
        <v>1</v>
      </c>
      <c r="B19">
        <f t="shared" si="1"/>
        <v>14.155495978552279</v>
      </c>
      <c r="F19">
        <v>2.64</v>
      </c>
      <c r="G19">
        <f>0.181+J19</f>
        <v>0.1865</v>
      </c>
      <c r="I19">
        <v>0.01</v>
      </c>
      <c r="J19">
        <f>ABS((0.181-0.192)/2)</f>
        <v>5.5000000000000049E-3</v>
      </c>
    </row>
    <row r="20" spans="1:13" x14ac:dyDescent="0.3">
      <c r="A20">
        <v>1.5</v>
      </c>
      <c r="B20">
        <f t="shared" si="1"/>
        <v>11.910112359550563</v>
      </c>
      <c r="F20">
        <v>2.12</v>
      </c>
      <c r="G20">
        <f>0.165+J20</f>
        <v>0.17799999999999999</v>
      </c>
      <c r="I20">
        <v>0.01</v>
      </c>
      <c r="J20">
        <f>(0.191-0.165)/2</f>
        <v>1.2999999999999998E-2</v>
      </c>
    </row>
    <row r="21" spans="1:13" x14ac:dyDescent="0.3">
      <c r="A21">
        <v>2</v>
      </c>
      <c r="B21">
        <f t="shared" si="1"/>
        <v>8.7912087912087919E-2</v>
      </c>
      <c r="F21">
        <v>1.6E-2</v>
      </c>
      <c r="G21">
        <v>0.182</v>
      </c>
      <c r="I21">
        <v>0.01</v>
      </c>
      <c r="J21">
        <v>5.0000000000000001E-3</v>
      </c>
    </row>
    <row r="22" spans="1:13" x14ac:dyDescent="0.3">
      <c r="A22">
        <v>2.5</v>
      </c>
      <c r="B22">
        <f t="shared" si="1"/>
        <v>0.20263157894736841</v>
      </c>
      <c r="F22">
        <f>0.029+I22</f>
        <v>3.85E-2</v>
      </c>
      <c r="G22">
        <f>0.185+J22</f>
        <v>0.19</v>
      </c>
      <c r="I22">
        <f>(0.048-0.029)/2</f>
        <v>9.4999999999999998E-3</v>
      </c>
      <c r="J22">
        <f>(0.195-0.185)/2</f>
        <v>5.0000000000000044E-3</v>
      </c>
    </row>
    <row r="23" spans="1:13" x14ac:dyDescent="0.3">
      <c r="A23">
        <v>3</v>
      </c>
      <c r="B23">
        <f t="shared" si="1"/>
        <v>0.46505376344086019</v>
      </c>
      <c r="F23">
        <f>0.073+I23</f>
        <v>8.6499999999999994E-2</v>
      </c>
      <c r="G23">
        <f>0.181+J23</f>
        <v>0.186</v>
      </c>
      <c r="I23">
        <f>(0.1-0.073)/2</f>
        <v>1.3500000000000005E-2</v>
      </c>
      <c r="J23">
        <f>(0.191-0.181)/2</f>
        <v>5.0000000000000044E-3</v>
      </c>
    </row>
    <row r="24" spans="1:13" x14ac:dyDescent="0.3">
      <c r="A24">
        <v>3.5</v>
      </c>
      <c r="B24" t="e">
        <f t="shared" si="1"/>
        <v>#VALUE!</v>
      </c>
      <c r="F24" t="s">
        <v>11</v>
      </c>
      <c r="M24" t="s">
        <v>21</v>
      </c>
    </row>
    <row r="25" spans="1:13" x14ac:dyDescent="0.3">
      <c r="A25">
        <v>4</v>
      </c>
      <c r="B25" t="e">
        <f t="shared" si="1"/>
        <v>#VALUE!</v>
      </c>
      <c r="F25" t="s">
        <v>12</v>
      </c>
    </row>
    <row r="26" spans="1:13" x14ac:dyDescent="0.3">
      <c r="A26">
        <v>4.5</v>
      </c>
      <c r="B26" t="e">
        <f t="shared" si="1"/>
        <v>#VALUE!</v>
      </c>
      <c r="F26" t="s">
        <v>20</v>
      </c>
    </row>
    <row r="27" spans="1:13" x14ac:dyDescent="0.3">
      <c r="A27">
        <v>5</v>
      </c>
      <c r="B27" t="e">
        <f t="shared" si="1"/>
        <v>#DIV/0!</v>
      </c>
    </row>
    <row r="29" spans="1:13" x14ac:dyDescent="0.3">
      <c r="A29" t="s">
        <v>13</v>
      </c>
    </row>
    <row r="30" spans="1:13" x14ac:dyDescent="0.3">
      <c r="A30" t="s">
        <v>4</v>
      </c>
      <c r="B30" t="s">
        <v>3</v>
      </c>
      <c r="F30" t="s">
        <v>1</v>
      </c>
      <c r="G30" t="s">
        <v>2</v>
      </c>
      <c r="I30" t="s">
        <v>5</v>
      </c>
      <c r="J30" t="s">
        <v>6</v>
      </c>
    </row>
    <row r="31" spans="1:13" x14ac:dyDescent="0.3">
      <c r="A31">
        <v>0</v>
      </c>
      <c r="B31">
        <f t="shared" ref="B31:B41" si="2">F31/G31</f>
        <v>147.67123287671231</v>
      </c>
      <c r="F31">
        <v>5.39</v>
      </c>
      <c r="G31">
        <f>0.031+J31</f>
        <v>3.6500000000000005E-2</v>
      </c>
      <c r="I31">
        <v>0.01</v>
      </c>
      <c r="J31">
        <f>(0.042-0.031)/2</f>
        <v>5.5000000000000014E-3</v>
      </c>
    </row>
    <row r="32" spans="1:13" x14ac:dyDescent="0.3">
      <c r="A32">
        <v>0.5</v>
      </c>
      <c r="B32">
        <f t="shared" si="2"/>
        <v>77.804878048780481</v>
      </c>
      <c r="F32">
        <v>3.19</v>
      </c>
      <c r="G32">
        <f>0.034+J32</f>
        <v>4.1000000000000002E-2</v>
      </c>
      <c r="I32">
        <v>0.01</v>
      </c>
      <c r="J32">
        <f>(0.048-0.034)/2</f>
        <v>6.9999999999999993E-3</v>
      </c>
    </row>
    <row r="33" spans="1:10" x14ac:dyDescent="0.3">
      <c r="A33">
        <v>1</v>
      </c>
      <c r="B33">
        <f t="shared" si="2"/>
        <v>37.5</v>
      </c>
      <c r="F33">
        <v>1.5</v>
      </c>
      <c r="G33">
        <f>0.033+J33</f>
        <v>0.04</v>
      </c>
      <c r="I33">
        <v>0.01</v>
      </c>
      <c r="J33">
        <f>(0.047-0.033)/2</f>
        <v>6.9999999999999993E-3</v>
      </c>
    </row>
    <row r="34" spans="1:10" x14ac:dyDescent="0.3">
      <c r="A34">
        <v>1.5</v>
      </c>
      <c r="B34">
        <f t="shared" si="2"/>
        <v>18.704545454545453</v>
      </c>
      <c r="F34">
        <f>0.817+I34</f>
        <v>0.82299999999999995</v>
      </c>
      <c r="G34">
        <f>0.034+J34</f>
        <v>4.3999999999999997E-2</v>
      </c>
      <c r="I34">
        <f>(0.829-0.817)/2</f>
        <v>6.0000000000000053E-3</v>
      </c>
      <c r="J34">
        <f>(0.054-0.034)/2</f>
        <v>9.9999999999999985E-3</v>
      </c>
    </row>
    <row r="35" spans="1:10" x14ac:dyDescent="0.3">
      <c r="A35">
        <v>2</v>
      </c>
      <c r="B35">
        <f t="shared" si="2"/>
        <v>13.972222222222221</v>
      </c>
      <c r="F35">
        <v>0.503</v>
      </c>
      <c r="G35">
        <f>0.032+J35</f>
        <v>3.6000000000000004E-2</v>
      </c>
      <c r="I35">
        <v>2E-3</v>
      </c>
      <c r="J35">
        <f>(0.04-0.032)/2</f>
        <v>4.0000000000000001E-3</v>
      </c>
    </row>
    <row r="36" spans="1:10" x14ac:dyDescent="0.3">
      <c r="A36">
        <v>2.5</v>
      </c>
      <c r="B36">
        <f t="shared" si="2"/>
        <v>8.0250000000000004</v>
      </c>
      <c r="F36">
        <f>0.315+I36</f>
        <v>0.32100000000000001</v>
      </c>
      <c r="G36">
        <f>0.031+J36</f>
        <v>0.04</v>
      </c>
      <c r="I36">
        <f>(0.327-0.315)/2</f>
        <v>6.0000000000000053E-3</v>
      </c>
      <c r="J36">
        <f>(0.049-0.031)/2</f>
        <v>9.0000000000000011E-3</v>
      </c>
    </row>
    <row r="37" spans="1:10" x14ac:dyDescent="0.3">
      <c r="A37">
        <v>3</v>
      </c>
      <c r="B37">
        <f t="shared" si="2"/>
        <v>7.2592592592592586</v>
      </c>
      <c r="F37">
        <v>0.29399999999999998</v>
      </c>
      <c r="G37">
        <f>0.032+J37</f>
        <v>4.0500000000000001E-2</v>
      </c>
      <c r="I37">
        <v>5.0000000000000001E-3</v>
      </c>
      <c r="J37">
        <f>(0.049-0.032)/2</f>
        <v>8.5000000000000006E-3</v>
      </c>
    </row>
    <row r="38" spans="1:10" x14ac:dyDescent="0.3">
      <c r="A38">
        <v>3.5</v>
      </c>
      <c r="B38">
        <f t="shared" si="2"/>
        <v>2.7425742574257428</v>
      </c>
      <c r="F38">
        <f>0.132+I38</f>
        <v>0.13850000000000001</v>
      </c>
      <c r="G38">
        <f>0.041+J38</f>
        <v>5.0500000000000003E-2</v>
      </c>
      <c r="I38">
        <f>(0.145-0.132)/2</f>
        <v>6.4999999999999919E-3</v>
      </c>
      <c r="J38">
        <f>(0.06-0.041)/2</f>
        <v>9.499999999999998E-3</v>
      </c>
    </row>
    <row r="39" spans="1:10" x14ac:dyDescent="0.3">
      <c r="A39">
        <v>4</v>
      </c>
      <c r="B39">
        <f t="shared" si="2"/>
        <v>2.7466666666666666</v>
      </c>
      <c r="F39">
        <v>0.10299999999999999</v>
      </c>
      <c r="G39">
        <f>0.028+J39</f>
        <v>3.7499999999999999E-2</v>
      </c>
      <c r="I39">
        <v>0.01</v>
      </c>
      <c r="J39">
        <f>(0.047-0.028)/2</f>
        <v>9.4999999999999998E-3</v>
      </c>
    </row>
    <row r="40" spans="1:10" x14ac:dyDescent="0.3">
      <c r="A40">
        <v>4.5</v>
      </c>
      <c r="B40">
        <f t="shared" si="2"/>
        <v>2.0443298969072163</v>
      </c>
      <c r="F40">
        <f>0.0983+I40</f>
        <v>9.9150000000000002E-2</v>
      </c>
      <c r="G40">
        <f>0.04+J40</f>
        <v>4.8500000000000001E-2</v>
      </c>
      <c r="I40">
        <f>(0.1-0.0983)/2</f>
        <v>8.5000000000000353E-4</v>
      </c>
      <c r="J40">
        <f>(0.057-0.04)/2</f>
        <v>8.5000000000000006E-3</v>
      </c>
    </row>
    <row r="41" spans="1:10" x14ac:dyDescent="0.3">
      <c r="A41">
        <v>5</v>
      </c>
      <c r="B41">
        <f t="shared" si="2"/>
        <v>2.8524590163934427</v>
      </c>
      <c r="F41">
        <f>0.082+I41</f>
        <v>8.6999999999999994E-2</v>
      </c>
      <c r="G41">
        <f>0.024+J41</f>
        <v>3.0499999999999999E-2</v>
      </c>
      <c r="I41">
        <f>(0.092-0.082)/2</f>
        <v>4.9999999999999975E-3</v>
      </c>
      <c r="J41">
        <f>(0.037-0.024)/2</f>
        <v>6.4999999999999988E-3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amplitude(old)</vt:lpstr>
      <vt:lpstr>lockin(old)</vt:lpstr>
      <vt:lpstr>amplitude</vt:lpstr>
      <vt:lpstr>lockin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Pickle</dc:creator>
  <cp:lastModifiedBy>Seth Pickle</cp:lastModifiedBy>
  <dcterms:created xsi:type="dcterms:W3CDTF">2019-10-11T15:14:19Z</dcterms:created>
  <dcterms:modified xsi:type="dcterms:W3CDTF">2019-10-16T20:21:54Z</dcterms:modified>
</cp:coreProperties>
</file>