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C09734B0-A564-9448-A821-0B1DF20D4647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Public-Comps" sheetId="1" r:id="rId1"/>
    <sheet name="ValSum" sheetId="2" r:id="rId2"/>
  </sheets>
  <definedNames>
    <definedName name="Diluted_Shares">ValSum!$E$35</definedName>
    <definedName name="Google_Sheet_Link_1093093671" hidden="1">Diluted_Shares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LjMtPKsztlvmqE5yL69/6DWJJew=="/>
    </ext>
  </extLst>
</workbook>
</file>

<file path=xl/calcChain.xml><?xml version="1.0" encoding="utf-8"?>
<calcChain xmlns="http://schemas.openxmlformats.org/spreadsheetml/2006/main">
  <c r="B20" i="2" l="1"/>
  <c r="B19" i="2"/>
  <c r="B17" i="2"/>
  <c r="B16" i="2"/>
  <c r="B14" i="2"/>
  <c r="B13" i="2"/>
  <c r="H12" i="2" a="1"/>
  <c r="H15" i="2" s="1"/>
  <c r="C39" i="1"/>
  <c r="B39" i="1"/>
  <c r="C31" i="1"/>
  <c r="B31" i="1"/>
  <c r="C30" i="1"/>
  <c r="B30" i="1"/>
  <c r="C29" i="1"/>
  <c r="B29" i="1"/>
  <c r="C28" i="1"/>
  <c r="B28" i="1"/>
  <c r="C27" i="1"/>
  <c r="B27" i="1"/>
  <c r="C26" i="1"/>
  <c r="B26" i="1"/>
  <c r="O25" i="1"/>
  <c r="L25" i="1"/>
  <c r="I25" i="1"/>
  <c r="V21" i="1"/>
  <c r="U21" i="1"/>
  <c r="T21" i="1"/>
  <c r="S21" i="1"/>
  <c r="R21" i="1"/>
  <c r="G21" i="1"/>
  <c r="F21" i="1"/>
  <c r="E21" i="1"/>
  <c r="Q19" i="1"/>
  <c r="P19" i="1"/>
  <c r="O19" i="1"/>
  <c r="N19" i="1"/>
  <c r="M19" i="1"/>
  <c r="L19" i="1"/>
  <c r="K19" i="1"/>
  <c r="J19" i="1"/>
  <c r="I19" i="1"/>
  <c r="D19" i="1"/>
  <c r="Q18" i="1"/>
  <c r="P18" i="1"/>
  <c r="O18" i="1"/>
  <c r="N18" i="1"/>
  <c r="M18" i="1"/>
  <c r="L18" i="1"/>
  <c r="K18" i="1"/>
  <c r="J18" i="1"/>
  <c r="I18" i="1"/>
  <c r="D18" i="1"/>
  <c r="Q17" i="1"/>
  <c r="P17" i="1"/>
  <c r="O17" i="1"/>
  <c r="N17" i="1"/>
  <c r="M17" i="1"/>
  <c r="L17" i="1"/>
  <c r="K17" i="1"/>
  <c r="J17" i="1"/>
  <c r="I17" i="1"/>
  <c r="D17" i="1"/>
  <c r="Q16" i="1"/>
  <c r="P16" i="1"/>
  <c r="O16" i="1"/>
  <c r="N16" i="1"/>
  <c r="M16" i="1"/>
  <c r="L16" i="1"/>
  <c r="K16" i="1"/>
  <c r="J16" i="1"/>
  <c r="I16" i="1"/>
  <c r="D16" i="1"/>
  <c r="Q15" i="1"/>
  <c r="P15" i="1"/>
  <c r="O15" i="1"/>
  <c r="N15" i="1"/>
  <c r="M15" i="1"/>
  <c r="L15" i="1"/>
  <c r="K15" i="1"/>
  <c r="J15" i="1"/>
  <c r="I15" i="1"/>
  <c r="D15" i="1"/>
  <c r="V13" i="1"/>
  <c r="U13" i="1"/>
  <c r="T13" i="1"/>
  <c r="S13" i="1"/>
  <c r="R13" i="1"/>
  <c r="Q31" i="1"/>
  <c r="V12" i="1"/>
  <c r="U12" i="1"/>
  <c r="T12" i="1"/>
  <c r="S12" i="1"/>
  <c r="R12" i="1"/>
  <c r="H12" i="1"/>
  <c r="N30" i="1" s="1"/>
  <c r="V11" i="1"/>
  <c r="U11" i="1"/>
  <c r="T11" i="1"/>
  <c r="S11" i="1"/>
  <c r="R11" i="1"/>
  <c r="E29" i="1"/>
  <c r="V10" i="1"/>
  <c r="U10" i="1"/>
  <c r="T10" i="1"/>
  <c r="S10" i="1"/>
  <c r="R10" i="1"/>
  <c r="O28" i="1"/>
  <c r="V9" i="1"/>
  <c r="U9" i="1"/>
  <c r="T9" i="1"/>
  <c r="S9" i="1"/>
  <c r="R9" i="1"/>
  <c r="H9" i="1"/>
  <c r="V8" i="1"/>
  <c r="U8" i="1"/>
  <c r="T8" i="1"/>
  <c r="S8" i="1"/>
  <c r="R8" i="1"/>
  <c r="Q26" i="1"/>
  <c r="T7" i="1"/>
  <c r="O7" i="1"/>
  <c r="L7" i="1"/>
  <c r="J7" i="1"/>
  <c r="M7" i="1" s="1"/>
  <c r="U19" i="1" l="1"/>
  <c r="E27" i="1"/>
  <c r="H8" i="1"/>
  <c r="K26" i="1" s="1"/>
  <c r="R19" i="1"/>
  <c r="T18" i="1"/>
  <c r="V17" i="1"/>
  <c r="E15" i="1"/>
  <c r="O26" i="1"/>
  <c r="O30" i="1"/>
  <c r="J25" i="1"/>
  <c r="P28" i="1"/>
  <c r="P30" i="1"/>
  <c r="H16" i="2"/>
  <c r="Q28" i="1"/>
  <c r="H17" i="2"/>
  <c r="S17" i="1"/>
  <c r="S19" i="1"/>
  <c r="H18" i="2"/>
  <c r="V19" i="1"/>
  <c r="V16" i="1"/>
  <c r="P25" i="1"/>
  <c r="O27" i="1"/>
  <c r="H19" i="2"/>
  <c r="P7" i="1"/>
  <c r="V15" i="1"/>
  <c r="P27" i="1"/>
  <c r="Q27" i="1"/>
  <c r="E26" i="1"/>
  <c r="E30" i="1"/>
  <c r="H12" i="2"/>
  <c r="L26" i="1"/>
  <c r="U18" i="1"/>
  <c r="H30" i="1"/>
  <c r="T15" i="1"/>
  <c r="V18" i="1"/>
  <c r="T16" i="1"/>
  <c r="U16" i="1"/>
  <c r="Q39" i="1"/>
  <c r="H21" i="1"/>
  <c r="P39" i="1"/>
  <c r="O39" i="1"/>
  <c r="E39" i="1"/>
  <c r="R17" i="1"/>
  <c r="R16" i="1"/>
  <c r="R15" i="1"/>
  <c r="T17" i="1"/>
  <c r="S16" i="1"/>
  <c r="S15" i="1"/>
  <c r="U17" i="1"/>
  <c r="P31" i="1"/>
  <c r="O31" i="1"/>
  <c r="E31" i="1"/>
  <c r="H13" i="1"/>
  <c r="I26" i="1"/>
  <c r="M26" i="1"/>
  <c r="H26" i="1"/>
  <c r="M30" i="1"/>
  <c r="J30" i="1"/>
  <c r="L30" i="1"/>
  <c r="I30" i="1"/>
  <c r="K30" i="1"/>
  <c r="R18" i="1"/>
  <c r="L27" i="1"/>
  <c r="H27" i="1"/>
  <c r="K27" i="1"/>
  <c r="J27" i="1"/>
  <c r="I27" i="1"/>
  <c r="S18" i="1"/>
  <c r="M27" i="1"/>
  <c r="U15" i="1"/>
  <c r="J26" i="1"/>
  <c r="N27" i="1"/>
  <c r="K7" i="1"/>
  <c r="P29" i="1"/>
  <c r="H13" i="2"/>
  <c r="E16" i="1"/>
  <c r="T19" i="1"/>
  <c r="Q30" i="1"/>
  <c r="E17" i="1"/>
  <c r="O29" i="1"/>
  <c r="H20" i="2"/>
  <c r="H11" i="1"/>
  <c r="M25" i="1"/>
  <c r="P26" i="1"/>
  <c r="Q29" i="1"/>
  <c r="H14" i="2"/>
  <c r="U7" i="1"/>
  <c r="E18" i="1"/>
  <c r="H10" i="1"/>
  <c r="E19" i="1"/>
  <c r="E28" i="1"/>
  <c r="E36" i="1" l="1"/>
  <c r="O37" i="1"/>
  <c r="E33" i="1"/>
  <c r="Q36" i="1"/>
  <c r="N26" i="1"/>
  <c r="Q37" i="1"/>
  <c r="Q35" i="1"/>
  <c r="H17" i="1"/>
  <c r="H19" i="1"/>
  <c r="Q33" i="1"/>
  <c r="Q34" i="1"/>
  <c r="O36" i="1"/>
  <c r="E37" i="1"/>
  <c r="E34" i="1"/>
  <c r="H31" i="1"/>
  <c r="L31" i="1"/>
  <c r="K31" i="1"/>
  <c r="N31" i="1"/>
  <c r="M31" i="1"/>
  <c r="J31" i="1"/>
  <c r="I31" i="1"/>
  <c r="N25" i="1"/>
  <c r="V7" i="1"/>
  <c r="K25" i="1"/>
  <c r="Q7" i="1"/>
  <c r="Q25" i="1"/>
  <c r="N7" i="1"/>
  <c r="H15" i="1"/>
  <c r="L39" i="1"/>
  <c r="K39" i="1"/>
  <c r="H39" i="1"/>
  <c r="J39" i="1"/>
  <c r="I39" i="1"/>
  <c r="N39" i="1"/>
  <c r="M39" i="1"/>
  <c r="E35" i="1"/>
  <c r="P37" i="1"/>
  <c r="P36" i="1"/>
  <c r="P33" i="1"/>
  <c r="P34" i="1"/>
  <c r="P35" i="1"/>
  <c r="H16" i="1"/>
  <c r="O34" i="1"/>
  <c r="O35" i="1"/>
  <c r="K28" i="1"/>
  <c r="N28" i="1"/>
  <c r="M28" i="1"/>
  <c r="L28" i="1"/>
  <c r="J28" i="1"/>
  <c r="I28" i="1"/>
  <c r="H28" i="1"/>
  <c r="J29" i="1"/>
  <c r="I29" i="1"/>
  <c r="N29" i="1"/>
  <c r="H29" i="1"/>
  <c r="M29" i="1"/>
  <c r="L29" i="1"/>
  <c r="K29" i="1"/>
  <c r="H18" i="1"/>
  <c r="O33" i="1"/>
  <c r="J34" i="1" l="1"/>
  <c r="L34" i="1"/>
  <c r="H37" i="1"/>
  <c r="L33" i="1"/>
  <c r="L37" i="1"/>
  <c r="H34" i="1"/>
  <c r="K35" i="1"/>
  <c r="N34" i="1"/>
  <c r="I34" i="1"/>
  <c r="N35" i="1"/>
  <c r="I35" i="1"/>
  <c r="K34" i="1"/>
  <c r="J37" i="1"/>
  <c r="J33" i="1"/>
  <c r="L36" i="1"/>
  <c r="J36" i="1"/>
  <c r="I36" i="1"/>
  <c r="M36" i="1"/>
  <c r="J35" i="1"/>
  <c r="I33" i="1"/>
  <c r="H35" i="1"/>
  <c r="M37" i="1"/>
  <c r="H36" i="1"/>
  <c r="I37" i="1"/>
  <c r="K36" i="1"/>
  <c r="K37" i="1"/>
  <c r="N36" i="1"/>
  <c r="L35" i="1"/>
  <c r="M35" i="1"/>
  <c r="H33" i="1"/>
  <c r="K33" i="1"/>
  <c r="N37" i="1"/>
  <c r="M34" i="1"/>
  <c r="M33" i="1"/>
  <c r="N33" i="1"/>
  <c r="C12" i="2" l="1" a="1"/>
  <c r="F18" i="2" s="1"/>
  <c r="J30" i="2" s="1"/>
  <c r="J18" i="2" s="1"/>
  <c r="E12" i="2" l="1"/>
  <c r="K24" i="2" s="1"/>
  <c r="K12" i="2" s="1"/>
  <c r="F14" i="2"/>
  <c r="J26" i="2" s="1"/>
  <c r="J14" i="2" s="1"/>
  <c r="G18" i="2"/>
  <c r="I30" i="2" s="1"/>
  <c r="I18" i="2" s="1"/>
  <c r="C18" i="2"/>
  <c r="M30" i="2" s="1"/>
  <c r="M18" i="2" s="1"/>
  <c r="E14" i="2"/>
  <c r="K26" i="2" s="1"/>
  <c r="K14" i="2" s="1"/>
  <c r="G17" i="2"/>
  <c r="I29" i="2" s="1"/>
  <c r="I17" i="2" s="1"/>
  <c r="E16" i="2"/>
  <c r="K28" i="2" s="1"/>
  <c r="K16" i="2" s="1"/>
  <c r="F12" i="2"/>
  <c r="J24" i="2" s="1"/>
  <c r="J12" i="2" s="1"/>
  <c r="C12" i="2"/>
  <c r="M24" i="2" s="1"/>
  <c r="M12" i="2" s="1"/>
  <c r="C16" i="2"/>
  <c r="M28" i="2" s="1"/>
  <c r="M16" i="2" s="1"/>
  <c r="E19" i="2"/>
  <c r="K31" i="2" s="1"/>
  <c r="K19" i="2" s="1"/>
  <c r="F19" i="2"/>
  <c r="J31" i="2" s="1"/>
  <c r="J19" i="2" s="1"/>
  <c r="G19" i="2"/>
  <c r="I31" i="2" s="1"/>
  <c r="I19" i="2" s="1"/>
  <c r="G12" i="2"/>
  <c r="I24" i="2" s="1"/>
  <c r="E22" i="2" s="1"/>
  <c r="E33" i="2" s="1"/>
  <c r="E37" i="2" s="1"/>
  <c r="E38" i="2" s="1"/>
  <c r="D13" i="2"/>
  <c r="L25" i="2" s="1"/>
  <c r="L13" i="2" s="1"/>
  <c r="C19" i="2"/>
  <c r="M31" i="2" s="1"/>
  <c r="M19" i="2" s="1"/>
  <c r="E13" i="2"/>
  <c r="K25" i="2" s="1"/>
  <c r="K13" i="2" s="1"/>
  <c r="F13" i="2"/>
  <c r="J25" i="2" s="1"/>
  <c r="J13" i="2" s="1"/>
  <c r="G15" i="2"/>
  <c r="I27" i="2" s="1"/>
  <c r="I15" i="2" s="1"/>
  <c r="C14" i="2"/>
  <c r="M26" i="2" s="1"/>
  <c r="M14" i="2" s="1"/>
  <c r="C15" i="2"/>
  <c r="M27" i="2" s="1"/>
  <c r="M15" i="2" s="1"/>
  <c r="D19" i="2"/>
  <c r="L31" i="2" s="1"/>
  <c r="L19" i="2" s="1"/>
  <c r="D15" i="2"/>
  <c r="L27" i="2" s="1"/>
  <c r="L15" i="2" s="1"/>
  <c r="G13" i="2"/>
  <c r="I25" i="2" s="1"/>
  <c r="I13" i="2" s="1"/>
  <c r="F20" i="2"/>
  <c r="J32" i="2" s="1"/>
  <c r="J20" i="2" s="1"/>
  <c r="G14" i="2"/>
  <c r="I26" i="2" s="1"/>
  <c r="I14" i="2" s="1"/>
  <c r="F15" i="2"/>
  <c r="J27" i="2" s="1"/>
  <c r="J15" i="2" s="1"/>
  <c r="F17" i="2"/>
  <c r="J29" i="2" s="1"/>
  <c r="J17" i="2" s="1"/>
  <c r="D12" i="2"/>
  <c r="L24" i="2" s="1"/>
  <c r="L12" i="2" s="1"/>
  <c r="D17" i="2"/>
  <c r="L29" i="2" s="1"/>
  <c r="L17" i="2" s="1"/>
  <c r="E20" i="2"/>
  <c r="K32" i="2" s="1"/>
  <c r="K20" i="2" s="1"/>
  <c r="F16" i="2"/>
  <c r="J28" i="2" s="1"/>
  <c r="J16" i="2" s="1"/>
  <c r="G20" i="2"/>
  <c r="I32" i="2" s="1"/>
  <c r="I20" i="2" s="1"/>
  <c r="G16" i="2"/>
  <c r="I28" i="2" s="1"/>
  <c r="I16" i="2" s="1"/>
  <c r="E15" i="2"/>
  <c r="K27" i="2" s="1"/>
  <c r="K15" i="2" s="1"/>
  <c r="C20" i="2"/>
  <c r="M32" i="2" s="1"/>
  <c r="M20" i="2" s="1"/>
  <c r="D16" i="2"/>
  <c r="L28" i="2" s="1"/>
  <c r="L16" i="2" s="1"/>
  <c r="E17" i="2"/>
  <c r="K29" i="2" s="1"/>
  <c r="K17" i="2" s="1"/>
  <c r="D14" i="2"/>
  <c r="L26" i="2" s="1"/>
  <c r="L14" i="2" s="1"/>
  <c r="D18" i="2"/>
  <c r="L30" i="2" s="1"/>
  <c r="L18" i="2" s="1"/>
  <c r="C13" i="2"/>
  <c r="M25" i="2" s="1"/>
  <c r="M13" i="2" s="1"/>
  <c r="E18" i="2"/>
  <c r="K30" i="2" s="1"/>
  <c r="K18" i="2" s="1"/>
  <c r="D20" i="2"/>
  <c r="L32" i="2" s="1"/>
  <c r="L20" i="2" s="1"/>
  <c r="C17" i="2"/>
  <c r="M29" i="2" s="1"/>
  <c r="M17" i="2" s="1"/>
  <c r="I12" i="2" l="1"/>
</calcChain>
</file>

<file path=xl/sharedStrings.xml><?xml version="1.0" encoding="utf-8"?>
<sst xmlns="http://schemas.openxmlformats.org/spreadsheetml/2006/main" count="123" uniqueCount="75">
  <si>
    <t>Comparable Companies - U.S.-Based Steel Manufacturer Companies with FY16 Projected Revenue Between $1 Billion and $20 Billion</t>
  </si>
  <si>
    <t>($ USD in Millions Except Per Share Amounts in USD as Stated)</t>
  </si>
  <si>
    <t>Operating Statistics:</t>
  </si>
  <si>
    <t>Capitalization</t>
  </si>
  <si>
    <t>Projected</t>
  </si>
  <si>
    <t>Share</t>
  </si>
  <si>
    <t>Equity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</si>
  <si>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</si>
  <si>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</si>
  <si>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</si>
  <si>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</si>
  <si>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</si>
  <si>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</si>
  <si>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</si>
  <si>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</si>
  <si>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Value</t>
  </si>
  <si>
    <t>Cash</t>
  </si>
  <si>
    <t>Debt</t>
  </si>
  <si>
    <t>LTM</t>
  </si>
  <si>
    <t>Growth</t>
  </si>
  <si>
    <t>United States Steel Corp.</t>
  </si>
  <si>
    <t>X</t>
  </si>
  <si>
    <t>Nucor Corporation</t>
  </si>
  <si>
    <t>NUE</t>
  </si>
  <si>
    <t>Commercial Metals Company</t>
  </si>
  <si>
    <t>CMC</t>
  </si>
  <si>
    <t>AK Steel Holding Corporation</t>
  </si>
  <si>
    <t>AKS</t>
  </si>
  <si>
    <t>Worthington Industries, Inc.</t>
  </si>
  <si>
    <t>WOR</t>
  </si>
  <si>
    <t>Reliance Steel &amp; Aluminum Co.</t>
  </si>
  <si>
    <t>RS</t>
  </si>
  <si>
    <t>Maximum</t>
  </si>
  <si>
    <t>75th Percentile</t>
  </si>
  <si>
    <t>Median</t>
  </si>
  <si>
    <t>25th Percentile</t>
  </si>
  <si>
    <t>Minimum</t>
  </si>
  <si>
    <t>Steel Dynamics Inc.</t>
  </si>
  <si>
    <t>STLD</t>
  </si>
  <si>
    <t>Valuation Statistics:</t>
  </si>
  <si>
    <t>Enterprise Value /</t>
  </si>
  <si>
    <t>P / E Multiple</t>
  </si>
  <si>
    <t>Valuation Summary - Steel Dynamics Inc.</t>
  </si>
  <si>
    <t>Steel Dynamics Inc. - Range of Valuation Multiples / Premiums</t>
  </si>
  <si>
    <t>Steel Dynamics Inc. - Implied Per Share Value Range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</si>
  <si>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</si>
  <si>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</si>
  <si>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</si>
  <si>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</si>
  <si>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</si>
  <si>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</si>
  <si>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</si>
  <si>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</si>
  <si>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</si>
  <si>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LTM EV / Revenue:</t>
  </si>
  <si>
    <t>LTM EV / EBITDA:</t>
  </si>
  <si>
    <t>LTM P / E:</t>
  </si>
  <si>
    <t>Implied Enterprise Value:</t>
  </si>
  <si>
    <t>Implied Enterprise Value or Equity Value at a Range of Multiples:</t>
  </si>
  <si>
    <t>(+) Cash &amp; Cash-Equivalents:</t>
  </si>
  <si>
    <t>(+) Equity Investments:</t>
  </si>
  <si>
    <t>Enterprise Value --&gt;</t>
  </si>
  <si>
    <t>(+) Other Non-Core Assets, Net:</t>
  </si>
  <si>
    <t>(+) Net Operating Losses:</t>
  </si>
  <si>
    <t>(-) Total Debt:</t>
  </si>
  <si>
    <t>(-) Preferred Stock:</t>
  </si>
  <si>
    <t>(-) Noncontrolling Interests:</t>
  </si>
  <si>
    <t>(-) Unfunded Pension Obligations:</t>
  </si>
  <si>
    <t>Equity Value --&gt;</t>
  </si>
  <si>
    <t>(-) Capital Leases:</t>
  </si>
  <si>
    <t>(-) Restructuring &amp; Other Liabilities:</t>
  </si>
  <si>
    <t>Implied Equity Value:</t>
  </si>
  <si>
    <t>Diluted Shares Outstanding:</t>
  </si>
  <si>
    <t>Implied Share Price from DCF:</t>
  </si>
  <si>
    <t>Premium / (Discount) to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</si>
</sst>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yy"/>
    <numFmt numFmtId="165" formatCode="_(* #,##0.0_);_(* \(#,##0.0\);_(* &quot;-&quot;?_);_(@_)"/>
    <numFmt numFmtId="166" formatCode="_(&quot;$&quot;* #,##0.0_);_(&quot;$&quot;* \(#,##0.0\);_(&quot;$&quot;* &quot;-&quot;?_);_(@_)"/>
    <numFmt numFmtId="167" formatCode="_(#,##0.0%_);\(#,##0.0%\);_(&quot;–&quot;_)_%;_(@_)_%"/>
    <numFmt numFmtId="168" formatCode="_(&quot;$&quot;* #,##0.0_);_(&quot;$&quot;* \(#,##0.0\);_(&quot;$&quot;* &quot;-&quot;??_);_(@_)"/>
    <numFmt numFmtId="169" formatCode="_(* #,##0.0_);_(* \(#,##0.0\);_(* &quot;-&quot;??_);_(@_)"/>
    <numFmt numFmtId="170" formatCode="0.0\ \x"/>
    <numFmt numFmtId="171" formatCode="_(&quot;$&quot;* #,##0.0_);_(&quot;$&quot;* \(#,##0.0\);_(&quot;$&quot;* &quot;-&quot;_);_(@_)"/>
    <numFmt numFmtId="172" formatCode="_(&quot;$&quot;#,##0.00_)_%;\(&quot;$&quot;#,##0.00\)_%;_(&quot;–&quot;_)_%;_(@_)_%"/>
    <numFmt numFmtId="173" formatCode="_(* #,##0.000_);_(* \(#,##0.000\);_(* &quot;-&quot;???_);_(@_)"/>
    <numFmt numFmtId="174" formatCode="0.0%;\(0.0%\)"/>
  </numFmts>
  <fonts count="14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b/>
      <sz val="12"/>
      <color rgb="FFFFFFFF"/>
      <name val="Calibri"/>
    </font>
    <font>
      <b/>
      <u/>
      <sz val="12"/>
      <color rgb="FFFFFFFF"/>
      <name val="Calibri"/>
    </font>
    <font>
      <sz val="11"/>
      <name val="Calibri"/>
    </font>
    <font>
      <sz val="12"/>
      <color rgb="FFFFFFFF"/>
      <name val="Calibri"/>
    </font>
    <font>
      <b/>
      <u/>
      <sz val="12"/>
      <color rgb="FFFFFFFF"/>
      <name val="Calibri"/>
    </font>
    <font>
      <b/>
      <sz val="12"/>
      <color theme="0"/>
      <name val="Calibri"/>
    </font>
    <font>
      <sz val="12"/>
      <color rgb="FF0000FF"/>
      <name val="Calibri"/>
    </font>
    <font>
      <u/>
      <sz val="12"/>
      <color rgb="FFFFFFFF"/>
      <name val="Calibri"/>
    </font>
    <font>
      <sz val="12"/>
      <color rgb="FF00B050"/>
      <name val="Calibri"/>
    </font>
    <font>
      <i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8DB3E2"/>
        <bgColor rgb="FF8DB3E2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44" fontId="10" fillId="0" borderId="0" xfId="0" applyNumberFormat="1" applyFont="1"/>
    <xf numFmtId="165" fontId="10" fillId="0" borderId="0" xfId="0" applyNumberFormat="1" applyFont="1"/>
    <xf numFmtId="166" fontId="1" fillId="0" borderId="0" xfId="0" applyNumberFormat="1" applyFont="1"/>
    <xf numFmtId="166" fontId="10" fillId="0" borderId="0" xfId="0" applyNumberFormat="1" applyFont="1"/>
    <xf numFmtId="167" fontId="1" fillId="0" borderId="0" xfId="0" applyNumberFormat="1" applyFont="1"/>
    <xf numFmtId="43" fontId="10" fillId="0" borderId="0" xfId="0" applyNumberFormat="1" applyFont="1"/>
    <xf numFmtId="165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44" fontId="1" fillId="0" borderId="7" xfId="0" applyNumberFormat="1" applyFont="1" applyBorder="1"/>
    <xf numFmtId="168" fontId="1" fillId="0" borderId="7" xfId="0" applyNumberFormat="1" applyFont="1" applyBorder="1"/>
    <xf numFmtId="167" fontId="1" fillId="0" borderId="7" xfId="0" applyNumberFormat="1" applyFont="1" applyBorder="1"/>
    <xf numFmtId="167" fontId="1" fillId="0" borderId="8" xfId="0" applyNumberFormat="1" applyFont="1" applyBorder="1"/>
    <xf numFmtId="0" fontId="1" fillId="0" borderId="9" xfId="0" applyFont="1" applyBorder="1"/>
    <xf numFmtId="43" fontId="1" fillId="0" borderId="0" xfId="0" applyNumberFormat="1" applyFont="1"/>
    <xf numFmtId="169" fontId="1" fillId="0" borderId="0" xfId="0" applyNumberFormat="1" applyFont="1"/>
    <xf numFmtId="167" fontId="1" fillId="0" borderId="10" xfId="0" applyNumberFormat="1" applyFont="1" applyBorder="1"/>
    <xf numFmtId="0" fontId="3" fillId="3" borderId="11" xfId="0" applyFont="1" applyFill="1" applyBorder="1"/>
    <xf numFmtId="0" fontId="3" fillId="3" borderId="12" xfId="0" applyFont="1" applyFill="1" applyBorder="1"/>
    <xf numFmtId="44" fontId="3" fillId="3" borderId="12" xfId="0" applyNumberFormat="1" applyFont="1" applyFill="1" applyBorder="1"/>
    <xf numFmtId="168" fontId="3" fillId="3" borderId="12" xfId="0" applyNumberFormat="1" applyFont="1" applyFill="1" applyBorder="1"/>
    <xf numFmtId="167" fontId="3" fillId="3" borderId="12" xfId="0" applyNumberFormat="1" applyFont="1" applyFill="1" applyBorder="1"/>
    <xf numFmtId="167" fontId="3" fillId="3" borderId="13" xfId="0" applyNumberFormat="1" applyFont="1" applyFill="1" applyBorder="1"/>
    <xf numFmtId="0" fontId="1" fillId="0" borderId="14" xfId="0" applyFont="1" applyBorder="1"/>
    <xf numFmtId="0" fontId="3" fillId="0" borderId="15" xfId="0" applyFont="1" applyBorder="1"/>
    <xf numFmtId="43" fontId="1" fillId="0" borderId="15" xfId="0" applyNumberFormat="1" applyFont="1" applyBorder="1"/>
    <xf numFmtId="169" fontId="1" fillId="0" borderId="15" xfId="0" applyNumberFormat="1" applyFont="1" applyBorder="1"/>
    <xf numFmtId="167" fontId="1" fillId="0" borderId="15" xfId="0" applyNumberFormat="1" applyFont="1" applyBorder="1"/>
    <xf numFmtId="167" fontId="1" fillId="0" borderId="16" xfId="0" applyNumberFormat="1" applyFont="1" applyBorder="1"/>
    <xf numFmtId="0" fontId="9" fillId="4" borderId="11" xfId="0" applyFont="1" applyFill="1" applyBorder="1"/>
    <xf numFmtId="0" fontId="9" fillId="4" borderId="12" xfId="0" applyFont="1" applyFill="1" applyBorder="1"/>
    <xf numFmtId="44" fontId="9" fillId="4" borderId="12" xfId="0" applyNumberFormat="1" applyFont="1" applyFill="1" applyBorder="1"/>
    <xf numFmtId="166" fontId="9" fillId="4" borderId="12" xfId="0" applyNumberFormat="1" applyFont="1" applyFill="1" applyBorder="1"/>
    <xf numFmtId="167" fontId="9" fillId="4" borderId="12" xfId="0" applyNumberFormat="1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0" fontId="1" fillId="0" borderId="0" xfId="0" applyNumberFormat="1" applyFont="1"/>
    <xf numFmtId="170" fontId="1" fillId="0" borderId="7" xfId="0" applyNumberFormat="1" applyFont="1" applyBorder="1"/>
    <xf numFmtId="170" fontId="1" fillId="0" borderId="8" xfId="0" applyNumberFormat="1" applyFont="1" applyBorder="1"/>
    <xf numFmtId="170" fontId="1" fillId="0" borderId="10" xfId="0" applyNumberFormat="1" applyFont="1" applyBorder="1"/>
    <xf numFmtId="170" fontId="3" fillId="3" borderId="12" xfId="0" applyNumberFormat="1" applyFont="1" applyFill="1" applyBorder="1"/>
    <xf numFmtId="170" fontId="3" fillId="3" borderId="13" xfId="0" applyNumberFormat="1" applyFont="1" applyFill="1" applyBorder="1"/>
    <xf numFmtId="170" fontId="1" fillId="0" borderId="15" xfId="0" applyNumberFormat="1" applyFont="1" applyBorder="1"/>
    <xf numFmtId="170" fontId="1" fillId="0" borderId="16" xfId="0" applyNumberFormat="1" applyFont="1" applyBorder="1"/>
    <xf numFmtId="171" fontId="9" fillId="4" borderId="12" xfId="0" applyNumberFormat="1" applyFont="1" applyFill="1" applyBorder="1"/>
    <xf numFmtId="42" fontId="9" fillId="4" borderId="12" xfId="0" applyNumberFormat="1" applyFont="1" applyFill="1" applyBorder="1"/>
    <xf numFmtId="170" fontId="9" fillId="4" borderId="12" xfId="0" applyNumberFormat="1" applyFont="1" applyFill="1" applyBorder="1"/>
    <xf numFmtId="170" fontId="9" fillId="4" borderId="1" xfId="0" applyNumberFormat="1" applyFont="1" applyFill="1" applyBorder="1"/>
    <xf numFmtId="172" fontId="1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12" fillId="0" borderId="0" xfId="0" applyNumberFormat="1" applyFont="1"/>
    <xf numFmtId="166" fontId="12" fillId="0" borderId="0" xfId="0" applyNumberFormat="1" applyFont="1"/>
    <xf numFmtId="44" fontId="1" fillId="0" borderId="0" xfId="0" applyNumberFormat="1" applyFont="1"/>
    <xf numFmtId="165" fontId="12" fillId="0" borderId="0" xfId="0" applyNumberFormat="1" applyFont="1"/>
    <xf numFmtId="0" fontId="3" fillId="5" borderId="5" xfId="0" applyFont="1" applyFill="1" applyBorder="1"/>
    <xf numFmtId="0" fontId="1" fillId="5" borderId="5" xfId="0" applyFont="1" applyFill="1" applyBorder="1"/>
    <xf numFmtId="166" fontId="3" fillId="5" borderId="5" xfId="0" applyNumberFormat="1" applyFont="1" applyFill="1" applyBorder="1"/>
    <xf numFmtId="165" fontId="10" fillId="0" borderId="15" xfId="0" applyNumberFormat="1" applyFont="1" applyBorder="1"/>
    <xf numFmtId="0" fontId="3" fillId="5" borderId="20" xfId="0" applyFont="1" applyFill="1" applyBorder="1" applyAlignment="1">
      <alignment horizontal="left"/>
    </xf>
    <xf numFmtId="0" fontId="1" fillId="5" borderId="20" xfId="0" applyFont="1" applyFill="1" applyBorder="1"/>
    <xf numFmtId="165" fontId="3" fillId="5" borderId="1" xfId="0" applyNumberFormat="1" applyFont="1" applyFill="1" applyBorder="1"/>
    <xf numFmtId="173" fontId="10" fillId="0" borderId="0" xfId="0" applyNumberFormat="1" applyFont="1"/>
    <xf numFmtId="0" fontId="3" fillId="6" borderId="21" xfId="0" applyFont="1" applyFill="1" applyBorder="1"/>
    <xf numFmtId="0" fontId="1" fillId="6" borderId="20" xfId="0" applyFont="1" applyFill="1" applyBorder="1"/>
    <xf numFmtId="44" fontId="3" fillId="6" borderId="22" xfId="0" applyNumberFormat="1" applyFont="1" applyFill="1" applyBorder="1"/>
    <xf numFmtId="0" fontId="3" fillId="6" borderId="23" xfId="0" applyFont="1" applyFill="1" applyBorder="1"/>
    <xf numFmtId="0" fontId="1" fillId="6" borderId="5" xfId="0" applyFont="1" applyFill="1" applyBorder="1"/>
    <xf numFmtId="174" fontId="3" fillId="6" borderId="24" xfId="0" applyNumberFormat="1" applyFont="1" applyFill="1" applyBorder="1"/>
    <xf numFmtId="0" fontId="13" fillId="0" borderId="0" xfId="0" applyFont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3" fillId="5" borderId="17" xfId="0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6" fontId="1" fillId="7" borderId="0" xfId="0" applyNumberFormat="1" applyFont="1" applyFill="1"/>
    <xf numFmtId="165" fontId="1" fillId="7" borderId="0" xfId="0" applyNumberFormat="1" applyFont="1" applyFill="1"/>
    <xf numFmtId="166" fontId="10" fillId="7" borderId="0" xfId="0" applyNumberFormat="1" applyFont="1" applyFill="1"/>
    <xf numFmtId="165" fontId="1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showGridLines="0" tabSelected="1" topLeftCell="B1" workbookViewId="0">
      <selection activeCell="I1" sqref="H1:I1048576"/>
    </sheetView>
  </sheetViews>
  <sheetFormatPr baseColWidth="10" defaultColWidth="14.5" defaultRowHeight="15" customHeight="1" outlineLevelCol="1" x14ac:dyDescent="0.2"/>
  <cols>
    <col min="1" max="1" width="2.5" customWidth="1"/>
    <col min="2" max="2" width="30.5" customWidth="1"/>
    <col min="3" max="3" width="10.1640625" customWidth="1" outlineLevel="1"/>
    <col min="4" max="4" width="12.6640625" customWidth="1" outlineLevel="1"/>
    <col min="5" max="5" width="12.6640625" customWidth="1"/>
    <col min="6" max="7" width="12.6640625" customWidth="1" outlineLevel="1"/>
    <col min="8" max="22" width="12.6640625" customWidth="1"/>
    <col min="23" max="23" width="2.5" customWidth="1"/>
    <col min="24" max="24" width="2.6640625" customWidth="1"/>
    <col min="25" max="33" width="12.33203125" customWidth="1"/>
    <col min="34" max="37" width="9.1640625" customWidth="1"/>
  </cols>
  <sheetData>
    <row r="1" spans="1:3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25" customHeight="1" x14ac:dyDescent="0.25">
      <c r="A2" s="1"/>
      <c r="B2" s="2" t="s">
        <v>0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1"/>
      <c r="B3" s="1" t="s">
        <v>1</v>
      </c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1"/>
      <c r="B4" s="4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1"/>
      <c r="B5" s="5" t="s">
        <v>2</v>
      </c>
      <c r="C5" s="6"/>
      <c r="D5" s="6"/>
      <c r="E5" s="85" t="s">
        <v>3</v>
      </c>
      <c r="F5" s="86"/>
      <c r="G5" s="86"/>
      <c r="H5" s="87"/>
      <c r="I5" s="7"/>
      <c r="J5" s="7"/>
      <c r="K5" s="7"/>
      <c r="L5" s="7"/>
      <c r="M5" s="7"/>
      <c r="N5" s="7"/>
      <c r="O5" s="7"/>
      <c r="P5" s="7"/>
      <c r="Q5" s="7"/>
      <c r="R5" s="8" t="s">
        <v>4</v>
      </c>
      <c r="S5" s="8" t="s">
        <v>4</v>
      </c>
      <c r="T5" s="9"/>
      <c r="U5" s="9"/>
      <c r="V5" s="1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1"/>
      <c r="B6" s="7"/>
      <c r="C6" s="7"/>
      <c r="D6" s="8" t="s">
        <v>5</v>
      </c>
      <c r="E6" s="8" t="s">
        <v>6</v>
      </c>
      <c r="F6" s="8"/>
      <c r="G6" s="8"/>
      <c r="H6" s="8" t="s">
        <v>7</v>
      </c>
      <c r="I6" s="85" t="s">
        <v>8</v>
      </c>
      <c r="J6" s="86"/>
      <c r="K6" s="87"/>
      <c r="L6" s="85" t="s">
        <v>9</v>
      </c>
      <c r="M6" s="86"/>
      <c r="N6" s="87"/>
      <c r="O6" s="85" t="s">
        <v>10</v>
      </c>
      <c r="P6" s="86"/>
      <c r="Q6" s="87"/>
      <c r="R6" s="8" t="s">
        <v>8</v>
      </c>
      <c r="S6" s="8" t="s">
        <v>9</v>
      </c>
      <c r="T6" s="85" t="s">
        <v>11</v>
      </c>
      <c r="U6" s="86"/>
      <c r="V6" s="87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1"/>
      <c r="B7" s="11" t="s">
        <v>12</v>
      </c>
      <c r="C7" s="11" t="s">
        <v>13</v>
      </c>
      <c r="D7" s="12" t="s">
        <v>14</v>
      </c>
      <c r="E7" s="12" t="s">
        <v>15</v>
      </c>
      <c r="F7" s="12" t="s">
        <v>16</v>
      </c>
      <c r="G7" s="12" t="s">
        <v>17</v>
      </c>
      <c r="H7" s="12" t="s">
        <v>15</v>
      </c>
      <c r="I7" s="13" t="s">
        <v>18</v>
      </c>
      <c r="J7" s="14">
        <f>EOMONTH("12/31/2016",12)</f>
        <v>43100</v>
      </c>
      <c r="K7" s="14">
        <f>EOMONTH(J7,12)</f>
        <v>43465</v>
      </c>
      <c r="L7" s="13" t="str">
        <f>$I$7</f>
        <v>LTM</v>
      </c>
      <c r="M7" s="14">
        <f>+$J$7</f>
        <v>43100</v>
      </c>
      <c r="N7" s="14">
        <f>+$K$7</f>
        <v>43465</v>
      </c>
      <c r="O7" s="13" t="str">
        <f>$I$7</f>
        <v>LTM</v>
      </c>
      <c r="P7" s="14">
        <f>+$J$7</f>
        <v>43100</v>
      </c>
      <c r="Q7" s="14">
        <f>+$K$7</f>
        <v>43465</v>
      </c>
      <c r="R7" s="12" t="s">
        <v>19</v>
      </c>
      <c r="S7" s="12" t="s">
        <v>19</v>
      </c>
      <c r="T7" s="13" t="str">
        <f>$I$7</f>
        <v>LTM</v>
      </c>
      <c r="U7" s="14">
        <f>+$J$7</f>
        <v>43100</v>
      </c>
      <c r="V7" s="14">
        <f>+$K$7</f>
        <v>43465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1"/>
      <c r="B8" s="1" t="s">
        <v>20</v>
      </c>
      <c r="C8" s="1" t="s">
        <v>21</v>
      </c>
      <c r="D8" s="15">
        <v>18.899999999999999</v>
      </c>
      <c r="E8" s="91">
        <v>0</v>
      </c>
      <c r="F8" s="93">
        <v>-820</v>
      </c>
      <c r="G8" s="93">
        <v>3140</v>
      </c>
      <c r="H8" s="17" t="e">
        <f>+E8+F8+G8+#REF!+#REF!</f>
        <v>#REF!</v>
      </c>
      <c r="I8" s="18">
        <v>10327</v>
      </c>
      <c r="J8" s="18">
        <v>10545.15</v>
      </c>
      <c r="K8" s="18">
        <v>11231.27</v>
      </c>
      <c r="L8" s="18">
        <v>-128</v>
      </c>
      <c r="M8" s="18">
        <v>675</v>
      </c>
      <c r="N8" s="18">
        <v>921.38</v>
      </c>
      <c r="O8" s="18">
        <v>-1692</v>
      </c>
      <c r="P8" s="18">
        <v>-74.89</v>
      </c>
      <c r="Q8" s="18">
        <v>333.75</v>
      </c>
      <c r="R8" s="19">
        <f t="shared" ref="R8:R13" si="0">IFERROR(+K8/J8-1,"N/A")</f>
        <v>6.5064982480097511E-2</v>
      </c>
      <c r="S8" s="19">
        <f t="shared" ref="S8:S13" si="1">IFERROR(+N8/M8-1,"N/A")</f>
        <v>0.36500740740740745</v>
      </c>
      <c r="T8" s="19">
        <f t="shared" ref="T8:V8" si="2">L8/I8</f>
        <v>-1.2394693521835963E-2</v>
      </c>
      <c r="U8" s="19">
        <f t="shared" si="2"/>
        <v>6.4010469267862483E-2</v>
      </c>
      <c r="V8" s="19">
        <f t="shared" si="2"/>
        <v>8.2037026979139491E-2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1"/>
      <c r="B9" s="1" t="s">
        <v>22</v>
      </c>
      <c r="C9" s="1" t="s">
        <v>23</v>
      </c>
      <c r="D9" s="20">
        <v>49.03</v>
      </c>
      <c r="E9" s="92">
        <v>0</v>
      </c>
      <c r="F9" s="94">
        <v>-2331.15</v>
      </c>
      <c r="G9" s="94">
        <v>4357.5119999999997</v>
      </c>
      <c r="H9" s="21" t="e">
        <f>+E9+F9+G9+#REF!+#REF!</f>
        <v>#REF!</v>
      </c>
      <c r="I9" s="16">
        <v>15643.6</v>
      </c>
      <c r="J9" s="16">
        <v>16684.82</v>
      </c>
      <c r="K9" s="16">
        <v>16937.09</v>
      </c>
      <c r="L9" s="16">
        <v>1972.9</v>
      </c>
      <c r="M9" s="16">
        <v>2291.4</v>
      </c>
      <c r="N9" s="16">
        <v>2539.62</v>
      </c>
      <c r="O9" s="16">
        <v>469.6</v>
      </c>
      <c r="P9" s="16">
        <v>818.31</v>
      </c>
      <c r="Q9" s="16">
        <v>1000.96</v>
      </c>
      <c r="R9" s="19">
        <f t="shared" si="0"/>
        <v>1.5119731588354002E-2</v>
      </c>
      <c r="S9" s="19">
        <f t="shared" si="1"/>
        <v>0.10832678711704635</v>
      </c>
      <c r="T9" s="19">
        <f t="shared" ref="T9:V9" si="3">L9/I9</f>
        <v>0.1261154721419622</v>
      </c>
      <c r="U9" s="19">
        <f t="shared" si="3"/>
        <v>0.13733441535479557</v>
      </c>
      <c r="V9" s="19">
        <f t="shared" si="3"/>
        <v>0.14994429385449329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1"/>
      <c r="B10" s="1" t="s">
        <v>24</v>
      </c>
      <c r="C10" s="1" t="s">
        <v>25</v>
      </c>
      <c r="D10" s="20">
        <v>15.5</v>
      </c>
      <c r="E10" s="92">
        <v>0</v>
      </c>
      <c r="F10" s="94">
        <v>-483.85500000000002</v>
      </c>
      <c r="G10" s="94">
        <v>1079.95</v>
      </c>
      <c r="H10" s="21" t="e">
        <f>+E10+F10+G10+#REF!+#REF!</f>
        <v>#REF!</v>
      </c>
      <c r="I10" s="16">
        <v>4813.3999999999996</v>
      </c>
      <c r="J10" s="16">
        <v>4683.9466666666667</v>
      </c>
      <c r="K10" s="16">
        <v>4780.1033333333326</v>
      </c>
      <c r="L10" s="16">
        <v>431.9</v>
      </c>
      <c r="M10" s="16">
        <v>367.42999999999995</v>
      </c>
      <c r="N10" s="16">
        <v>423.11333333333334</v>
      </c>
      <c r="O10" s="16">
        <v>129.4</v>
      </c>
      <c r="P10" s="16">
        <v>127.40666666666665</v>
      </c>
      <c r="Q10" s="16">
        <v>171.48666666666665</v>
      </c>
      <c r="R10" s="19">
        <f t="shared" si="0"/>
        <v>2.0528984104572601E-2</v>
      </c>
      <c r="S10" s="19">
        <f t="shared" si="1"/>
        <v>0.15154814068892963</v>
      </c>
      <c r="T10" s="19">
        <f t="shared" ref="T10:V10" si="4">L10/I10</f>
        <v>8.9728674118087007E-2</v>
      </c>
      <c r="U10" s="19">
        <f t="shared" si="4"/>
        <v>7.8444531107669871E-2</v>
      </c>
      <c r="V10" s="19">
        <f t="shared" si="4"/>
        <v>8.85155202363129E-2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"/>
      <c r="B11" s="1" t="s">
        <v>26</v>
      </c>
      <c r="C11" s="1" t="s">
        <v>27</v>
      </c>
      <c r="D11" s="20">
        <v>4.3499999999999996</v>
      </c>
      <c r="E11" s="92">
        <v>0</v>
      </c>
      <c r="F11" s="94">
        <v>-56.2</v>
      </c>
      <c r="G11" s="94">
        <v>2078.1</v>
      </c>
      <c r="H11" s="21" t="e">
        <f>+E11+F11+G11+#REF!+#REF!</f>
        <v>#REF!</v>
      </c>
      <c r="I11" s="16">
        <v>6263.6</v>
      </c>
      <c r="J11" s="16">
        <v>5991.83</v>
      </c>
      <c r="K11" s="16">
        <v>6108.22</v>
      </c>
      <c r="L11" s="16">
        <v>547.20000000000005</v>
      </c>
      <c r="M11" s="16">
        <v>469.23</v>
      </c>
      <c r="N11" s="16">
        <v>580.9</v>
      </c>
      <c r="O11" s="16">
        <v>-135</v>
      </c>
      <c r="P11" s="16">
        <v>57.29</v>
      </c>
      <c r="Q11" s="16">
        <v>128.85</v>
      </c>
      <c r="R11" s="19">
        <f t="shared" si="0"/>
        <v>1.9424783413414692E-2</v>
      </c>
      <c r="S11" s="19">
        <f t="shared" si="1"/>
        <v>0.23798563604202627</v>
      </c>
      <c r="T11" s="19">
        <f t="shared" ref="T11:V11" si="5">L11/I11</f>
        <v>8.736190050450221E-2</v>
      </c>
      <c r="U11" s="19">
        <f t="shared" si="5"/>
        <v>7.8311634342095829E-2</v>
      </c>
      <c r="V11" s="19">
        <f t="shared" si="5"/>
        <v>9.5101355222961842E-2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"/>
      <c r="B12" s="1" t="s">
        <v>28</v>
      </c>
      <c r="C12" s="1" t="s">
        <v>29</v>
      </c>
      <c r="D12" s="20">
        <v>43.29</v>
      </c>
      <c r="E12" s="92">
        <v>0</v>
      </c>
      <c r="F12" s="94">
        <v>-84.188000000000002</v>
      </c>
      <c r="G12" s="94">
        <v>583.96</v>
      </c>
      <c r="H12" s="21" t="e">
        <f>+E12+F12+G12+#REF!+#REF!</f>
        <v>#REF!</v>
      </c>
      <c r="I12" s="16">
        <v>2819.7</v>
      </c>
      <c r="J12" s="16">
        <v>2891.3158333333331</v>
      </c>
      <c r="K12" s="16">
        <v>2971.38</v>
      </c>
      <c r="L12" s="16">
        <v>239.9</v>
      </c>
      <c r="M12" s="16">
        <v>281.52666666666664</v>
      </c>
      <c r="N12" s="16">
        <v>324.07000000000005</v>
      </c>
      <c r="O12" s="16">
        <v>143.69999999999999</v>
      </c>
      <c r="P12" s="16">
        <v>177.35250000000002</v>
      </c>
      <c r="Q12" s="16">
        <v>220.33083333333335</v>
      </c>
      <c r="R12" s="19">
        <f t="shared" si="0"/>
        <v>2.7691255913181445E-2</v>
      </c>
      <c r="S12" s="19">
        <f t="shared" si="1"/>
        <v>0.15111653129366109</v>
      </c>
      <c r="T12" s="19">
        <f t="shared" ref="T12:V12" si="6">L12/I12</f>
        <v>8.5079973046778029E-2</v>
      </c>
      <c r="U12" s="19">
        <f t="shared" si="6"/>
        <v>9.7369738518707893E-2</v>
      </c>
      <c r="V12" s="19">
        <f t="shared" si="6"/>
        <v>0.10906380200445585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"/>
      <c r="B13" s="1" t="s">
        <v>30</v>
      </c>
      <c r="C13" s="1" t="s">
        <v>31</v>
      </c>
      <c r="D13" s="20">
        <v>72.510000000000005</v>
      </c>
      <c r="E13" s="92">
        <v>0</v>
      </c>
      <c r="F13" s="94">
        <v>-116.5</v>
      </c>
      <c r="G13" s="94">
        <v>2169.4</v>
      </c>
      <c r="H13" s="21" t="e">
        <f>+E13+F13+G13+#REF!+#REF!</f>
        <v>#REF!</v>
      </c>
      <c r="I13" s="16">
        <v>8679</v>
      </c>
      <c r="J13" s="16">
        <v>8890.36</v>
      </c>
      <c r="K13" s="16">
        <v>9303.56</v>
      </c>
      <c r="L13" s="16">
        <v>784.6</v>
      </c>
      <c r="M13" s="16">
        <v>850.74</v>
      </c>
      <c r="N13" s="16">
        <v>928.7</v>
      </c>
      <c r="O13" s="16">
        <v>313.10000000000002</v>
      </c>
      <c r="P13" s="16">
        <v>390.23</v>
      </c>
      <c r="Q13" s="16">
        <v>441.55</v>
      </c>
      <c r="R13" s="19">
        <f t="shared" si="0"/>
        <v>4.6477308005524964E-2</v>
      </c>
      <c r="S13" s="19">
        <f t="shared" si="1"/>
        <v>9.1637868208853446E-2</v>
      </c>
      <c r="T13" s="19">
        <f t="shared" ref="T13:V13" si="7">L13/I13</f>
        <v>9.0402120059914742E-2</v>
      </c>
      <c r="U13" s="19">
        <f t="shared" si="7"/>
        <v>9.5692412905664104E-2</v>
      </c>
      <c r="V13" s="19">
        <f t="shared" si="7"/>
        <v>9.9822003620119615E-2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"/>
      <c r="B15" s="22" t="s">
        <v>32</v>
      </c>
      <c r="C15" s="23"/>
      <c r="D15" s="24">
        <f>MAX(D8:D13)</f>
        <v>72.510000000000005</v>
      </c>
      <c r="E15" s="25">
        <f>MAX(E8:E13)</f>
        <v>0</v>
      </c>
      <c r="F15" s="25"/>
      <c r="G15" s="25"/>
      <c r="H15" s="25" t="e">
        <f t="shared" ref="H15:V15" si="8">MAX(H8:H13)</f>
        <v>#REF!</v>
      </c>
      <c r="I15" s="25">
        <f t="shared" si="8"/>
        <v>15643.6</v>
      </c>
      <c r="J15" s="25">
        <f t="shared" si="8"/>
        <v>16684.82</v>
      </c>
      <c r="K15" s="25">
        <f t="shared" si="8"/>
        <v>16937.09</v>
      </c>
      <c r="L15" s="25">
        <f t="shared" si="8"/>
        <v>1972.9</v>
      </c>
      <c r="M15" s="25">
        <f t="shared" si="8"/>
        <v>2291.4</v>
      </c>
      <c r="N15" s="25">
        <f t="shared" si="8"/>
        <v>2539.62</v>
      </c>
      <c r="O15" s="25">
        <f t="shared" si="8"/>
        <v>469.6</v>
      </c>
      <c r="P15" s="25">
        <f t="shared" si="8"/>
        <v>818.31</v>
      </c>
      <c r="Q15" s="25">
        <f t="shared" si="8"/>
        <v>1000.96</v>
      </c>
      <c r="R15" s="26">
        <f t="shared" si="8"/>
        <v>6.5064982480097511E-2</v>
      </c>
      <c r="S15" s="26">
        <f t="shared" si="8"/>
        <v>0.36500740740740745</v>
      </c>
      <c r="T15" s="26">
        <f t="shared" si="8"/>
        <v>0.1261154721419622</v>
      </c>
      <c r="U15" s="26">
        <f t="shared" si="8"/>
        <v>0.13733441535479557</v>
      </c>
      <c r="V15" s="27">
        <f t="shared" si="8"/>
        <v>0.14994429385449329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"/>
      <c r="B16" s="28" t="s">
        <v>33</v>
      </c>
      <c r="C16" s="1"/>
      <c r="D16" s="29">
        <f>QUARTILE(D8:D13,3)</f>
        <v>47.594999999999999</v>
      </c>
      <c r="E16" s="30">
        <f>QUARTILE(E8:E13,3)</f>
        <v>0</v>
      </c>
      <c r="F16" s="30"/>
      <c r="G16" s="30"/>
      <c r="H16" s="30" t="e">
        <f t="shared" ref="H16:V16" si="9">QUARTILE(H8:H13,3)</f>
        <v>#REF!</v>
      </c>
      <c r="I16" s="30">
        <f t="shared" si="9"/>
        <v>9915</v>
      </c>
      <c r="J16" s="30">
        <f t="shared" si="9"/>
        <v>10131.452499999999</v>
      </c>
      <c r="K16" s="30">
        <f t="shared" si="9"/>
        <v>10749.342500000001</v>
      </c>
      <c r="L16" s="30">
        <f t="shared" si="9"/>
        <v>725.25</v>
      </c>
      <c r="M16" s="30">
        <f t="shared" si="9"/>
        <v>806.80500000000006</v>
      </c>
      <c r="N16" s="30">
        <f t="shared" si="9"/>
        <v>926.87</v>
      </c>
      <c r="O16" s="30">
        <f t="shared" si="9"/>
        <v>270.75</v>
      </c>
      <c r="P16" s="30">
        <f t="shared" si="9"/>
        <v>337.010625</v>
      </c>
      <c r="Q16" s="30">
        <f t="shared" si="9"/>
        <v>414.6</v>
      </c>
      <c r="R16" s="19">
        <f t="shared" si="9"/>
        <v>4.1780794982439085E-2</v>
      </c>
      <c r="S16" s="19">
        <f t="shared" si="9"/>
        <v>0.21637626220375211</v>
      </c>
      <c r="T16" s="19">
        <f t="shared" si="9"/>
        <v>9.0233758574457812E-2</v>
      </c>
      <c r="U16" s="19">
        <f t="shared" si="9"/>
        <v>9.6950407115446946E-2</v>
      </c>
      <c r="V16" s="31">
        <f t="shared" si="9"/>
        <v>0.10675335240837179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"/>
      <c r="B17" s="32" t="s">
        <v>34</v>
      </c>
      <c r="C17" s="33"/>
      <c r="D17" s="34">
        <f>MEDIAN(D8:D13)</f>
        <v>31.094999999999999</v>
      </c>
      <c r="E17" s="35">
        <f>MEDIAN(E8:E13)</f>
        <v>0</v>
      </c>
      <c r="F17" s="35"/>
      <c r="G17" s="35"/>
      <c r="H17" s="35" t="e">
        <f t="shared" ref="H17:V17" si="10">MEDIAN(H8:H13)</f>
        <v>#REF!</v>
      </c>
      <c r="I17" s="35">
        <f t="shared" si="10"/>
        <v>7471.3</v>
      </c>
      <c r="J17" s="35">
        <f t="shared" si="10"/>
        <v>7441.0950000000003</v>
      </c>
      <c r="K17" s="35">
        <f t="shared" si="10"/>
        <v>7705.8899999999994</v>
      </c>
      <c r="L17" s="35">
        <f t="shared" si="10"/>
        <v>489.55</v>
      </c>
      <c r="M17" s="35">
        <f t="shared" si="10"/>
        <v>572.11500000000001</v>
      </c>
      <c r="N17" s="35">
        <f t="shared" si="10"/>
        <v>751.14</v>
      </c>
      <c r="O17" s="35">
        <f t="shared" si="10"/>
        <v>136.55000000000001</v>
      </c>
      <c r="P17" s="35">
        <f t="shared" si="10"/>
        <v>152.37958333333333</v>
      </c>
      <c r="Q17" s="35">
        <f t="shared" si="10"/>
        <v>277.04041666666666</v>
      </c>
      <c r="R17" s="36">
        <f t="shared" si="10"/>
        <v>2.4110120008877023E-2</v>
      </c>
      <c r="S17" s="36">
        <f t="shared" si="10"/>
        <v>0.15133233599129536</v>
      </c>
      <c r="T17" s="36">
        <f t="shared" si="10"/>
        <v>8.8545287311294602E-2</v>
      </c>
      <c r="U17" s="36">
        <f t="shared" si="10"/>
        <v>8.706847200666698E-2</v>
      </c>
      <c r="V17" s="37">
        <f t="shared" si="10"/>
        <v>9.7461679421540728E-2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"/>
      <c r="B18" s="28" t="s">
        <v>35</v>
      </c>
      <c r="C18" s="3"/>
      <c r="D18" s="29">
        <f>QUARTILE(D8:D13,1)</f>
        <v>16.350000000000001</v>
      </c>
      <c r="E18" s="30">
        <f>QUARTILE(E8:E13,1)</f>
        <v>0</v>
      </c>
      <c r="F18" s="30"/>
      <c r="G18" s="30"/>
      <c r="H18" s="30" t="e">
        <f t="shared" ref="H18:V18" si="11">QUARTILE(H8:H13,1)</f>
        <v>#REF!</v>
      </c>
      <c r="I18" s="30">
        <f t="shared" si="11"/>
        <v>5175.95</v>
      </c>
      <c r="J18" s="30">
        <f t="shared" si="11"/>
        <v>5010.9174999999996</v>
      </c>
      <c r="K18" s="30">
        <f t="shared" si="11"/>
        <v>5112.1324999999997</v>
      </c>
      <c r="L18" s="30">
        <f t="shared" si="11"/>
        <v>287.89999999999998</v>
      </c>
      <c r="M18" s="30">
        <f t="shared" si="11"/>
        <v>392.88</v>
      </c>
      <c r="N18" s="30">
        <f t="shared" si="11"/>
        <v>462.56</v>
      </c>
      <c r="O18" s="30">
        <f t="shared" si="11"/>
        <v>-68.900000000000006</v>
      </c>
      <c r="P18" s="30">
        <f t="shared" si="11"/>
        <v>74.819166666666661</v>
      </c>
      <c r="Q18" s="30">
        <f t="shared" si="11"/>
        <v>183.69770833333331</v>
      </c>
      <c r="R18" s="19">
        <f t="shared" si="11"/>
        <v>1.9700833586204169E-2</v>
      </c>
      <c r="S18" s="19">
        <f t="shared" si="11"/>
        <v>0.11902422316120004</v>
      </c>
      <c r="T18" s="19">
        <f t="shared" si="11"/>
        <v>8.5650454911209067E-2</v>
      </c>
      <c r="U18" s="19">
        <f t="shared" si="11"/>
        <v>7.8344858533489339E-2</v>
      </c>
      <c r="V18" s="31">
        <f t="shared" si="11"/>
        <v>9.0161978982975136E-2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"/>
      <c r="B19" s="38" t="s">
        <v>36</v>
      </c>
      <c r="C19" s="39"/>
      <c r="D19" s="40">
        <f>MIN(D8:D13)</f>
        <v>4.3499999999999996</v>
      </c>
      <c r="E19" s="41">
        <f>MIN(E8:E13)</f>
        <v>0</v>
      </c>
      <c r="F19" s="41"/>
      <c r="G19" s="41"/>
      <c r="H19" s="41" t="e">
        <f t="shared" ref="H19:V19" si="12">MIN(H8:H13)</f>
        <v>#REF!</v>
      </c>
      <c r="I19" s="41">
        <f t="shared" si="12"/>
        <v>2819.7</v>
      </c>
      <c r="J19" s="41">
        <f t="shared" si="12"/>
        <v>2891.3158333333331</v>
      </c>
      <c r="K19" s="41">
        <f t="shared" si="12"/>
        <v>2971.38</v>
      </c>
      <c r="L19" s="41">
        <f t="shared" si="12"/>
        <v>-128</v>
      </c>
      <c r="M19" s="41">
        <f t="shared" si="12"/>
        <v>281.52666666666664</v>
      </c>
      <c r="N19" s="41">
        <f t="shared" si="12"/>
        <v>324.07000000000005</v>
      </c>
      <c r="O19" s="41">
        <f t="shared" si="12"/>
        <v>-1692</v>
      </c>
      <c r="P19" s="41">
        <f t="shared" si="12"/>
        <v>-74.89</v>
      </c>
      <c r="Q19" s="41">
        <f t="shared" si="12"/>
        <v>128.85</v>
      </c>
      <c r="R19" s="42">
        <f t="shared" si="12"/>
        <v>1.5119731588354002E-2</v>
      </c>
      <c r="S19" s="42">
        <f t="shared" si="12"/>
        <v>9.1637868208853446E-2</v>
      </c>
      <c r="T19" s="42">
        <f t="shared" si="12"/>
        <v>-1.2394693521835963E-2</v>
      </c>
      <c r="U19" s="42">
        <f t="shared" si="12"/>
        <v>6.4010469267862483E-2</v>
      </c>
      <c r="V19" s="43">
        <f t="shared" si="12"/>
        <v>8.2037026979139491E-2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"/>
      <c r="B21" s="44" t="s">
        <v>37</v>
      </c>
      <c r="C21" s="45" t="s">
        <v>38</v>
      </c>
      <c r="D21" s="46">
        <v>24.97</v>
      </c>
      <c r="E21" s="47" t="e">
        <f>+D21*#REF!</f>
        <v>#REF!</v>
      </c>
      <c r="F21" s="47">
        <f>-ValSum!E23-ValSum!E24-ValSum!E25-ValSum!E26</f>
        <v>-1133.3689999999999</v>
      </c>
      <c r="G21" s="47">
        <f>-ValSum!E27</f>
        <v>2700</v>
      </c>
      <c r="H21" s="47" t="e">
        <f>+E21+F21+G21+#REF!+#REF!</f>
        <v>#REF!</v>
      </c>
      <c r="I21" s="47">
        <v>7307.2</v>
      </c>
      <c r="J21" s="47">
        <v>7716.0163775469155</v>
      </c>
      <c r="K21" s="47">
        <v>8406.1512406317233</v>
      </c>
      <c r="L21" s="47">
        <v>862.8</v>
      </c>
      <c r="M21" s="47">
        <v>626.35222174379942</v>
      </c>
      <c r="N21" s="47">
        <v>730.23721367378289</v>
      </c>
      <c r="O21" s="47">
        <v>12.1</v>
      </c>
      <c r="P21" s="47">
        <v>170.74786394803417</v>
      </c>
      <c r="Q21" s="47">
        <v>205.77268399210544</v>
      </c>
      <c r="R21" s="48">
        <f>IFERROR(+K21/J21-1,"N/A")</f>
        <v>8.9441860840660414E-2</v>
      </c>
      <c r="S21" s="48">
        <f>IFERROR(+N21/M21-1,"N/A")</f>
        <v>0.16585714606513546</v>
      </c>
      <c r="T21" s="48">
        <f t="shared" ref="T21:V21" si="13">L21/I21</f>
        <v>0.11807532296912633</v>
      </c>
      <c r="U21" s="48">
        <f t="shared" si="13"/>
        <v>8.1175595164162936E-2</v>
      </c>
      <c r="V21" s="48">
        <f t="shared" si="13"/>
        <v>8.6869387995796452E-2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1"/>
      <c r="B23" s="6" t="s">
        <v>39</v>
      </c>
      <c r="C23" s="6"/>
      <c r="D23" s="6"/>
      <c r="E23" s="85" t="s">
        <v>3</v>
      </c>
      <c r="F23" s="86"/>
      <c r="G23" s="86"/>
      <c r="H23" s="87"/>
      <c r="I23" s="85" t="s">
        <v>40</v>
      </c>
      <c r="J23" s="86"/>
      <c r="K23" s="87"/>
      <c r="L23" s="85" t="s">
        <v>40</v>
      </c>
      <c r="M23" s="86"/>
      <c r="N23" s="87"/>
      <c r="O23" s="7"/>
      <c r="P23" s="7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1"/>
      <c r="B24" s="7"/>
      <c r="C24" s="7"/>
      <c r="D24" s="8"/>
      <c r="E24" s="8" t="s">
        <v>6</v>
      </c>
      <c r="F24" s="8"/>
      <c r="G24" s="8"/>
      <c r="H24" s="8" t="s">
        <v>7</v>
      </c>
      <c r="I24" s="85" t="s">
        <v>8</v>
      </c>
      <c r="J24" s="86"/>
      <c r="K24" s="87"/>
      <c r="L24" s="85" t="s">
        <v>9</v>
      </c>
      <c r="M24" s="86"/>
      <c r="N24" s="87"/>
      <c r="O24" s="85" t="s">
        <v>41</v>
      </c>
      <c r="P24" s="86"/>
      <c r="Q24" s="87"/>
      <c r="R24" s="49"/>
      <c r="S24" s="49"/>
      <c r="T24" s="49"/>
      <c r="U24" s="49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1"/>
      <c r="B25" s="11" t="s">
        <v>12</v>
      </c>
      <c r="C25" s="11"/>
      <c r="D25" s="12"/>
      <c r="E25" s="12" t="s">
        <v>15</v>
      </c>
      <c r="F25" s="12"/>
      <c r="G25" s="12"/>
      <c r="H25" s="12" t="s">
        <v>15</v>
      </c>
      <c r="I25" s="13" t="str">
        <f>$I$7</f>
        <v>LTM</v>
      </c>
      <c r="J25" s="14">
        <f>+$J$7</f>
        <v>43100</v>
      </c>
      <c r="K25" s="14">
        <f>+$K$7</f>
        <v>43465</v>
      </c>
      <c r="L25" s="13" t="str">
        <f>$I$7</f>
        <v>LTM</v>
      </c>
      <c r="M25" s="14">
        <f>+$J$7</f>
        <v>43100</v>
      </c>
      <c r="N25" s="14">
        <f>+$K$7</f>
        <v>43465</v>
      </c>
      <c r="O25" s="13" t="str">
        <f>$I$7</f>
        <v>LTM</v>
      </c>
      <c r="P25" s="14">
        <f>+$J$7</f>
        <v>43100</v>
      </c>
      <c r="Q25" s="14">
        <f>+$K$7</f>
        <v>43465</v>
      </c>
      <c r="R25" s="50"/>
      <c r="S25" s="50"/>
      <c r="T25" s="50"/>
      <c r="U25" s="5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1"/>
      <c r="B26" s="1" t="str">
        <f t="shared" ref="B26:C26" si="14">+B8</f>
        <v>United States Steel Corp.</v>
      </c>
      <c r="C26" s="1" t="str">
        <f t="shared" si="14"/>
        <v>X</v>
      </c>
      <c r="D26" s="15"/>
      <c r="E26" s="17">
        <f t="shared" ref="E26:E31" si="15">+E8</f>
        <v>0</v>
      </c>
      <c r="F26" s="18"/>
      <c r="G26" s="18"/>
      <c r="H26" s="17" t="e">
        <f t="shared" ref="H26:H31" si="16">+H8</f>
        <v>#REF!</v>
      </c>
      <c r="I26" s="51" t="str">
        <f t="shared" ref="I26:N26" si="17">IFERROR(IF(OR(+$H8/I8&lt;0,+$H8/I8&gt;=100),"NM",+$H8/I8),"N/A")</f>
        <v>N/A</v>
      </c>
      <c r="J26" s="51" t="str">
        <f t="shared" si="17"/>
        <v>N/A</v>
      </c>
      <c r="K26" s="51" t="str">
        <f t="shared" si="17"/>
        <v>N/A</v>
      </c>
      <c r="L26" s="51" t="str">
        <f t="shared" si="17"/>
        <v>N/A</v>
      </c>
      <c r="M26" s="51" t="str">
        <f t="shared" si="17"/>
        <v>N/A</v>
      </c>
      <c r="N26" s="51" t="str">
        <f t="shared" si="17"/>
        <v>N/A</v>
      </c>
      <c r="O26" s="51">
        <f t="shared" ref="O26:Q26" si="18">IFERROR(IF(OR(+$E8/O8&lt;0,+$E8/O8&gt;=100),"NM",+$E8/O8),"N/A")</f>
        <v>0</v>
      </c>
      <c r="P26" s="51">
        <f t="shared" si="18"/>
        <v>0</v>
      </c>
      <c r="Q26" s="51">
        <f t="shared" si="18"/>
        <v>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1"/>
      <c r="B27" s="1" t="str">
        <f t="shared" ref="B27:C27" si="19">+B9</f>
        <v>Nucor Corporation</v>
      </c>
      <c r="C27" s="1" t="str">
        <f t="shared" si="19"/>
        <v>NUE</v>
      </c>
      <c r="D27" s="20"/>
      <c r="E27" s="21">
        <f t="shared" si="15"/>
        <v>0</v>
      </c>
      <c r="F27" s="16"/>
      <c r="G27" s="16"/>
      <c r="H27" s="21" t="e">
        <f t="shared" si="16"/>
        <v>#REF!</v>
      </c>
      <c r="I27" s="51" t="str">
        <f t="shared" ref="I27:N27" si="20">IFERROR(IF(OR(+$H9/I9&lt;0,+$H9/I9&gt;=100),"NM",+$H9/I9),"N/A")</f>
        <v>N/A</v>
      </c>
      <c r="J27" s="51" t="str">
        <f t="shared" si="20"/>
        <v>N/A</v>
      </c>
      <c r="K27" s="51" t="str">
        <f t="shared" si="20"/>
        <v>N/A</v>
      </c>
      <c r="L27" s="51" t="str">
        <f t="shared" si="20"/>
        <v>N/A</v>
      </c>
      <c r="M27" s="51" t="str">
        <f t="shared" si="20"/>
        <v>N/A</v>
      </c>
      <c r="N27" s="51" t="str">
        <f t="shared" si="20"/>
        <v>N/A</v>
      </c>
      <c r="O27" s="51">
        <f t="shared" ref="O27:Q27" si="21">IFERROR(IF(OR(+$E9/O9&lt;0,+$E9/O9&gt;=100),"NM",+$E9/O9),"N/A")</f>
        <v>0</v>
      </c>
      <c r="P27" s="51">
        <f t="shared" si="21"/>
        <v>0</v>
      </c>
      <c r="Q27" s="51">
        <f t="shared" si="21"/>
        <v>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1"/>
      <c r="B28" s="1" t="str">
        <f t="shared" ref="B28:C28" si="22">+B10</f>
        <v>Commercial Metals Company</v>
      </c>
      <c r="C28" s="1" t="str">
        <f t="shared" si="22"/>
        <v>CMC</v>
      </c>
      <c r="D28" s="20"/>
      <c r="E28" s="21">
        <f t="shared" si="15"/>
        <v>0</v>
      </c>
      <c r="F28" s="16"/>
      <c r="G28" s="16"/>
      <c r="H28" s="21" t="e">
        <f t="shared" si="16"/>
        <v>#REF!</v>
      </c>
      <c r="I28" s="51" t="str">
        <f t="shared" ref="I28:N28" si="23">IFERROR(IF(OR(+$H10/I10&lt;0,+$H10/I10&gt;=100),"NM",+$H10/I10),"N/A")</f>
        <v>N/A</v>
      </c>
      <c r="J28" s="51" t="str">
        <f t="shared" si="23"/>
        <v>N/A</v>
      </c>
      <c r="K28" s="51" t="str">
        <f t="shared" si="23"/>
        <v>N/A</v>
      </c>
      <c r="L28" s="51" t="str">
        <f t="shared" si="23"/>
        <v>N/A</v>
      </c>
      <c r="M28" s="51" t="str">
        <f t="shared" si="23"/>
        <v>N/A</v>
      </c>
      <c r="N28" s="51" t="str">
        <f t="shared" si="23"/>
        <v>N/A</v>
      </c>
      <c r="O28" s="51">
        <f t="shared" ref="O28:Q28" si="24">IFERROR(IF(OR(+$E10/O10&lt;0,+$E10/O10&gt;=100),"NM",+$E10/O10),"N/A")</f>
        <v>0</v>
      </c>
      <c r="P28" s="51">
        <f t="shared" si="24"/>
        <v>0</v>
      </c>
      <c r="Q28" s="51">
        <f t="shared" si="24"/>
        <v>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1"/>
      <c r="B29" s="1" t="str">
        <f t="shared" ref="B29:C29" si="25">+B11</f>
        <v>AK Steel Holding Corporation</v>
      </c>
      <c r="C29" s="1" t="str">
        <f t="shared" si="25"/>
        <v>AKS</v>
      </c>
      <c r="D29" s="20"/>
      <c r="E29" s="21">
        <f t="shared" si="15"/>
        <v>0</v>
      </c>
      <c r="F29" s="16"/>
      <c r="G29" s="16"/>
      <c r="H29" s="21" t="e">
        <f t="shared" si="16"/>
        <v>#REF!</v>
      </c>
      <c r="I29" s="51" t="str">
        <f t="shared" ref="I29:N29" si="26">IFERROR(IF(OR(+$H11/I11&lt;0,+$H11/I11&gt;=100),"NM",+$H11/I11),"N/A")</f>
        <v>N/A</v>
      </c>
      <c r="J29" s="51" t="str">
        <f t="shared" si="26"/>
        <v>N/A</v>
      </c>
      <c r="K29" s="51" t="str">
        <f t="shared" si="26"/>
        <v>N/A</v>
      </c>
      <c r="L29" s="51" t="str">
        <f t="shared" si="26"/>
        <v>N/A</v>
      </c>
      <c r="M29" s="51" t="str">
        <f t="shared" si="26"/>
        <v>N/A</v>
      </c>
      <c r="N29" s="51" t="str">
        <f t="shared" si="26"/>
        <v>N/A</v>
      </c>
      <c r="O29" s="51">
        <f t="shared" ref="O29:Q29" si="27">IFERROR(IF(OR(+$E11/O11&lt;0,+$E11/O11&gt;=100),"NM",+$E11/O11),"N/A")</f>
        <v>0</v>
      </c>
      <c r="P29" s="51">
        <f t="shared" si="27"/>
        <v>0</v>
      </c>
      <c r="Q29" s="51">
        <f t="shared" si="27"/>
        <v>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1"/>
      <c r="B30" s="1" t="str">
        <f t="shared" ref="B30:C30" si="28">+B12</f>
        <v>Worthington Industries, Inc.</v>
      </c>
      <c r="C30" s="1" t="str">
        <f t="shared" si="28"/>
        <v>WOR</v>
      </c>
      <c r="D30" s="20"/>
      <c r="E30" s="21">
        <f t="shared" si="15"/>
        <v>0</v>
      </c>
      <c r="F30" s="16"/>
      <c r="G30" s="16"/>
      <c r="H30" s="21" t="e">
        <f t="shared" si="16"/>
        <v>#REF!</v>
      </c>
      <c r="I30" s="51" t="str">
        <f t="shared" ref="I30:N30" si="29">IFERROR(IF(OR(+$H12/I12&lt;0,+$H12/I12&gt;=100),"NM",+$H12/I12),"N/A")</f>
        <v>N/A</v>
      </c>
      <c r="J30" s="51" t="str">
        <f t="shared" si="29"/>
        <v>N/A</v>
      </c>
      <c r="K30" s="51" t="str">
        <f t="shared" si="29"/>
        <v>N/A</v>
      </c>
      <c r="L30" s="51" t="str">
        <f t="shared" si="29"/>
        <v>N/A</v>
      </c>
      <c r="M30" s="51" t="str">
        <f t="shared" si="29"/>
        <v>N/A</v>
      </c>
      <c r="N30" s="51" t="str">
        <f t="shared" si="29"/>
        <v>N/A</v>
      </c>
      <c r="O30" s="51">
        <f t="shared" ref="O30:Q30" si="30">IFERROR(IF(OR(+$E12/O12&lt;0,+$E12/O12&gt;=100),"NM",+$E12/O12),"N/A")</f>
        <v>0</v>
      </c>
      <c r="P30" s="51">
        <f t="shared" si="30"/>
        <v>0</v>
      </c>
      <c r="Q30" s="51">
        <f t="shared" si="30"/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1"/>
      <c r="B31" s="1" t="str">
        <f t="shared" ref="B31:C31" si="31">+B13</f>
        <v>Reliance Steel &amp; Aluminum Co.</v>
      </c>
      <c r="C31" s="1" t="str">
        <f t="shared" si="31"/>
        <v>RS</v>
      </c>
      <c r="D31" s="20"/>
      <c r="E31" s="21">
        <f t="shared" si="15"/>
        <v>0</v>
      </c>
      <c r="F31" s="16"/>
      <c r="G31" s="16"/>
      <c r="H31" s="21" t="e">
        <f t="shared" si="16"/>
        <v>#REF!</v>
      </c>
      <c r="I31" s="51" t="str">
        <f t="shared" ref="I31:N31" si="32">IFERROR(IF(OR(+$H13/I13&lt;0,+$H13/I13&gt;=100),"NM",+$H13/I13),"N/A")</f>
        <v>N/A</v>
      </c>
      <c r="J31" s="51" t="str">
        <f t="shared" si="32"/>
        <v>N/A</v>
      </c>
      <c r="K31" s="51" t="str">
        <f t="shared" si="32"/>
        <v>N/A</v>
      </c>
      <c r="L31" s="51" t="str">
        <f t="shared" si="32"/>
        <v>N/A</v>
      </c>
      <c r="M31" s="51" t="str">
        <f t="shared" si="32"/>
        <v>N/A</v>
      </c>
      <c r="N31" s="51" t="str">
        <f t="shared" si="32"/>
        <v>N/A</v>
      </c>
      <c r="O31" s="51">
        <f t="shared" ref="O31:Q31" si="33">IFERROR(IF(OR(+$E13/O13&lt;0,+$E13/O13&gt;=100),"NM",+$E13/O13),"N/A")</f>
        <v>0</v>
      </c>
      <c r="P31" s="51">
        <f t="shared" si="33"/>
        <v>0</v>
      </c>
      <c r="Q31" s="51">
        <f t="shared" si="33"/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1"/>
      <c r="B33" s="22" t="s">
        <v>32</v>
      </c>
      <c r="C33" s="23"/>
      <c r="D33" s="24"/>
      <c r="E33" s="25">
        <f>MAX(E26:E31)</f>
        <v>0</v>
      </c>
      <c r="F33" s="25"/>
      <c r="G33" s="25"/>
      <c r="H33" s="25" t="e">
        <f t="shared" ref="H33:Q33" si="34">MAX(H26:H31)</f>
        <v>#REF!</v>
      </c>
      <c r="I33" s="52">
        <f t="shared" si="34"/>
        <v>0</v>
      </c>
      <c r="J33" s="52">
        <f t="shared" si="34"/>
        <v>0</v>
      </c>
      <c r="K33" s="52">
        <f t="shared" si="34"/>
        <v>0</v>
      </c>
      <c r="L33" s="52">
        <f t="shared" si="34"/>
        <v>0</v>
      </c>
      <c r="M33" s="52">
        <f t="shared" si="34"/>
        <v>0</v>
      </c>
      <c r="N33" s="52">
        <f t="shared" si="34"/>
        <v>0</v>
      </c>
      <c r="O33" s="52">
        <f t="shared" si="34"/>
        <v>0</v>
      </c>
      <c r="P33" s="52">
        <f t="shared" si="34"/>
        <v>0</v>
      </c>
      <c r="Q33" s="53">
        <f t="shared" si="34"/>
        <v>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1"/>
      <c r="B34" s="28" t="s">
        <v>33</v>
      </c>
      <c r="C34" s="1"/>
      <c r="D34" s="29"/>
      <c r="E34" s="30">
        <f>QUARTILE(E26:E31,3)</f>
        <v>0</v>
      </c>
      <c r="F34" s="30"/>
      <c r="G34" s="30"/>
      <c r="H34" s="30" t="e">
        <f t="shared" ref="H34:Q34" si="35">QUARTILE(H26:H31,3)</f>
        <v>#REF!</v>
      </c>
      <c r="I34" s="51" t="e">
        <f t="shared" si="35"/>
        <v>#NUM!</v>
      </c>
      <c r="J34" s="51" t="e">
        <f t="shared" si="35"/>
        <v>#NUM!</v>
      </c>
      <c r="K34" s="51" t="e">
        <f t="shared" si="35"/>
        <v>#NUM!</v>
      </c>
      <c r="L34" s="51" t="e">
        <f t="shared" si="35"/>
        <v>#NUM!</v>
      </c>
      <c r="M34" s="51" t="e">
        <f t="shared" si="35"/>
        <v>#NUM!</v>
      </c>
      <c r="N34" s="51" t="e">
        <f t="shared" si="35"/>
        <v>#NUM!</v>
      </c>
      <c r="O34" s="51">
        <f t="shared" si="35"/>
        <v>0</v>
      </c>
      <c r="P34" s="51">
        <f t="shared" si="35"/>
        <v>0</v>
      </c>
      <c r="Q34" s="54">
        <f t="shared" si="35"/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1"/>
      <c r="B35" s="32" t="s">
        <v>34</v>
      </c>
      <c r="C35" s="33"/>
      <c r="D35" s="34"/>
      <c r="E35" s="35">
        <f>MEDIAN(E26:E31)</f>
        <v>0</v>
      </c>
      <c r="F35" s="35"/>
      <c r="G35" s="35"/>
      <c r="H35" s="35" t="e">
        <f t="shared" ref="H35:Q35" si="36">MEDIAN(H26:H31)</f>
        <v>#REF!</v>
      </c>
      <c r="I35" s="55" t="e">
        <f t="shared" si="36"/>
        <v>#NUM!</v>
      </c>
      <c r="J35" s="55" t="e">
        <f t="shared" si="36"/>
        <v>#NUM!</v>
      </c>
      <c r="K35" s="55" t="e">
        <f t="shared" si="36"/>
        <v>#NUM!</v>
      </c>
      <c r="L35" s="55" t="e">
        <f t="shared" si="36"/>
        <v>#NUM!</v>
      </c>
      <c r="M35" s="55" t="e">
        <f t="shared" si="36"/>
        <v>#NUM!</v>
      </c>
      <c r="N35" s="55" t="e">
        <f t="shared" si="36"/>
        <v>#NUM!</v>
      </c>
      <c r="O35" s="55">
        <f t="shared" si="36"/>
        <v>0</v>
      </c>
      <c r="P35" s="55">
        <f t="shared" si="36"/>
        <v>0</v>
      </c>
      <c r="Q35" s="56">
        <f t="shared" si="36"/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1"/>
      <c r="B36" s="28" t="s">
        <v>35</v>
      </c>
      <c r="C36" s="3"/>
      <c r="D36" s="29"/>
      <c r="E36" s="30">
        <f>QUARTILE(E26:E31,1)</f>
        <v>0</v>
      </c>
      <c r="F36" s="30"/>
      <c r="G36" s="30"/>
      <c r="H36" s="30" t="e">
        <f t="shared" ref="H36:Q36" si="37">QUARTILE(H26:H31,1)</f>
        <v>#REF!</v>
      </c>
      <c r="I36" s="51" t="e">
        <f t="shared" si="37"/>
        <v>#NUM!</v>
      </c>
      <c r="J36" s="51" t="e">
        <f t="shared" si="37"/>
        <v>#NUM!</v>
      </c>
      <c r="K36" s="51" t="e">
        <f t="shared" si="37"/>
        <v>#NUM!</v>
      </c>
      <c r="L36" s="51" t="e">
        <f t="shared" si="37"/>
        <v>#NUM!</v>
      </c>
      <c r="M36" s="51" t="e">
        <f t="shared" si="37"/>
        <v>#NUM!</v>
      </c>
      <c r="N36" s="51" t="e">
        <f t="shared" si="37"/>
        <v>#NUM!</v>
      </c>
      <c r="O36" s="51">
        <f t="shared" si="37"/>
        <v>0</v>
      </c>
      <c r="P36" s="51">
        <f t="shared" si="37"/>
        <v>0</v>
      </c>
      <c r="Q36" s="54">
        <f t="shared" si="37"/>
        <v>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1"/>
      <c r="B37" s="38" t="s">
        <v>36</v>
      </c>
      <c r="C37" s="39"/>
      <c r="D37" s="40"/>
      <c r="E37" s="41">
        <f>MIN(E26:E31)</f>
        <v>0</v>
      </c>
      <c r="F37" s="41"/>
      <c r="G37" s="41"/>
      <c r="H37" s="41" t="e">
        <f t="shared" ref="H37:Q37" si="38">MIN(H26:H31)</f>
        <v>#REF!</v>
      </c>
      <c r="I37" s="57">
        <f t="shared" si="38"/>
        <v>0</v>
      </c>
      <c r="J37" s="57">
        <f t="shared" si="38"/>
        <v>0</v>
      </c>
      <c r="K37" s="57">
        <f t="shared" si="38"/>
        <v>0</v>
      </c>
      <c r="L37" s="57">
        <f t="shared" si="38"/>
        <v>0</v>
      </c>
      <c r="M37" s="57">
        <f t="shared" si="38"/>
        <v>0</v>
      </c>
      <c r="N37" s="57">
        <f t="shared" si="38"/>
        <v>0</v>
      </c>
      <c r="O37" s="57">
        <f t="shared" si="38"/>
        <v>0</v>
      </c>
      <c r="P37" s="57">
        <f t="shared" si="38"/>
        <v>0</v>
      </c>
      <c r="Q37" s="58">
        <f t="shared" si="38"/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4.25" customHeight="1" x14ac:dyDescent="0.2">
      <c r="A39" s="1"/>
      <c r="B39" s="44" t="str">
        <f t="shared" ref="B39:C39" si="39">B21</f>
        <v>Steel Dynamics Inc.</v>
      </c>
      <c r="C39" s="45" t="str">
        <f t="shared" si="39"/>
        <v>STLD</v>
      </c>
      <c r="D39" s="46"/>
      <c r="E39" s="59" t="e">
        <f>+E21</f>
        <v>#REF!</v>
      </c>
      <c r="F39" s="60"/>
      <c r="G39" s="60"/>
      <c r="H39" s="59" t="e">
        <f>+H21</f>
        <v>#REF!</v>
      </c>
      <c r="I39" s="61" t="str">
        <f t="shared" ref="I39:N39" si="40">IFERROR(IF(OR(+$H21/I21&lt;0,+$H21/I21&gt;=100),"NM",+$H21/I21),"N/A")</f>
        <v>N/A</v>
      </c>
      <c r="J39" s="61" t="str">
        <f t="shared" si="40"/>
        <v>N/A</v>
      </c>
      <c r="K39" s="62" t="str">
        <f t="shared" si="40"/>
        <v>N/A</v>
      </c>
      <c r="L39" s="61" t="str">
        <f t="shared" si="40"/>
        <v>N/A</v>
      </c>
      <c r="M39" s="61" t="str">
        <f t="shared" si="40"/>
        <v>N/A</v>
      </c>
      <c r="N39" s="61" t="str">
        <f t="shared" si="40"/>
        <v>N/A</v>
      </c>
      <c r="O39" s="61" t="str">
        <f t="shared" ref="O39:Q39" si="41">IFERROR(IF(OR(+$E21/O21&lt;0,+$E21/O21&gt;=100),"NM",+$E21/O21),"N/A")</f>
        <v>N/A</v>
      </c>
      <c r="P39" s="61" t="str">
        <f t="shared" si="41"/>
        <v>N/A</v>
      </c>
      <c r="Q39" s="61" t="str">
        <f t="shared" si="41"/>
        <v>N/A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11">
    <mergeCell ref="T6:V6"/>
    <mergeCell ref="E23:H23"/>
    <mergeCell ref="L23:N23"/>
    <mergeCell ref="I23:K23"/>
    <mergeCell ref="I24:K24"/>
    <mergeCell ref="L24:N24"/>
    <mergeCell ref="O24:Q24"/>
    <mergeCell ref="E5:H5"/>
    <mergeCell ref="I6:K6"/>
    <mergeCell ref="L6:N6"/>
    <mergeCell ref="O6:Q6"/>
  </mergeCells>
  <pageMargins left="0.7" right="0.7" top="0.75" bottom="0.75" header="0" footer="0"/>
  <pageSetup scale="3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H36" sqref="H36"/>
    </sheetView>
  </sheetViews>
  <sheetFormatPr baseColWidth="10" defaultColWidth="14.5" defaultRowHeight="15" customHeight="1" x14ac:dyDescent="0.2"/>
  <cols>
    <col min="1" max="1" width="2.6640625" customWidth="1"/>
    <col min="2" max="2" width="42.5" customWidth="1"/>
    <col min="3" max="7" width="10.6640625" customWidth="1"/>
    <col min="8" max="8" width="11.33203125" customWidth="1"/>
    <col min="9" max="13" width="10.6640625" customWidth="1"/>
    <col min="14" max="26" width="9.1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6" t="s">
        <v>42</v>
      </c>
      <c r="C5" s="85" t="s">
        <v>43</v>
      </c>
      <c r="D5" s="86"/>
      <c r="E5" s="86"/>
      <c r="F5" s="86"/>
      <c r="G5" s="86"/>
      <c r="H5" s="87"/>
      <c r="I5" s="85" t="s">
        <v>44</v>
      </c>
      <c r="J5" s="86"/>
      <c r="K5" s="86"/>
      <c r="L5" s="86"/>
      <c r="M5" s="8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7"/>
      <c r="C6" s="8"/>
      <c r="D6" s="9"/>
      <c r="E6" s="9"/>
      <c r="F6" s="64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7"/>
      <c r="C7" s="8"/>
      <c r="D7" s="8" t="s">
        <v>45</v>
      </c>
      <c r="E7" s="8"/>
      <c r="F7" s="8" t="s">
        <v>46</v>
      </c>
      <c r="G7" s="9"/>
      <c r="H7" s="8" t="s">
        <v>47</v>
      </c>
      <c r="I7" s="8"/>
      <c r="J7" s="8" t="s">
        <v>46</v>
      </c>
      <c r="K7" s="8"/>
      <c r="L7" s="8" t="s">
        <v>45</v>
      </c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7"/>
      <c r="C8" s="8" t="s">
        <v>32</v>
      </c>
      <c r="D8" s="8" t="s">
        <v>48</v>
      </c>
      <c r="E8" s="8" t="s">
        <v>34</v>
      </c>
      <c r="F8" s="8" t="s">
        <v>48</v>
      </c>
      <c r="G8" s="8" t="s">
        <v>36</v>
      </c>
      <c r="H8" s="8" t="s">
        <v>49</v>
      </c>
      <c r="I8" s="8" t="s">
        <v>36</v>
      </c>
      <c r="J8" s="8" t="s">
        <v>48</v>
      </c>
      <c r="K8" s="8" t="s">
        <v>34</v>
      </c>
      <c r="L8" s="8" t="s">
        <v>48</v>
      </c>
      <c r="M8" s="8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1" t="s">
        <v>50</v>
      </c>
      <c r="C9" s="12" t="s">
        <v>51</v>
      </c>
      <c r="D9" s="12" t="s">
        <v>51</v>
      </c>
      <c r="E9" s="12" t="s">
        <v>51</v>
      </c>
      <c r="F9" s="12" t="s">
        <v>51</v>
      </c>
      <c r="G9" s="12" t="s">
        <v>51</v>
      </c>
      <c r="H9" s="12" t="s">
        <v>52</v>
      </c>
      <c r="I9" s="12" t="s">
        <v>51</v>
      </c>
      <c r="J9" s="12" t="s">
        <v>51</v>
      </c>
      <c r="K9" s="12" t="s">
        <v>51</v>
      </c>
      <c r="L9" s="12" t="s">
        <v>51</v>
      </c>
      <c r="M9" s="12" t="s">
        <v>51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3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65" t="s">
        <v>54</v>
      </c>
      <c r="C12" s="66">
        <f t="array" ref="C12:G20">TRANSPOSE('Public-Comps'!I33:Q37)</f>
        <v>0</v>
      </c>
      <c r="D12" s="66" t="e">
        <v>#NUM!</v>
      </c>
      <c r="E12" s="66" t="e">
        <v>#NUM!</v>
      </c>
      <c r="F12" s="66" t="e">
        <v>#NUM!</v>
      </c>
      <c r="G12" s="66">
        <v>0</v>
      </c>
      <c r="H12" s="67">
        <f t="array" ref="H12:H20">TRANSPOSE('Public-Comps'!I21:Q21)</f>
        <v>7307.2</v>
      </c>
      <c r="I12" s="68">
        <f t="shared" ref="I12:M17" si="0">(+I24+SUM($E$23:$E$32))/Diluted_Shares</f>
        <v>-6.4268212563580249</v>
      </c>
      <c r="J12" s="68" t="e">
        <f t="shared" si="0"/>
        <v>#NUM!</v>
      </c>
      <c r="K12" s="68" t="e">
        <f t="shared" si="0"/>
        <v>#NUM!</v>
      </c>
      <c r="L12" s="68" t="e">
        <f t="shared" si="0"/>
        <v>#NUM!</v>
      </c>
      <c r="M12" s="68">
        <f t="shared" si="0"/>
        <v>-6.4268212563580249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65" t="str">
        <f>"FY "&amp;TEXT(EOMONTH("12/31/2016",12),"YY")&amp;" EV / Revenue:"</f>
        <v>FY 17 EV / Revenue:</v>
      </c>
      <c r="C13" s="66">
        <v>0</v>
      </c>
      <c r="D13" s="66" t="e">
        <v>#NUM!</v>
      </c>
      <c r="E13" s="66" t="e">
        <v>#NUM!</v>
      </c>
      <c r="F13" s="66" t="e">
        <v>#NUM!</v>
      </c>
      <c r="G13" s="66">
        <v>0</v>
      </c>
      <c r="H13" s="69">
        <v>7716.0163775469155</v>
      </c>
      <c r="I13" s="29">
        <f t="shared" si="0"/>
        <v>-6.4268212563580249</v>
      </c>
      <c r="J13" s="29" t="e">
        <f t="shared" si="0"/>
        <v>#NUM!</v>
      </c>
      <c r="K13" s="29" t="e">
        <f t="shared" si="0"/>
        <v>#NUM!</v>
      </c>
      <c r="L13" s="29" t="e">
        <f t="shared" si="0"/>
        <v>#NUM!</v>
      </c>
      <c r="M13" s="29">
        <f t="shared" si="0"/>
        <v>-6.4268212563580249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65" t="str">
        <f>"FY "&amp;TEXT(EOMONTH("12/31/2016",24),"YY")&amp;" EV / Revenue:"</f>
        <v>FY 18 EV / Revenue:</v>
      </c>
      <c r="C14" s="66">
        <v>0</v>
      </c>
      <c r="D14" s="66" t="e">
        <v>#NUM!</v>
      </c>
      <c r="E14" s="66" t="e">
        <v>#NUM!</v>
      </c>
      <c r="F14" s="66" t="e">
        <v>#NUM!</v>
      </c>
      <c r="G14" s="66">
        <v>0</v>
      </c>
      <c r="H14" s="69">
        <v>8406.1512406317233</v>
      </c>
      <c r="I14" s="29">
        <f t="shared" si="0"/>
        <v>-6.4268212563580249</v>
      </c>
      <c r="J14" s="29" t="e">
        <f t="shared" si="0"/>
        <v>#NUM!</v>
      </c>
      <c r="K14" s="29" t="e">
        <f t="shared" si="0"/>
        <v>#NUM!</v>
      </c>
      <c r="L14" s="29" t="e">
        <f t="shared" si="0"/>
        <v>#NUM!</v>
      </c>
      <c r="M14" s="29">
        <f t="shared" si="0"/>
        <v>-6.4268212563580249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65" t="s">
        <v>55</v>
      </c>
      <c r="C15" s="66">
        <v>0</v>
      </c>
      <c r="D15" s="66" t="e">
        <v>#NUM!</v>
      </c>
      <c r="E15" s="66" t="e">
        <v>#NUM!</v>
      </c>
      <c r="F15" s="66" t="e">
        <v>#NUM!</v>
      </c>
      <c r="G15" s="66">
        <v>0</v>
      </c>
      <c r="H15" s="69">
        <v>862.8</v>
      </c>
      <c r="I15" s="29">
        <f t="shared" si="0"/>
        <v>-6.4268212563580249</v>
      </c>
      <c r="J15" s="29" t="e">
        <f t="shared" si="0"/>
        <v>#NUM!</v>
      </c>
      <c r="K15" s="29" t="e">
        <f t="shared" si="0"/>
        <v>#NUM!</v>
      </c>
      <c r="L15" s="29" t="e">
        <f t="shared" si="0"/>
        <v>#NUM!</v>
      </c>
      <c r="M15" s="29">
        <f t="shared" si="0"/>
        <v>-6.4268212563580249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65" t="str">
        <f>"FY "&amp;TEXT(EOMONTH("12/31/2016",12),"YY")&amp;" EV / EBITDA:"</f>
        <v>FY 17 EV / EBITDA:</v>
      </c>
      <c r="C16" s="66">
        <v>0</v>
      </c>
      <c r="D16" s="66" t="e">
        <v>#NUM!</v>
      </c>
      <c r="E16" s="66" t="e">
        <v>#NUM!</v>
      </c>
      <c r="F16" s="66" t="e">
        <v>#NUM!</v>
      </c>
      <c r="G16" s="66">
        <v>0</v>
      </c>
      <c r="H16" s="69">
        <v>626.35222174379942</v>
      </c>
      <c r="I16" s="29">
        <f t="shared" si="0"/>
        <v>-6.4268212563580249</v>
      </c>
      <c r="J16" s="29" t="e">
        <f t="shared" si="0"/>
        <v>#NUM!</v>
      </c>
      <c r="K16" s="29" t="e">
        <f t="shared" si="0"/>
        <v>#NUM!</v>
      </c>
      <c r="L16" s="29" t="e">
        <f t="shared" si="0"/>
        <v>#NUM!</v>
      </c>
      <c r="M16" s="29">
        <f t="shared" si="0"/>
        <v>-6.4268212563580249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65" t="str">
        <f>"FY "&amp;TEXT(EOMONTH("12/31/2016",24),"YY")&amp;" EV / EBITDA:"</f>
        <v>FY 18 EV / EBITDA:</v>
      </c>
      <c r="C17" s="66">
        <v>0</v>
      </c>
      <c r="D17" s="66" t="e">
        <v>#NUM!</v>
      </c>
      <c r="E17" s="66" t="e">
        <v>#NUM!</v>
      </c>
      <c r="F17" s="66" t="e">
        <v>#NUM!</v>
      </c>
      <c r="G17" s="66">
        <v>0</v>
      </c>
      <c r="H17" s="69">
        <v>730.23721367378289</v>
      </c>
      <c r="I17" s="29">
        <f t="shared" si="0"/>
        <v>-6.4268212563580249</v>
      </c>
      <c r="J17" s="29" t="e">
        <f t="shared" si="0"/>
        <v>#NUM!</v>
      </c>
      <c r="K17" s="29" t="e">
        <f t="shared" si="0"/>
        <v>#NUM!</v>
      </c>
      <c r="L17" s="29" t="e">
        <f t="shared" si="0"/>
        <v>#NUM!</v>
      </c>
      <c r="M17" s="29">
        <f t="shared" si="0"/>
        <v>-6.4268212563580249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65" t="s">
        <v>56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9">
        <v>12.1</v>
      </c>
      <c r="I18" s="29">
        <f t="shared" ref="I18:M20" si="1">+I30/Diluted_Shares</f>
        <v>0</v>
      </c>
      <c r="J18" s="29">
        <f t="shared" si="1"/>
        <v>0</v>
      </c>
      <c r="K18" s="29">
        <f t="shared" si="1"/>
        <v>0</v>
      </c>
      <c r="L18" s="29">
        <f t="shared" si="1"/>
        <v>0</v>
      </c>
      <c r="M18" s="29">
        <f t="shared" si="1"/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65" t="str">
        <f>"FY "&amp;TEXT(EOMONTH("12/31/2016",12),"YY")&amp;" P / E:"</f>
        <v>FY 17 P / E: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9">
        <v>170.74786394803417</v>
      </c>
      <c r="I19" s="29">
        <f t="shared" si="1"/>
        <v>0</v>
      </c>
      <c r="J19" s="29">
        <f t="shared" si="1"/>
        <v>0</v>
      </c>
      <c r="K19" s="29">
        <f t="shared" si="1"/>
        <v>0</v>
      </c>
      <c r="L19" s="29">
        <f t="shared" si="1"/>
        <v>0</v>
      </c>
      <c r="M19" s="29">
        <f t="shared" si="1"/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65" t="str">
        <f>"FY "&amp;TEXT(EOMONTH("12/31/2016",24),"YY")&amp;" P / E:"</f>
        <v>FY 18 P / E: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9">
        <v>205.77268399210544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70" t="s">
        <v>57</v>
      </c>
      <c r="C22" s="71"/>
      <c r="D22" s="71"/>
      <c r="E22" s="72">
        <f>+I24</f>
        <v>0</v>
      </c>
      <c r="F22" s="1"/>
      <c r="G22" s="88" t="s">
        <v>58</v>
      </c>
      <c r="H22" s="89"/>
      <c r="I22" s="89"/>
      <c r="J22" s="89"/>
      <c r="K22" s="89"/>
      <c r="L22" s="89"/>
      <c r="M22" s="9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65" t="s">
        <v>59</v>
      </c>
      <c r="C23" s="1"/>
      <c r="D23" s="1"/>
      <c r="E23" s="16">
        <v>1072.221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65" t="s">
        <v>60</v>
      </c>
      <c r="C24" s="1"/>
      <c r="D24" s="1"/>
      <c r="E24" s="16">
        <v>0</v>
      </c>
      <c r="F24" s="1"/>
      <c r="G24" s="1" t="s">
        <v>61</v>
      </c>
      <c r="H24" s="1"/>
      <c r="I24" s="17">
        <f t="shared" ref="I24:I32" si="2">+$H12*G12</f>
        <v>0</v>
      </c>
      <c r="J24" s="17" t="e">
        <f t="shared" ref="J24:J32" si="3">+$H12*F12</f>
        <v>#NUM!</v>
      </c>
      <c r="K24" s="17" t="e">
        <f t="shared" ref="K24:K32" si="4">+$H12*E12</f>
        <v>#NUM!</v>
      </c>
      <c r="L24" s="17" t="e">
        <f t="shared" ref="L24:L32" si="5">+$H12*D12</f>
        <v>#NUM!</v>
      </c>
      <c r="M24" s="17">
        <f t="shared" ref="M24:M32" si="6">+$H12*C12</f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65" t="s">
        <v>62</v>
      </c>
      <c r="C25" s="1"/>
      <c r="D25" s="1"/>
      <c r="E25" s="16">
        <v>0</v>
      </c>
      <c r="F25" s="1"/>
      <c r="G25" s="1" t="s">
        <v>61</v>
      </c>
      <c r="H25" s="1"/>
      <c r="I25" s="21">
        <f t="shared" si="2"/>
        <v>0</v>
      </c>
      <c r="J25" s="21" t="e">
        <f t="shared" si="3"/>
        <v>#NUM!</v>
      </c>
      <c r="K25" s="21" t="e">
        <f t="shared" si="4"/>
        <v>#NUM!</v>
      </c>
      <c r="L25" s="21" t="e">
        <f t="shared" si="5"/>
        <v>#NUM!</v>
      </c>
      <c r="M25" s="21">
        <f t="shared" si="6"/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65" t="s">
        <v>63</v>
      </c>
      <c r="C26" s="1"/>
      <c r="D26" s="1"/>
      <c r="E26" s="16">
        <v>61.148000000000003</v>
      </c>
      <c r="F26" s="1"/>
      <c r="G26" s="1" t="s">
        <v>61</v>
      </c>
      <c r="H26" s="1"/>
      <c r="I26" s="21">
        <f t="shared" si="2"/>
        <v>0</v>
      </c>
      <c r="J26" s="21" t="e">
        <f t="shared" si="3"/>
        <v>#NUM!</v>
      </c>
      <c r="K26" s="21" t="e">
        <f t="shared" si="4"/>
        <v>#NUM!</v>
      </c>
      <c r="L26" s="21" t="e">
        <f t="shared" si="5"/>
        <v>#NUM!</v>
      </c>
      <c r="M26" s="21">
        <f t="shared" si="6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65" t="s">
        <v>64</v>
      </c>
      <c r="C27" s="1"/>
      <c r="D27" s="1"/>
      <c r="E27" s="16">
        <v>-2700</v>
      </c>
      <c r="F27" s="1"/>
      <c r="G27" s="1" t="s">
        <v>61</v>
      </c>
      <c r="H27" s="1"/>
      <c r="I27" s="21">
        <f t="shared" si="2"/>
        <v>0</v>
      </c>
      <c r="J27" s="21" t="e">
        <f t="shared" si="3"/>
        <v>#NUM!</v>
      </c>
      <c r="K27" s="21" t="e">
        <f t="shared" si="4"/>
        <v>#NUM!</v>
      </c>
      <c r="L27" s="21" t="e">
        <f t="shared" si="5"/>
        <v>#NUM!</v>
      </c>
      <c r="M27" s="21">
        <f t="shared" si="6"/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65" t="s">
        <v>65</v>
      </c>
      <c r="C28" s="1"/>
      <c r="D28" s="1"/>
      <c r="E28" s="16">
        <v>0</v>
      </c>
      <c r="F28" s="1"/>
      <c r="G28" s="1" t="s">
        <v>61</v>
      </c>
      <c r="H28" s="1"/>
      <c r="I28" s="21">
        <f t="shared" si="2"/>
        <v>0</v>
      </c>
      <c r="J28" s="21" t="e">
        <f t="shared" si="3"/>
        <v>#NUM!</v>
      </c>
      <c r="K28" s="21" t="e">
        <f t="shared" si="4"/>
        <v>#NUM!</v>
      </c>
      <c r="L28" s="21" t="e">
        <f t="shared" si="5"/>
        <v>#NUM!</v>
      </c>
      <c r="M28" s="21">
        <f t="shared" si="6"/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65" t="s">
        <v>66</v>
      </c>
      <c r="C29" s="1"/>
      <c r="D29" s="1"/>
      <c r="E29" s="16">
        <v>11.230999999999995</v>
      </c>
      <c r="F29" s="1"/>
      <c r="G29" s="1" t="s">
        <v>61</v>
      </c>
      <c r="H29" s="1"/>
      <c r="I29" s="21">
        <f t="shared" si="2"/>
        <v>0</v>
      </c>
      <c r="J29" s="21" t="e">
        <f t="shared" si="3"/>
        <v>#NUM!</v>
      </c>
      <c r="K29" s="21" t="e">
        <f t="shared" si="4"/>
        <v>#NUM!</v>
      </c>
      <c r="L29" s="21" t="e">
        <f t="shared" si="5"/>
        <v>#NUM!</v>
      </c>
      <c r="M29" s="21">
        <f t="shared" si="6"/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65" t="s">
        <v>67</v>
      </c>
      <c r="C30" s="1"/>
      <c r="D30" s="1"/>
      <c r="E30" s="16">
        <v>0</v>
      </c>
      <c r="F30" s="1"/>
      <c r="G30" s="1" t="s">
        <v>68</v>
      </c>
      <c r="H30" s="1"/>
      <c r="I30" s="21">
        <f t="shared" si="2"/>
        <v>0</v>
      </c>
      <c r="J30" s="21">
        <f t="shared" si="3"/>
        <v>0</v>
      </c>
      <c r="K30" s="21">
        <f t="shared" si="4"/>
        <v>0</v>
      </c>
      <c r="L30" s="21">
        <f t="shared" si="5"/>
        <v>0</v>
      </c>
      <c r="M30" s="21">
        <f t="shared" si="6"/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65" t="s">
        <v>69</v>
      </c>
      <c r="C31" s="1"/>
      <c r="D31" s="1"/>
      <c r="E31" s="16">
        <v>0</v>
      </c>
      <c r="F31" s="1"/>
      <c r="G31" s="1" t="s">
        <v>68</v>
      </c>
      <c r="H31" s="1"/>
      <c r="I31" s="21">
        <f t="shared" si="2"/>
        <v>0</v>
      </c>
      <c r="J31" s="21">
        <f t="shared" si="3"/>
        <v>0</v>
      </c>
      <c r="K31" s="21">
        <f t="shared" si="4"/>
        <v>0</v>
      </c>
      <c r="L31" s="21">
        <f t="shared" si="5"/>
        <v>0</v>
      </c>
      <c r="M31" s="21">
        <f t="shared" si="6"/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65" t="s">
        <v>70</v>
      </c>
      <c r="C32" s="1"/>
      <c r="D32" s="1"/>
      <c r="E32" s="73">
        <v>0</v>
      </c>
      <c r="F32" s="1"/>
      <c r="G32" s="1" t="s">
        <v>68</v>
      </c>
      <c r="H32" s="1"/>
      <c r="I32" s="21">
        <f t="shared" si="2"/>
        <v>0</v>
      </c>
      <c r="J32" s="21">
        <f t="shared" si="3"/>
        <v>0</v>
      </c>
      <c r="K32" s="21">
        <f t="shared" si="4"/>
        <v>0</v>
      </c>
      <c r="L32" s="21">
        <f t="shared" si="5"/>
        <v>0</v>
      </c>
      <c r="M32" s="21">
        <f t="shared" si="6"/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74" t="s">
        <v>71</v>
      </c>
      <c r="C33" s="75"/>
      <c r="D33" s="75"/>
      <c r="E33" s="76">
        <f>SUM(E22:E32)</f>
        <v>-1555.4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21"/>
      <c r="J34" s="21"/>
      <c r="K34" s="21"/>
      <c r="L34" s="21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 t="s">
        <v>72</v>
      </c>
      <c r="C35" s="1"/>
      <c r="D35" s="1"/>
      <c r="E35" s="77">
        <v>242.017</v>
      </c>
      <c r="F35" s="1"/>
      <c r="G35" s="1"/>
      <c r="H35" s="1"/>
      <c r="I35" s="21"/>
      <c r="J35" s="21"/>
      <c r="K35" s="21"/>
      <c r="L35" s="21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78" t="s">
        <v>73</v>
      </c>
      <c r="C37" s="79"/>
      <c r="D37" s="79"/>
      <c r="E37" s="80">
        <f>+E33/E35</f>
        <v>-6.4268212563580249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81" t="s">
        <v>74</v>
      </c>
      <c r="C38" s="82"/>
      <c r="D38" s="82"/>
      <c r="E38" s="83">
        <f>+E37/'Public-Comps'!D21-1</f>
        <v>-1.2573817083042862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84"/>
      <c r="C39" s="84"/>
      <c r="D39" s="84"/>
      <c r="E39" s="8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5:H5"/>
    <mergeCell ref="I5:M5"/>
    <mergeCell ref="G22:M22"/>
  </mergeCells>
  <pageMargins left="0.7" right="0.7" top="0.75" bottom="0.75" header="0" footer="0"/>
  <pageSetup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Public-Comps</vt:lpstr>
      <vt:lpstr>ValSum</vt:lpstr>
      <vt:lpstr>Diluted_Shares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Microsoft Office User</cp:lastModifiedBy>
  <dcterms:created xsi:type="dcterms:W3CDTF">2009-06-26T05:31:17Z</dcterms:created>
  <dcterms:modified xsi:type="dcterms:W3CDTF">2023-01-08T09:14:06Z</dcterms:modified>
</cp:coreProperties>
</file>