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awrencelim/Projects/python-projects/pyfinny/resources/"/>
    </mc:Choice>
  </mc:AlternateContent>
  <xr:revisionPtr revIDLastSave="0" documentId="13_ncr:1_{531B995F-E8EA-314D-B3FB-85C42E52CC38}" xr6:coauthVersionLast="47" xr6:coauthVersionMax="47" xr10:uidLastSave="{00000000-0000-0000-0000-000000000000}"/>
  <bookViews>
    <workbookView xWindow="8840" yWindow="21600" windowWidth="21600" windowHeight="16200" activeTab="6" xr2:uid="{00000000-000D-0000-FFFF-FFFF00000000}"/>
  </bookViews>
  <sheets>
    <sheet name="Template" sheetId="1" r:id="rId1"/>
    <sheet name="DCF (Timur)" sheetId="2" state="hidden" r:id="rId2"/>
    <sheet name="AAPL" sheetId="3" r:id="rId3"/>
    <sheet name="MSFT" sheetId="4" r:id="rId4"/>
    <sheet name="AMZN" sheetId="5" r:id="rId5"/>
    <sheet name="GOOG" sheetId="6" r:id="rId6"/>
    <sheet name="NVD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E39" i="7"/>
  <c r="E38" i="7"/>
  <c r="C38" i="7"/>
  <c r="E35" i="7"/>
  <c r="C35" i="7"/>
  <c r="E42" i="7" s="1"/>
  <c r="C7" i="7" s="1"/>
  <c r="I4" i="7" s="1"/>
  <c r="E32" i="7"/>
  <c r="E3" i="7" s="1"/>
  <c r="D32" i="7"/>
  <c r="D3" i="7" s="1"/>
  <c r="E31" i="7"/>
  <c r="D31" i="7"/>
  <c r="F30" i="7"/>
  <c r="G30" i="7" s="1"/>
  <c r="H30" i="7" s="1"/>
  <c r="I30" i="7" s="1"/>
  <c r="J30" i="7" s="1"/>
  <c r="E29" i="7"/>
  <c r="D29" i="7"/>
  <c r="F28" i="7"/>
  <c r="G28" i="7" s="1"/>
  <c r="H28" i="7" s="1"/>
  <c r="I28" i="7" s="1"/>
  <c r="J28" i="7" s="1"/>
  <c r="E27" i="7"/>
  <c r="D27" i="7"/>
  <c r="G26" i="7"/>
  <c r="H26" i="7" s="1"/>
  <c r="I26" i="7" s="1"/>
  <c r="J26" i="7" s="1"/>
  <c r="F26" i="7"/>
  <c r="E25" i="7"/>
  <c r="D25" i="7"/>
  <c r="F24" i="7"/>
  <c r="F32" i="7" s="1"/>
  <c r="E22" i="7"/>
  <c r="D22" i="7"/>
  <c r="F22" i="7" s="1"/>
  <c r="F21" i="7"/>
  <c r="F23" i="7" s="1"/>
  <c r="E20" i="7"/>
  <c r="D20" i="7"/>
  <c r="F19" i="7"/>
  <c r="G19" i="7" s="1"/>
  <c r="F3" i="7"/>
  <c r="C3" i="7"/>
  <c r="I2" i="7"/>
  <c r="H2" i="7"/>
  <c r="G2" i="7"/>
  <c r="F2" i="7"/>
  <c r="E2" i="7"/>
  <c r="D2" i="7"/>
  <c r="C2" i="7"/>
  <c r="E40" i="6"/>
  <c r="E39" i="6"/>
  <c r="E38" i="6"/>
  <c r="C38" i="6"/>
  <c r="E35" i="6"/>
  <c r="E42" i="6" s="1"/>
  <c r="C7" i="6" s="1"/>
  <c r="J4" i="6" s="1"/>
  <c r="C35" i="6"/>
  <c r="E32" i="6"/>
  <c r="E3" i="6" s="1"/>
  <c r="D32" i="6"/>
  <c r="D3" i="6" s="1"/>
  <c r="E31" i="6"/>
  <c r="D31" i="6"/>
  <c r="F30" i="6"/>
  <c r="G30" i="6" s="1"/>
  <c r="H30" i="6" s="1"/>
  <c r="I30" i="6" s="1"/>
  <c r="J30" i="6" s="1"/>
  <c r="E29" i="6"/>
  <c r="D29" i="6"/>
  <c r="F28" i="6"/>
  <c r="G28" i="6" s="1"/>
  <c r="H28" i="6" s="1"/>
  <c r="I28" i="6" s="1"/>
  <c r="J28" i="6" s="1"/>
  <c r="E27" i="6"/>
  <c r="D27" i="6"/>
  <c r="F26" i="6"/>
  <c r="G26" i="6" s="1"/>
  <c r="H26" i="6" s="1"/>
  <c r="I26" i="6" s="1"/>
  <c r="J26" i="6" s="1"/>
  <c r="E25" i="6"/>
  <c r="D25" i="6"/>
  <c r="F24" i="6"/>
  <c r="E22" i="6"/>
  <c r="D22" i="6"/>
  <c r="F22" i="6" s="1"/>
  <c r="G21" i="6"/>
  <c r="G23" i="6" s="1"/>
  <c r="E20" i="6"/>
  <c r="D20" i="6"/>
  <c r="F19" i="6"/>
  <c r="G19" i="6" s="1"/>
  <c r="H19" i="6" s="1"/>
  <c r="C3" i="6"/>
  <c r="I2" i="6"/>
  <c r="H2" i="6"/>
  <c r="G2" i="6"/>
  <c r="F2" i="6"/>
  <c r="E2" i="6"/>
  <c r="D2" i="6"/>
  <c r="C2" i="6"/>
  <c r="E40" i="5"/>
  <c r="E39" i="5"/>
  <c r="E38" i="5"/>
  <c r="C38" i="5"/>
  <c r="E42" i="5" s="1"/>
  <c r="C7" i="5" s="1"/>
  <c r="E35" i="5"/>
  <c r="C35" i="5"/>
  <c r="E32" i="5"/>
  <c r="E3" i="5" s="1"/>
  <c r="D32" i="5"/>
  <c r="E31" i="5"/>
  <c r="D31" i="5"/>
  <c r="F30" i="5"/>
  <c r="G30" i="5" s="1"/>
  <c r="H30" i="5" s="1"/>
  <c r="I30" i="5" s="1"/>
  <c r="J30" i="5" s="1"/>
  <c r="E29" i="5"/>
  <c r="D29" i="5"/>
  <c r="F28" i="5"/>
  <c r="G28" i="5" s="1"/>
  <c r="H28" i="5" s="1"/>
  <c r="I28" i="5" s="1"/>
  <c r="J28" i="5" s="1"/>
  <c r="E27" i="5"/>
  <c r="D27" i="5"/>
  <c r="F26" i="5"/>
  <c r="G26" i="5" s="1"/>
  <c r="H26" i="5" s="1"/>
  <c r="I26" i="5" s="1"/>
  <c r="J26" i="5" s="1"/>
  <c r="E25" i="5"/>
  <c r="F24" i="5" s="1"/>
  <c r="F32" i="5" s="1"/>
  <c r="F3" i="5" s="1"/>
  <c r="F6" i="5" s="1"/>
  <c r="D25" i="5"/>
  <c r="E22" i="5"/>
  <c r="D22" i="5"/>
  <c r="E20" i="5"/>
  <c r="D20" i="5"/>
  <c r="F19" i="5"/>
  <c r="F21" i="5" s="1"/>
  <c r="F23" i="5" s="1"/>
  <c r="D3" i="5"/>
  <c r="C3" i="5"/>
  <c r="I2" i="5"/>
  <c r="H2" i="5"/>
  <c r="G2" i="5"/>
  <c r="F2" i="5"/>
  <c r="E2" i="5"/>
  <c r="D2" i="5"/>
  <c r="C2" i="5"/>
  <c r="E40" i="4"/>
  <c r="E39" i="4"/>
  <c r="E38" i="4"/>
  <c r="E42" i="4" s="1"/>
  <c r="C7" i="4" s="1"/>
  <c r="C38" i="4"/>
  <c r="E35" i="4"/>
  <c r="C35" i="4"/>
  <c r="F32" i="4"/>
  <c r="F3" i="4" s="1"/>
  <c r="E32" i="4"/>
  <c r="D32" i="4"/>
  <c r="E31" i="4"/>
  <c r="D31" i="4"/>
  <c r="G30" i="4"/>
  <c r="H30" i="4" s="1"/>
  <c r="I30" i="4" s="1"/>
  <c r="J30" i="4" s="1"/>
  <c r="F30" i="4"/>
  <c r="E29" i="4"/>
  <c r="D29" i="4"/>
  <c r="F28" i="4"/>
  <c r="G28" i="4" s="1"/>
  <c r="H28" i="4" s="1"/>
  <c r="I28" i="4" s="1"/>
  <c r="J28" i="4" s="1"/>
  <c r="E27" i="4"/>
  <c r="D27" i="4"/>
  <c r="F26" i="4"/>
  <c r="G26" i="4" s="1"/>
  <c r="H26" i="4" s="1"/>
  <c r="I26" i="4" s="1"/>
  <c r="J26" i="4" s="1"/>
  <c r="E25" i="4"/>
  <c r="F24" i="4" s="1"/>
  <c r="G24" i="4" s="1"/>
  <c r="D25" i="4"/>
  <c r="E22" i="4"/>
  <c r="D22" i="4"/>
  <c r="F20" i="4"/>
  <c r="E20" i="4"/>
  <c r="D20" i="4"/>
  <c r="F19" i="4"/>
  <c r="F21" i="4" s="1"/>
  <c r="F23" i="4" s="1"/>
  <c r="E3" i="4"/>
  <c r="D3" i="4"/>
  <c r="C3" i="4"/>
  <c r="I2" i="4"/>
  <c r="H2" i="4"/>
  <c r="G2" i="4"/>
  <c r="F2" i="4"/>
  <c r="E2" i="4"/>
  <c r="D2" i="4"/>
  <c r="C2" i="4"/>
  <c r="E40" i="3"/>
  <c r="E39" i="3"/>
  <c r="E38" i="3" s="1"/>
  <c r="E42" i="3" s="1"/>
  <c r="C7" i="3" s="1"/>
  <c r="C38" i="3"/>
  <c r="E35" i="3"/>
  <c r="C35" i="3"/>
  <c r="E32" i="3"/>
  <c r="D32" i="3"/>
  <c r="E31" i="3"/>
  <c r="D31" i="3"/>
  <c r="H30" i="3"/>
  <c r="I30" i="3" s="1"/>
  <c r="J30" i="3" s="1"/>
  <c r="G30" i="3"/>
  <c r="F30" i="3"/>
  <c r="E29" i="3"/>
  <c r="D29" i="3"/>
  <c r="G28" i="3"/>
  <c r="H28" i="3" s="1"/>
  <c r="I28" i="3" s="1"/>
  <c r="J28" i="3" s="1"/>
  <c r="F28" i="3"/>
  <c r="E27" i="3"/>
  <c r="D27" i="3"/>
  <c r="F26" i="3"/>
  <c r="G26" i="3" s="1"/>
  <c r="H26" i="3" s="1"/>
  <c r="I26" i="3" s="1"/>
  <c r="J26" i="3" s="1"/>
  <c r="E25" i="3"/>
  <c r="F24" i="3" s="1"/>
  <c r="D25" i="3"/>
  <c r="E22" i="3"/>
  <c r="D22" i="3"/>
  <c r="E20" i="3"/>
  <c r="D20" i="3"/>
  <c r="F20" i="3" s="1"/>
  <c r="G20" i="3" s="1"/>
  <c r="F19" i="3"/>
  <c r="E3" i="3"/>
  <c r="D3" i="3"/>
  <c r="C3" i="3"/>
  <c r="I2" i="3"/>
  <c r="H2" i="3"/>
  <c r="G2" i="3"/>
  <c r="F2" i="3"/>
  <c r="E2" i="3"/>
  <c r="D2" i="3"/>
  <c r="C2" i="3"/>
  <c r="D28" i="2"/>
  <c r="D24" i="2"/>
  <c r="D23" i="2"/>
  <c r="G14" i="2"/>
  <c r="I14" i="2" s="1"/>
  <c r="J14" i="2" s="1"/>
  <c r="K14" i="2" s="1"/>
  <c r="L14" i="2" s="1"/>
  <c r="M14" i="2" s="1"/>
  <c r="F14" i="2"/>
  <c r="G15" i="2" s="1"/>
  <c r="E14" i="2"/>
  <c r="G12" i="2"/>
  <c r="I12" i="2" s="1"/>
  <c r="J12" i="2" s="1"/>
  <c r="K12" i="2" s="1"/>
  <c r="L12" i="2" s="1"/>
  <c r="M12" i="2" s="1"/>
  <c r="F12" i="2"/>
  <c r="E12" i="2"/>
  <c r="F13" i="2" s="1"/>
  <c r="G10" i="2"/>
  <c r="I10" i="2" s="1"/>
  <c r="J10" i="2" s="1"/>
  <c r="K10" i="2" s="1"/>
  <c r="L10" i="2" s="1"/>
  <c r="M10" i="2" s="1"/>
  <c r="F10" i="2"/>
  <c r="F11" i="2" s="1"/>
  <c r="E10" i="2"/>
  <c r="I8" i="2"/>
  <c r="J8" i="2" s="1"/>
  <c r="G8" i="2"/>
  <c r="G9" i="2" s="1"/>
  <c r="F8" i="2"/>
  <c r="F16" i="2" s="1"/>
  <c r="E8" i="2"/>
  <c r="E16" i="2" s="1"/>
  <c r="E40" i="1"/>
  <c r="E39" i="1"/>
  <c r="E38" i="1"/>
  <c r="C38" i="1"/>
  <c r="E42" i="1" s="1"/>
  <c r="C7" i="1" s="1"/>
  <c r="E35" i="1"/>
  <c r="C35" i="1"/>
  <c r="E32" i="1"/>
  <c r="E3" i="1" s="1"/>
  <c r="D32" i="1"/>
  <c r="E31" i="1"/>
  <c r="D31" i="1"/>
  <c r="F30" i="1"/>
  <c r="G30" i="1" s="1"/>
  <c r="H30" i="1" s="1"/>
  <c r="I30" i="1" s="1"/>
  <c r="J30" i="1" s="1"/>
  <c r="E29" i="1"/>
  <c r="D29" i="1"/>
  <c r="F28" i="1"/>
  <c r="G28" i="1" s="1"/>
  <c r="H28" i="1" s="1"/>
  <c r="I28" i="1" s="1"/>
  <c r="J28" i="1" s="1"/>
  <c r="E27" i="1"/>
  <c r="D27" i="1"/>
  <c r="F26" i="1"/>
  <c r="G26" i="1" s="1"/>
  <c r="H26" i="1" s="1"/>
  <c r="I26" i="1" s="1"/>
  <c r="J26" i="1" s="1"/>
  <c r="E25" i="1"/>
  <c r="F24" i="1" s="1"/>
  <c r="F32" i="1" s="1"/>
  <c r="F3" i="1" s="1"/>
  <c r="D25" i="1"/>
  <c r="G24" i="1"/>
  <c r="E22" i="1"/>
  <c r="H22" i="1" s="1"/>
  <c r="D22" i="1"/>
  <c r="G22" i="1" s="1"/>
  <c r="J22" i="1" s="1"/>
  <c r="E20" i="1"/>
  <c r="D20" i="1"/>
  <c r="F19" i="1"/>
  <c r="F21" i="1" s="1"/>
  <c r="F23" i="1" s="1"/>
  <c r="D3" i="1"/>
  <c r="C3" i="1"/>
  <c r="I2" i="1"/>
  <c r="H2" i="1"/>
  <c r="G2" i="1"/>
  <c r="F2" i="1"/>
  <c r="E2" i="1"/>
  <c r="D2" i="1"/>
  <c r="C2" i="1"/>
  <c r="J16" i="2" l="1"/>
  <c r="J20" i="2" s="1"/>
  <c r="K8" i="2"/>
  <c r="G20" i="4"/>
  <c r="H20" i="4"/>
  <c r="I4" i="5"/>
  <c r="H4" i="5"/>
  <c r="G4" i="5"/>
  <c r="F4" i="5"/>
  <c r="J4" i="5"/>
  <c r="F20" i="6"/>
  <c r="G20" i="6" s="1"/>
  <c r="G22" i="7"/>
  <c r="H22" i="7" s="1"/>
  <c r="G25" i="1"/>
  <c r="G32" i="1"/>
  <c r="G3" i="1" s="1"/>
  <c r="G6" i="1" s="1"/>
  <c r="H24" i="1"/>
  <c r="F6" i="4"/>
  <c r="F6" i="7"/>
  <c r="F6" i="1"/>
  <c r="C9" i="1" s="1"/>
  <c r="C12" i="1" s="1"/>
  <c r="C13" i="1" s="1"/>
  <c r="J4" i="4"/>
  <c r="I4" i="4"/>
  <c r="H4" i="4"/>
  <c r="G4" i="4"/>
  <c r="F4" i="4"/>
  <c r="G4" i="7"/>
  <c r="F4" i="7"/>
  <c r="J4" i="7"/>
  <c r="H4" i="7"/>
  <c r="G24" i="3"/>
  <c r="F32" i="3"/>
  <c r="F3" i="3" s="1"/>
  <c r="F6" i="3" s="1"/>
  <c r="H19" i="7"/>
  <c r="G21" i="7"/>
  <c r="G23" i="7" s="1"/>
  <c r="F21" i="3"/>
  <c r="F23" i="3" s="1"/>
  <c r="G19" i="3"/>
  <c r="F20" i="5"/>
  <c r="H20" i="5" s="1"/>
  <c r="G20" i="5"/>
  <c r="I4" i="1"/>
  <c r="H4" i="1"/>
  <c r="G4" i="1"/>
  <c r="F4" i="1"/>
  <c r="J4" i="1"/>
  <c r="F32" i="6"/>
  <c r="F3" i="6" s="1"/>
  <c r="F6" i="6" s="1"/>
  <c r="G24" i="6"/>
  <c r="H4" i="6"/>
  <c r="G4" i="6"/>
  <c r="F4" i="6"/>
  <c r="I4" i="6"/>
  <c r="I20" i="7"/>
  <c r="H20" i="3"/>
  <c r="J20" i="3" s="1"/>
  <c r="I20" i="3"/>
  <c r="I20" i="1"/>
  <c r="H20" i="1"/>
  <c r="G20" i="1"/>
  <c r="F20" i="1"/>
  <c r="J20" i="1"/>
  <c r="G11" i="2"/>
  <c r="J4" i="3"/>
  <c r="I4" i="3"/>
  <c r="F4" i="3"/>
  <c r="H4" i="3"/>
  <c r="G4" i="3"/>
  <c r="I16" i="2"/>
  <c r="I20" i="2" s="1"/>
  <c r="D22" i="2" s="1"/>
  <c r="D25" i="2" s="1"/>
  <c r="D30" i="2" s="1"/>
  <c r="D31" i="2" s="1"/>
  <c r="G25" i="4"/>
  <c r="H24" i="4" s="1"/>
  <c r="G32" i="4"/>
  <c r="G3" i="4" s="1"/>
  <c r="G6" i="4" s="1"/>
  <c r="G24" i="5"/>
  <c r="I19" i="6"/>
  <c r="H21" i="6"/>
  <c r="H23" i="6" s="1"/>
  <c r="G16" i="2"/>
  <c r="F21" i="6"/>
  <c r="F23" i="6" s="1"/>
  <c r="G22" i="6"/>
  <c r="H22" i="6" s="1"/>
  <c r="G13" i="2"/>
  <c r="G19" i="4"/>
  <c r="G24" i="7"/>
  <c r="F15" i="2"/>
  <c r="F22" i="3"/>
  <c r="G19" i="5"/>
  <c r="F20" i="7"/>
  <c r="G19" i="1"/>
  <c r="F22" i="4"/>
  <c r="G22" i="4" s="1"/>
  <c r="G20" i="7"/>
  <c r="J20" i="7" s="1"/>
  <c r="F9" i="2"/>
  <c r="F22" i="5"/>
  <c r="H20" i="7"/>
  <c r="F22" i="1"/>
  <c r="I22" i="1" s="1"/>
  <c r="H22" i="4" l="1"/>
  <c r="J22" i="4" s="1"/>
  <c r="J20" i="4"/>
  <c r="I20" i="5"/>
  <c r="J20" i="5"/>
  <c r="G21" i="3"/>
  <c r="G23" i="3" s="1"/>
  <c r="H19" i="3"/>
  <c r="I21" i="6"/>
  <c r="I23" i="6" s="1"/>
  <c r="J19" i="6"/>
  <c r="G25" i="3"/>
  <c r="H24" i="3"/>
  <c r="G32" i="3"/>
  <c r="G3" i="3" s="1"/>
  <c r="G6" i="3" s="1"/>
  <c r="G32" i="7"/>
  <c r="G3" i="7" s="1"/>
  <c r="G6" i="7" s="1"/>
  <c r="G25" i="7"/>
  <c r="H24" i="7" s="1"/>
  <c r="G25" i="5"/>
  <c r="H24" i="5"/>
  <c r="G32" i="5"/>
  <c r="G3" i="5" s="1"/>
  <c r="G6" i="5" s="1"/>
  <c r="G22" i="5"/>
  <c r="I20" i="4"/>
  <c r="H19" i="5"/>
  <c r="G21" i="5"/>
  <c r="G23" i="5" s="1"/>
  <c r="H32" i="1"/>
  <c r="H3" i="1" s="1"/>
  <c r="H6" i="1" s="1"/>
  <c r="H25" i="1"/>
  <c r="I24" i="1" s="1"/>
  <c r="H20" i="6"/>
  <c r="I20" i="6" s="1"/>
  <c r="G21" i="4"/>
  <c r="G23" i="4" s="1"/>
  <c r="H19" i="4"/>
  <c r="L8" i="2"/>
  <c r="K16" i="2"/>
  <c r="K20" i="2" s="1"/>
  <c r="I22" i="4"/>
  <c r="G32" i="6"/>
  <c r="G3" i="6" s="1"/>
  <c r="G6" i="6" s="1"/>
  <c r="G25" i="6"/>
  <c r="H24" i="6" s="1"/>
  <c r="H21" i="7"/>
  <c r="H23" i="7" s="1"/>
  <c r="I19" i="7"/>
  <c r="H19" i="1"/>
  <c r="G21" i="1"/>
  <c r="G23" i="1" s="1"/>
  <c r="H25" i="4"/>
  <c r="I24" i="4" s="1"/>
  <c r="H32" i="4"/>
  <c r="H3" i="4" s="1"/>
  <c r="H6" i="4" s="1"/>
  <c r="G22" i="3"/>
  <c r="I22" i="6"/>
  <c r="J22" i="6" s="1"/>
  <c r="I22" i="7"/>
  <c r="J22" i="7" s="1"/>
  <c r="H32" i="6" l="1"/>
  <c r="H3" i="6" s="1"/>
  <c r="H6" i="6" s="1"/>
  <c r="H25" i="6"/>
  <c r="I24" i="6" s="1"/>
  <c r="I32" i="1"/>
  <c r="I3" i="1" s="1"/>
  <c r="I6" i="1" s="1"/>
  <c r="I25" i="1"/>
  <c r="J24" i="1" s="1"/>
  <c r="H32" i="7"/>
  <c r="H3" i="7" s="1"/>
  <c r="H6" i="7" s="1"/>
  <c r="H25" i="7"/>
  <c r="I24" i="7" s="1"/>
  <c r="I32" i="4"/>
  <c r="I3" i="4" s="1"/>
  <c r="I6" i="4" s="1"/>
  <c r="I25" i="4"/>
  <c r="J24" i="4" s="1"/>
  <c r="I22" i="5"/>
  <c r="J22" i="5" s="1"/>
  <c r="J20" i="6"/>
  <c r="H25" i="3"/>
  <c r="H32" i="3"/>
  <c r="H3" i="3" s="1"/>
  <c r="H6" i="3" s="1"/>
  <c r="I24" i="3"/>
  <c r="H22" i="5"/>
  <c r="I21" i="7"/>
  <c r="I23" i="7" s="1"/>
  <c r="J19" i="7"/>
  <c r="J21" i="7" s="1"/>
  <c r="J23" i="7" s="1"/>
  <c r="I19" i="1"/>
  <c r="H21" i="1"/>
  <c r="H23" i="1" s="1"/>
  <c r="H32" i="5"/>
  <c r="H3" i="5" s="1"/>
  <c r="H6" i="5" s="1"/>
  <c r="H25" i="5"/>
  <c r="I24" i="5" s="1"/>
  <c r="J21" i="6"/>
  <c r="J23" i="6" s="1"/>
  <c r="M8" i="2"/>
  <c r="M16" i="2" s="1"/>
  <c r="M18" i="2" s="1"/>
  <c r="M20" i="2" s="1"/>
  <c r="L16" i="2"/>
  <c r="L20" i="2" s="1"/>
  <c r="I19" i="4"/>
  <c r="H21" i="4"/>
  <c r="H23" i="4" s="1"/>
  <c r="H22" i="3"/>
  <c r="I22" i="3" s="1"/>
  <c r="I19" i="5"/>
  <c r="H21" i="5"/>
  <c r="H23" i="5" s="1"/>
  <c r="H21" i="3"/>
  <c r="H23" i="3" s="1"/>
  <c r="I19" i="3"/>
  <c r="I32" i="5" l="1"/>
  <c r="I3" i="5" s="1"/>
  <c r="I6" i="5" s="1"/>
  <c r="I25" i="5"/>
  <c r="J24" i="5" s="1"/>
  <c r="J25" i="1"/>
  <c r="J32" i="1"/>
  <c r="J3" i="1" s="1"/>
  <c r="J5" i="1" s="1"/>
  <c r="J6" i="1" s="1"/>
  <c r="J32" i="4"/>
  <c r="J3" i="4" s="1"/>
  <c r="J5" i="4" s="1"/>
  <c r="J6" i="4" s="1"/>
  <c r="J25" i="4"/>
  <c r="I32" i="7"/>
  <c r="I3" i="7" s="1"/>
  <c r="I6" i="7" s="1"/>
  <c r="I25" i="7"/>
  <c r="J24" i="7" s="1"/>
  <c r="I32" i="6"/>
  <c r="I3" i="6" s="1"/>
  <c r="I6" i="6" s="1"/>
  <c r="I25" i="6"/>
  <c r="J24" i="6" s="1"/>
  <c r="C9" i="4"/>
  <c r="C12" i="4" s="1"/>
  <c r="C13" i="4" s="1"/>
  <c r="J19" i="3"/>
  <c r="J21" i="3" s="1"/>
  <c r="J23" i="3" s="1"/>
  <c r="I21" i="3"/>
  <c r="I23" i="3" s="1"/>
  <c r="J19" i="1"/>
  <c r="J21" i="1" s="1"/>
  <c r="J23" i="1" s="1"/>
  <c r="I21" i="1"/>
  <c r="I23" i="1" s="1"/>
  <c r="J19" i="5"/>
  <c r="J21" i="5" s="1"/>
  <c r="J23" i="5" s="1"/>
  <c r="I21" i="5"/>
  <c r="I23" i="5" s="1"/>
  <c r="I25" i="3"/>
  <c r="I32" i="3"/>
  <c r="I3" i="3" s="1"/>
  <c r="I6" i="3" s="1"/>
  <c r="J24" i="3"/>
  <c r="J19" i="4"/>
  <c r="J21" i="4" s="1"/>
  <c r="J23" i="4" s="1"/>
  <c r="I21" i="4"/>
  <c r="I23" i="4" s="1"/>
  <c r="J22" i="3"/>
  <c r="C9" i="7" l="1"/>
  <c r="C12" i="7" s="1"/>
  <c r="C13" i="7" s="1"/>
  <c r="J25" i="7"/>
  <c r="J32" i="7"/>
  <c r="J3" i="7" s="1"/>
  <c r="J5" i="7" s="1"/>
  <c r="J6" i="7" s="1"/>
  <c r="J32" i="6"/>
  <c r="J3" i="6" s="1"/>
  <c r="J5" i="6" s="1"/>
  <c r="J6" i="6" s="1"/>
  <c r="J25" i="6"/>
  <c r="J32" i="5"/>
  <c r="J3" i="5" s="1"/>
  <c r="J5" i="5" s="1"/>
  <c r="J6" i="5" s="1"/>
  <c r="C9" i="5" s="1"/>
  <c r="C12" i="5" s="1"/>
  <c r="C13" i="5" s="1"/>
  <c r="J25" i="5"/>
  <c r="J32" i="3"/>
  <c r="J3" i="3" s="1"/>
  <c r="J5" i="3" s="1"/>
  <c r="J6" i="3" s="1"/>
  <c r="C9" i="3" s="1"/>
  <c r="C12" i="3" s="1"/>
  <c r="C13" i="3" s="1"/>
  <c r="J25" i="3"/>
  <c r="C9" i="6"/>
  <c r="C12" i="6" s="1"/>
  <c r="C13" i="6" s="1"/>
</calcChain>
</file>

<file path=xl/sharedStrings.xml><?xml version="1.0" encoding="utf-8"?>
<sst xmlns="http://schemas.openxmlformats.org/spreadsheetml/2006/main" count="330" uniqueCount="76">
  <si>
    <t xml:space="preserve">Discounted Free Cash Flow Valuation </t>
  </si>
  <si>
    <t xml:space="preserve">Terminal Value </t>
  </si>
  <si>
    <t xml:space="preserve">Free Cash Flow </t>
  </si>
  <si>
    <t xml:space="preserve">Discount Factor </t>
  </si>
  <si>
    <t>PV of Future Cash</t>
  </si>
  <si>
    <t xml:space="preserve">Required Rate of Return </t>
  </si>
  <si>
    <t xml:space="preserve">Perpetual Growth </t>
  </si>
  <si>
    <t xml:space="preserve">Today's Value </t>
  </si>
  <si>
    <t>Shares Out</t>
  </si>
  <si>
    <t xml:space="preserve">Current Share Price </t>
  </si>
  <si>
    <t>Fair Value of Equity</t>
  </si>
  <si>
    <t xml:space="preserve">Upside </t>
  </si>
  <si>
    <t>FCF Buildup</t>
  </si>
  <si>
    <t>$mm</t>
  </si>
  <si>
    <t>Projected Annual Earnings</t>
  </si>
  <si>
    <t>2020 A</t>
  </si>
  <si>
    <t>2021 A</t>
  </si>
  <si>
    <t>2022 E</t>
  </si>
  <si>
    <t>2023 P</t>
  </si>
  <si>
    <t>2024 P</t>
  </si>
  <si>
    <t>2025 P</t>
  </si>
  <si>
    <t>2026 P</t>
  </si>
  <si>
    <t>2027 P</t>
  </si>
  <si>
    <t>Period</t>
  </si>
  <si>
    <t xml:space="preserve">Total Revenue </t>
  </si>
  <si>
    <t>Growth Rate</t>
  </si>
  <si>
    <t xml:space="preserve">Net Income </t>
  </si>
  <si>
    <t>Net Income Margins</t>
  </si>
  <si>
    <t>FCF</t>
  </si>
  <si>
    <t>NOPLAT</t>
  </si>
  <si>
    <t>Dep/Amrt</t>
  </si>
  <si>
    <t xml:space="preserve">Working Capital </t>
  </si>
  <si>
    <t>Cap Ex</t>
  </si>
  <si>
    <t>FCFF</t>
  </si>
  <si>
    <t>WACC Calculation</t>
  </si>
  <si>
    <t xml:space="preserve">Average Cost of Debt </t>
  </si>
  <si>
    <t xml:space="preserve">Weight of Debt </t>
  </si>
  <si>
    <t xml:space="preserve">Average Rate of Debt </t>
  </si>
  <si>
    <t xml:space="preserve">Total Debt </t>
  </si>
  <si>
    <t>Tax Rate</t>
  </si>
  <si>
    <t>Market Cap</t>
  </si>
  <si>
    <t>Cost of Equity</t>
  </si>
  <si>
    <t>Weight of Equity</t>
  </si>
  <si>
    <t xml:space="preserve">Risk Free Rate </t>
  </si>
  <si>
    <t xml:space="preserve">Total Equity </t>
  </si>
  <si>
    <t xml:space="preserve">Beta </t>
  </si>
  <si>
    <t xml:space="preserve">Expected Return </t>
  </si>
  <si>
    <t>WACC</t>
  </si>
  <si>
    <t>Fiscal Year Ended September 28th,</t>
  </si>
  <si>
    <t>Historical Figures</t>
  </si>
  <si>
    <t>Projected Figures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</si>
  <si>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</si>
  <si>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</si>
  <si>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</si>
  <si>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</si>
  <si>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</si>
  <si>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</si>
  <si>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</si>
  <si>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</si>
  <si>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Free cash flow to the firm (FCFF)</t>
  </si>
  <si>
    <t xml:space="preserve">    (+) Depreciation &amp; (+)Amortization </t>
  </si>
  <si>
    <t xml:space="preserve">    𝛥Working Capital</t>
  </si>
  <si>
    <t xml:space="preserve">    (-)CapEx.</t>
  </si>
  <si>
    <t>Terminal value</t>
  </si>
  <si>
    <t>Present value</t>
  </si>
  <si>
    <t>Firm value</t>
  </si>
  <si>
    <t xml:space="preserve">   I. Cash on balance sheet</t>
  </si>
  <si>
    <t xml:space="preserve">   II. Market value of debt</t>
  </si>
  <si>
    <t>Market value of equity</t>
  </si>
  <si>
    <t>Current share price</t>
  </si>
  <si>
    <t># of shares oustanding</t>
  </si>
  <si>
    <t>Fair value</t>
  </si>
  <si>
    <t>Upside in %</t>
  </si>
  <si>
    <t>Terminal value - Free cash flow to the firm growth</t>
  </si>
  <si>
    <t>Terminal value - WACC</t>
  </si>
  <si>
    <t xml:space="preserve">WACC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</si>
</sst>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-[$$-409]* #,##0_ ;_-[$$-409]* \-#,##0\ ;_-[$$-409]* &quot;-&quot;??_ ;_-@_ "/>
    <numFmt numFmtId="167" formatCode="_-* #,##0.00\ _€_-;\-* #,##0.00\ _€_-;_-* &quot;-&quot;??\ _€_-;_-@"/>
    <numFmt numFmtId="168" formatCode="_-[$$-409]* #,##0.00_ ;_-[$$-409]* \-#,##0.00\ ;_-[$$-409]* &quot;-&quot;??_ ;_-@_ "/>
  </numFmts>
  <fonts count="7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venir"/>
      <family val="2"/>
    </font>
    <font>
      <sz val="12"/>
      <color theme="1"/>
      <name val="Avenir"/>
      <family val="2"/>
    </font>
  </fonts>
  <fills count="11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F2F2F2"/>
      </patternFill>
    </fill>
    <fill>
      <patternFill patternType="solid">
        <fgColor rgb="FFFFFF00"/>
        <bgColor rgb="FFF2F2F2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5"/>
  </cellStyleXfs>
  <cellXfs count="109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2" fillId="2" borderId="1" xfId="0" applyFont="1" applyFill="1" applyBorder="1" applyAlignment="1">
      <alignment horizontal="left"/>
    </xf>
    <xf numFmtId="9" fontId="2" fillId="2" borderId="2" xfId="0" applyNumberFormat="1" applyFont="1" applyFill="1" applyBorder="1"/>
    <xf numFmtId="9" fontId="2" fillId="2" borderId="3" xfId="0" applyNumberFormat="1" applyFont="1" applyFill="1" applyBorder="1"/>
    <xf numFmtId="0" fontId="1" fillId="3" borderId="4" xfId="0" applyFont="1" applyFill="1" applyBorder="1" applyAlignment="1">
      <alignment horizontal="left"/>
    </xf>
    <xf numFmtId="44" fontId="1" fillId="3" borderId="5" xfId="0" applyNumberFormat="1" applyFont="1" applyFill="1"/>
    <xf numFmtId="44" fontId="1" fillId="4" borderId="5" xfId="0" applyNumberFormat="1" applyFont="1" applyFill="1"/>
    <xf numFmtId="44" fontId="1" fillId="4" borderId="6" xfId="0" applyNumberFormat="1" applyFont="1" applyFill="1" applyBorder="1"/>
    <xf numFmtId="0" fontId="1" fillId="3" borderId="5" xfId="0" applyFont="1" applyFill="1"/>
    <xf numFmtId="9" fontId="1" fillId="3" borderId="5" xfId="0" applyNumberFormat="1" applyFont="1" applyFill="1"/>
    <xf numFmtId="2" fontId="1" fillId="4" borderId="5" xfId="0" applyNumberFormat="1" applyFont="1" applyFill="1"/>
    <xf numFmtId="2" fontId="1" fillId="4" borderId="7" xfId="0" applyNumberFormat="1" applyFont="1" applyFill="1" applyBorder="1"/>
    <xf numFmtId="0" fontId="1" fillId="3" borderId="8" xfId="0" applyFont="1" applyFill="1" applyBorder="1" applyAlignment="1">
      <alignment horizontal="left"/>
    </xf>
    <xf numFmtId="0" fontId="1" fillId="3" borderId="2" xfId="0" applyFont="1" applyFill="1" applyBorder="1"/>
    <xf numFmtId="9" fontId="1" fillId="3" borderId="2" xfId="0" applyNumberFormat="1" applyFont="1" applyFill="1" applyBorder="1"/>
    <xf numFmtId="2" fontId="1" fillId="4" borderId="2" xfId="0" applyNumberFormat="1" applyFont="1" applyFill="1" applyBorder="1"/>
    <xf numFmtId="44" fontId="1" fillId="4" borderId="3" xfId="0" applyNumberFormat="1" applyFont="1" applyFill="1" applyBorder="1"/>
    <xf numFmtId="44" fontId="1" fillId="4" borderId="7" xfId="0" applyNumberFormat="1" applyFont="1" applyFill="1" applyBorder="1"/>
    <xf numFmtId="10" fontId="1" fillId="3" borderId="5" xfId="0" applyNumberFormat="1" applyFont="1" applyFill="1"/>
    <xf numFmtId="164" fontId="1" fillId="4" borderId="5" xfId="0" applyNumberFormat="1" applyFont="1" applyFill="1"/>
    <xf numFmtId="164" fontId="1" fillId="4" borderId="7" xfId="0" applyNumberFormat="1" applyFont="1" applyFill="1" applyBorder="1"/>
    <xf numFmtId="0" fontId="2" fillId="3" borderId="4" xfId="0" applyFont="1" applyFill="1" applyBorder="1" applyAlignment="1">
      <alignment horizontal="left"/>
    </xf>
    <xf numFmtId="165" fontId="1" fillId="3" borderId="5" xfId="0" applyNumberFormat="1" applyFont="1" applyFill="1"/>
    <xf numFmtId="0" fontId="2" fillId="5" borderId="9" xfId="0" applyFont="1" applyFill="1" applyBorder="1" applyAlignment="1">
      <alignment horizontal="left"/>
    </xf>
    <xf numFmtId="165" fontId="1" fillId="5" borderId="10" xfId="0" applyNumberFormat="1" applyFont="1" applyFill="1" applyBorder="1"/>
    <xf numFmtId="9" fontId="1" fillId="3" borderId="11" xfId="0" applyNumberFormat="1" applyFont="1" applyFill="1" applyBorder="1"/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0" fontId="2" fillId="5" borderId="13" xfId="0" applyFont="1" applyFill="1" applyBorder="1" applyAlignment="1">
      <alignment horizontal="left"/>
    </xf>
    <xf numFmtId="9" fontId="1" fillId="5" borderId="14" xfId="0" applyNumberFormat="1" applyFont="1" applyFill="1" applyBorder="1"/>
    <xf numFmtId="9" fontId="1" fillId="0" borderId="0" xfId="0" applyNumberFormat="1" applyFont="1" applyBorder="1"/>
    <xf numFmtId="164" fontId="1" fillId="0" borderId="0" xfId="0" applyNumberFormat="1" applyFont="1" applyBorder="1"/>
    <xf numFmtId="0" fontId="2" fillId="2" borderId="1" xfId="0" applyFont="1" applyFill="1" applyBorder="1"/>
    <xf numFmtId="0" fontId="1" fillId="2" borderId="15" xfId="0" applyFont="1" applyFill="1" applyBorder="1"/>
    <xf numFmtId="0" fontId="1" fillId="2" borderId="6" xfId="0" applyFont="1" applyFill="1" applyBorder="1"/>
    <xf numFmtId="0" fontId="3" fillId="3" borderId="4" xfId="0" applyFont="1" applyFill="1" applyBorder="1"/>
    <xf numFmtId="0" fontId="2" fillId="4" borderId="5" xfId="0" applyFont="1" applyFill="1"/>
    <xf numFmtId="0" fontId="1" fillId="4" borderId="5" xfId="0" applyFont="1" applyFill="1"/>
    <xf numFmtId="0" fontId="1" fillId="4" borderId="7" xfId="0" applyFont="1" applyFill="1" applyBorder="1"/>
    <xf numFmtId="0" fontId="1" fillId="3" borderId="4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4" borderId="6" xfId="0" applyFont="1" applyFill="1" applyBorder="1"/>
    <xf numFmtId="0" fontId="1" fillId="3" borderId="16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3" borderId="4" xfId="0" applyFont="1" applyFill="1" applyBorder="1" applyAlignment="1">
      <alignment horizontal="right"/>
    </xf>
    <xf numFmtId="9" fontId="1" fillId="4" borderId="5" xfId="0" applyNumberFormat="1" applyFont="1" applyFill="1"/>
    <xf numFmtId="9" fontId="1" fillId="4" borderId="7" xfId="0" applyNumberFormat="1" applyFont="1" applyFill="1" applyBorder="1"/>
    <xf numFmtId="0" fontId="2" fillId="3" borderId="16" xfId="0" applyFont="1" applyFill="1" applyBorder="1" applyAlignment="1">
      <alignment horizontal="left"/>
    </xf>
    <xf numFmtId="44" fontId="1" fillId="3" borderId="11" xfId="0" applyNumberFormat="1" applyFont="1" applyFill="1" applyBorder="1"/>
    <xf numFmtId="44" fontId="1" fillId="4" borderId="11" xfId="0" applyNumberFormat="1" applyFont="1" applyFill="1" applyBorder="1"/>
    <xf numFmtId="44" fontId="1" fillId="4" borderId="12" xfId="0" applyNumberFormat="1" applyFont="1" applyFill="1" applyBorder="1"/>
    <xf numFmtId="0" fontId="1" fillId="0" borderId="0" xfId="0" applyFont="1" applyBorder="1" applyAlignment="1">
      <alignment horizontal="right"/>
    </xf>
    <xf numFmtId="9" fontId="1" fillId="2" borderId="15" xfId="0" applyNumberFormat="1" applyFont="1" applyFill="1" applyBorder="1"/>
    <xf numFmtId="9" fontId="1" fillId="2" borderId="6" xfId="0" applyNumberFormat="1" applyFont="1" applyFill="1" applyBorder="1"/>
    <xf numFmtId="10" fontId="1" fillId="3" borderId="7" xfId="0" applyNumberFormat="1" applyFont="1" applyFill="1" applyBorder="1"/>
    <xf numFmtId="44" fontId="1" fillId="3" borderId="7" xfId="0" applyNumberFormat="1" applyFont="1" applyFill="1" applyBorder="1"/>
    <xf numFmtId="9" fontId="1" fillId="3" borderId="7" xfId="0" applyNumberFormat="1" applyFont="1" applyFill="1" applyBorder="1"/>
    <xf numFmtId="0" fontId="1" fillId="3" borderId="16" xfId="0" applyFont="1" applyFill="1" applyBorder="1" applyAlignment="1">
      <alignment horizontal="left"/>
    </xf>
    <xf numFmtId="10" fontId="1" fillId="3" borderId="11" xfId="0" applyNumberFormat="1" applyFont="1" applyFill="1" applyBorder="1"/>
    <xf numFmtId="10" fontId="1" fillId="3" borderId="12" xfId="0" applyNumberFormat="1" applyFont="1" applyFill="1" applyBorder="1"/>
    <xf numFmtId="10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4" fontId="1" fillId="0" borderId="0" xfId="0" applyNumberFormat="1" applyFont="1" applyBorder="1"/>
    <xf numFmtId="44" fontId="1" fillId="0" borderId="0" xfId="0" applyNumberFormat="1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44" fontId="2" fillId="0" borderId="18" xfId="0" applyNumberFormat="1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4" fontId="2" fillId="0" borderId="20" xfId="0" applyNumberFormat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166" fontId="2" fillId="0" borderId="2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44" fontId="2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22" xfId="0" applyFont="1" applyBorder="1" applyAlignment="1">
      <alignment horizontal="right" vertical="center"/>
    </xf>
    <xf numFmtId="166" fontId="2" fillId="0" borderId="22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168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/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right" vertical="center"/>
    </xf>
    <xf numFmtId="168" fontId="2" fillId="0" borderId="25" xfId="0" applyNumberFormat="1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right" vertical="center"/>
    </xf>
    <xf numFmtId="10" fontId="2" fillId="0" borderId="28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0" fontId="5" fillId="7" borderId="5" xfId="0" applyNumberFormat="1" applyFont="1" applyFill="1" applyAlignment="1">
      <alignment vertical="center"/>
    </xf>
    <xf numFmtId="10" fontId="5" fillId="8" borderId="5" xfId="0" applyNumberFormat="1" applyFont="1" applyFill="1" applyAlignment="1">
      <alignment vertical="center"/>
    </xf>
    <xf numFmtId="10" fontId="1" fillId="9" borderId="5" xfId="0" applyNumberFormat="1" applyFont="1" applyFill="1"/>
    <xf numFmtId="10" fontId="1" fillId="10" borderId="5" xfId="0" applyNumberFormat="1" applyFont="1" applyFill="1"/>
    <xf numFmtId="43" fontId="1" fillId="9" borderId="5" xfId="0" applyNumberFormat="1" applyFont="1" applyFill="1"/>
    <xf numFmtId="44" fontId="1" fillId="9" borderId="5" xfId="0" applyNumberFormat="1" applyFont="1" applyFill="1"/>
    <xf numFmtId="44" fontId="1" fillId="9" borderId="7" xfId="0" applyNumberFormat="1" applyFont="1" applyFill="1" applyBorder="1"/>
    <xf numFmtId="0" fontId="1" fillId="9" borderId="5" xfId="0" applyFont="1" applyFill="1"/>
    <xf numFmtId="9" fontId="1" fillId="9" borderId="5" xfId="0" applyNumberFormat="1" applyFont="1" applyFill="1"/>
    <xf numFmtId="0" fontId="2" fillId="0" borderId="17" xfId="0" applyFont="1" applyBorder="1" applyAlignment="1">
      <alignment horizontal="center" vertic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zoomScale="87" workbookViewId="0">
      <selection activeCell="W28" sqref="W28"/>
    </sheetView>
  </sheetViews>
  <sheetFormatPr baseColWidth="10" defaultColWidth="14.5" defaultRowHeight="15" customHeight="1"/>
  <cols>
    <col min="1" max="1" width="3.1640625" customWidth="1"/>
    <col min="2" max="2" width="39.83203125" customWidth="1"/>
    <col min="3" max="3" width="15.83203125" customWidth="1"/>
    <col min="4" max="4" width="17.1640625" customWidth="1"/>
    <col min="5" max="5" width="26.1640625" customWidth="1"/>
    <col min="6" max="6" width="31.33203125" customWidth="1"/>
    <col min="7" max="7" width="15.5" customWidth="1"/>
    <col min="8" max="8" width="17.1640625" customWidth="1"/>
    <col min="9" max="9" width="15.5" customWidth="1"/>
    <col min="10" max="10" width="17.5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-10495000000</v>
      </c>
      <c r="D3" s="7">
        <f t="shared" si="1"/>
        <v>0</v>
      </c>
      <c r="E3" s="7">
        <f t="shared" si="1"/>
        <v>0</v>
      </c>
      <c r="F3" s="8" t="e">
        <f t="shared" si="1"/>
        <v>#DIV/0!</v>
      </c>
      <c r="G3" s="8" t="e">
        <f t="shared" si="1"/>
        <v>#DIV/0!</v>
      </c>
      <c r="H3" s="8" t="e">
        <f t="shared" si="1"/>
        <v>#DIV/0!</v>
      </c>
      <c r="I3" s="8" t="e">
        <f t="shared" si="1"/>
        <v>#DIV/0!</v>
      </c>
      <c r="J3" s="9" t="e">
        <f t="shared" si="1"/>
        <v>#DIV/0!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>(1+$C7)^F1</f>
        <v>1.1749116627634226</v>
      </c>
      <c r="G4" s="12">
        <f>(1+$C7)^G1</f>
        <v>1.3804174152975106</v>
      </c>
      <c r="H4" s="12">
        <f>(1+$C7)^H1</f>
        <v>1.6218685207147843</v>
      </c>
      <c r="I4" s="12">
        <f>(1+$C7)^I1</f>
        <v>1.9055522404566598</v>
      </c>
      <c r="J4" s="13">
        <f>(1+$C7)^J1</f>
        <v>2.2388555513174997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 t="e">
        <f>((J3/(1+C8)))/(E42-C8)</f>
        <v>#DIV/0!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 t="e">
        <f>(F3)*(1+$E$42)^F1</f>
        <v>#DIV/0!</v>
      </c>
      <c r="G6" s="8" t="e">
        <f>(G3)*(1+$E$42)^G1</f>
        <v>#DIV/0!</v>
      </c>
      <c r="H6" s="8" t="e">
        <f>(H3)*(1+$E$42)^H1</f>
        <v>#DIV/0!</v>
      </c>
      <c r="I6" s="8" t="e">
        <f>(I3)*(1+$E$42)^I1</f>
        <v>#DIV/0!</v>
      </c>
      <c r="J6" s="19" t="e">
        <f>(J5+J3)*(1+E42)^J1</f>
        <v>#DIV/0!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0.1749116627634226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01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 t="e">
        <f>SUM(F6:J6)</f>
        <v>#DIV/0!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02">
        <v>42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03">
        <v>67.7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 t="e">
        <f>C9/C10</f>
        <v>#DIV/0!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 t="e">
        <f>(C12-C11)/C11</f>
        <v>#DIV/0!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03">
        <v>365817000000</v>
      </c>
      <c r="D19" s="103">
        <v>0</v>
      </c>
      <c r="E19" s="103">
        <v>0</v>
      </c>
      <c r="F19" s="8">
        <f>E19*1.02</f>
        <v>0</v>
      </c>
      <c r="G19" s="8">
        <f>F19*1.02</f>
        <v>0</v>
      </c>
      <c r="H19" s="8">
        <f>G19*1.02</f>
        <v>0</v>
      </c>
      <c r="I19" s="8">
        <f>H19*1.02</f>
        <v>0</v>
      </c>
      <c r="J19" s="19">
        <f>I19*1.02</f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06">
        <v>274515000000</v>
      </c>
      <c r="D20" s="11">
        <f>D19/C19-1</f>
        <v>-1</v>
      </c>
      <c r="E20" s="11" t="e">
        <f>E19/D19-1</f>
        <v>#DIV/0!</v>
      </c>
      <c r="F20" s="49" t="e">
        <f>AVERAGE(C20:E20)</f>
        <v>#DIV/0!</v>
      </c>
      <c r="G20" s="49" t="e">
        <f>AVERAGE(C20:F20)</f>
        <v>#DIV/0!</v>
      </c>
      <c r="H20" s="49" t="e">
        <f>AVERAGE(C20:G20)</f>
        <v>#DIV/0!</v>
      </c>
      <c r="I20" s="49" t="e">
        <f>AVERAGE(C20:H20)</f>
        <v>#DIV/0!</v>
      </c>
      <c r="J20" s="50" t="e">
        <f>AVERAGE(C20:I20)</f>
        <v>#DIV/0!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03">
        <v>94680000000</v>
      </c>
      <c r="D21" s="103">
        <v>0</v>
      </c>
      <c r="E21" s="103">
        <v>0</v>
      </c>
      <c r="F21" s="8" t="e">
        <f>F19*E22</f>
        <v>#DIV/0!</v>
      </c>
      <c r="G21" s="8" t="e">
        <f>G19*F22</f>
        <v>#DIV/0!</v>
      </c>
      <c r="H21" s="8" t="e">
        <f>H19*G22</f>
        <v>#DIV/0!</v>
      </c>
      <c r="I21" s="8" t="e">
        <f>I19*H22</f>
        <v>#DIV/0!</v>
      </c>
      <c r="J21" s="19" t="e">
        <f>J19*I22</f>
        <v>#DIV/0!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v>57411000000</v>
      </c>
      <c r="D22" s="11" t="e">
        <f>D21/D19</f>
        <v>#DIV/0!</v>
      </c>
      <c r="E22" s="11" t="e">
        <f>E21/E19</f>
        <v>#DIV/0!</v>
      </c>
      <c r="F22" s="49" t="e">
        <f>AVERAGE(C22:E22)</f>
        <v>#DIV/0!</v>
      </c>
      <c r="G22" s="49" t="e">
        <f>AVERAGE(D22:F22)</f>
        <v>#DIV/0!</v>
      </c>
      <c r="H22" s="49" t="e">
        <f>AVERAGE(E22:G22)</f>
        <v>#DIV/0!</v>
      </c>
      <c r="I22" s="49" t="e">
        <f>AVERAGE(F22:H22)</f>
        <v>#DIV/0!</v>
      </c>
      <c r="J22" s="50" t="e">
        <f>AVERAGE(G22:I22)</f>
        <v>#DIV/0!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>
        <v>55256000000</v>
      </c>
      <c r="D23" s="7"/>
      <c r="E23" s="7"/>
      <c r="F23" s="8" t="e">
        <f>F31*F21</f>
        <v>#DIV/0!</v>
      </c>
      <c r="G23" s="8" t="e">
        <f>G31*G21</f>
        <v>#DIV/0!</v>
      </c>
      <c r="H23" s="8" t="e">
        <f>H31*H21</f>
        <v>#DIV/0!</v>
      </c>
      <c r="I23" s="8" t="e">
        <f>I31*I21</f>
        <v>#DIV/0!</v>
      </c>
      <c r="J23" s="19" t="e">
        <f>J31*J21</f>
        <v>#DIV/0!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03">
        <v>93726985516.73761</v>
      </c>
      <c r="D24" s="103">
        <v>0</v>
      </c>
      <c r="E24" s="103">
        <v>0</v>
      </c>
      <c r="F24" s="8" t="e">
        <f>E24*(1+E25)</f>
        <v>#DIV/0!</v>
      </c>
      <c r="G24" s="8" t="e">
        <f>F24*(1+F25)</f>
        <v>#DIV/0!</v>
      </c>
      <c r="H24" s="8" t="e">
        <f>G24*(1+G25)</f>
        <v>#DIV/0!</v>
      </c>
      <c r="I24" s="8" t="e">
        <f>H24*(1+H25)</f>
        <v>#DIV/0!</v>
      </c>
      <c r="J24" s="19" t="e">
        <f>I24*(1+I25)</f>
        <v>#DIV/0!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>
        <v>58626710427.109306</v>
      </c>
      <c r="D25" s="11">
        <f>D24/C24-1</f>
        <v>-1</v>
      </c>
      <c r="E25" s="11" t="e">
        <f>E24/D24-1</f>
        <v>#DIV/0!</v>
      </c>
      <c r="F25" s="49">
        <v>0.03</v>
      </c>
      <c r="G25" s="49" t="e">
        <f>G24/F24-1</f>
        <v>#DIV/0!</v>
      </c>
      <c r="H25" s="49" t="e">
        <f>H24/G24-1</f>
        <v>#DIV/0!</v>
      </c>
      <c r="I25" s="49" t="e">
        <f>I24/H24-1</f>
        <v>#DIV/0!</v>
      </c>
      <c r="J25" s="50" t="e">
        <f>J24/I24-1</f>
        <v>#DIV/0!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03">
        <v>11284000000</v>
      </c>
      <c r="D26" s="103">
        <v>0</v>
      </c>
      <c r="E26" s="103">
        <v>0</v>
      </c>
      <c r="F26" s="8">
        <f>E26*(1+F27)</f>
        <v>0</v>
      </c>
      <c r="G26" s="8">
        <f>F26*(1+G27)</f>
        <v>0</v>
      </c>
      <c r="H26" s="8">
        <f>G26*(1+H27)</f>
        <v>0</v>
      </c>
      <c r="I26" s="8">
        <f>H26*(1+I27)</f>
        <v>0</v>
      </c>
      <c r="J26" s="19">
        <f>I26*(1+J27)</f>
        <v>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>
        <v>11056000000</v>
      </c>
      <c r="D27" s="11">
        <f>D26/C26-1</f>
        <v>-1</v>
      </c>
      <c r="E27" s="11" t="e">
        <f>E26/D26-1</f>
        <v>#DIV/0!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03">
        <v>9355000000</v>
      </c>
      <c r="D28" s="103">
        <v>0</v>
      </c>
      <c r="E28" s="103">
        <v>0</v>
      </c>
      <c r="F28" s="8">
        <f>E28*(1+F29)</f>
        <v>0</v>
      </c>
      <c r="G28" s="8">
        <f>F28*(1+G29)</f>
        <v>0</v>
      </c>
      <c r="H28" s="8">
        <f>G28*(1+H29)</f>
        <v>0</v>
      </c>
      <c r="I28" s="8">
        <f>H28*(1+I29)</f>
        <v>0</v>
      </c>
      <c r="J28" s="19">
        <f>I28*(1+J29)</f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>
        <v>38321000000</v>
      </c>
      <c r="D29" s="11">
        <f>D28/C28-1</f>
        <v>-1</v>
      </c>
      <c r="E29" s="11" t="e">
        <f>E28/D28-1</f>
        <v>#DIV/0!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03">
        <v>-11085000000</v>
      </c>
      <c r="D30" s="103">
        <v>0</v>
      </c>
      <c r="E30" s="103">
        <v>0</v>
      </c>
      <c r="F30" s="8">
        <f>E30*(1+F31)</f>
        <v>0</v>
      </c>
      <c r="G30" s="8">
        <f>F30*(1+G31)</f>
        <v>0</v>
      </c>
      <c r="H30" s="8">
        <f>G30*(1+H31)</f>
        <v>0</v>
      </c>
      <c r="I30" s="8">
        <f>H30*(1+I31)</f>
        <v>0</v>
      </c>
      <c r="J30" s="19">
        <f>I30*(1+J31)</f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>
        <v>-7309000000</v>
      </c>
      <c r="D31" s="11">
        <f>D30/C30-1</f>
        <v>-1</v>
      </c>
      <c r="E31" s="11" t="e">
        <f>E30/D30-1</f>
        <v>#DIV/0!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v>-10495000000</v>
      </c>
      <c r="D32" s="52">
        <f>D24+D26+D30</f>
        <v>0</v>
      </c>
      <c r="E32" s="52">
        <f>E24+E26+E30</f>
        <v>0</v>
      </c>
      <c r="F32" s="53" t="e">
        <f>F24+F26+F28+F30</f>
        <v>#DIV/0!</v>
      </c>
      <c r="G32" s="53" t="e">
        <f>G24+G26+G28+G30</f>
        <v>#DIV/0!</v>
      </c>
      <c r="H32" s="53" t="e">
        <f>H24+H26+H28+H30</f>
        <v>#DIV/0!</v>
      </c>
      <c r="I32" s="53" t="e">
        <f>I24+I26+I28+I30</f>
        <v>#DIV/0!</v>
      </c>
      <c r="J32" s="54" t="e">
        <f>J24+J26+J28+J30</f>
        <v>#DIV/0!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0</v>
      </c>
      <c r="D35" s="11" t="s">
        <v>36</v>
      </c>
      <c r="E35" s="58">
        <f>E36/E37</f>
        <v>4.7965341172829959E-4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37</v>
      </c>
      <c r="C36" s="100">
        <v>0</v>
      </c>
      <c r="D36" s="11" t="s">
        <v>38</v>
      </c>
      <c r="E36" s="104">
        <v>1.24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39</v>
      </c>
      <c r="C37" s="100">
        <v>0</v>
      </c>
      <c r="D37" s="11" t="s">
        <v>40</v>
      </c>
      <c r="E37" s="104">
        <v>2585.1999999999998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41</v>
      </c>
      <c r="C38" s="20">
        <f>C39+C40*(C41-C39)</f>
        <v>0.17499560000000003</v>
      </c>
      <c r="D38" s="11" t="s">
        <v>42</v>
      </c>
      <c r="E38" s="58">
        <f>E39/E40</f>
        <v>0.99952034658827182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43</v>
      </c>
      <c r="C39" s="101">
        <v>1.34E-2</v>
      </c>
      <c r="D39" s="11" t="s">
        <v>44</v>
      </c>
      <c r="E39" s="59">
        <f>E37-E36</f>
        <v>2583.96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45</v>
      </c>
      <c r="C40" s="105">
        <v>1.8660000000000001</v>
      </c>
      <c r="D40" s="11" t="s">
        <v>40</v>
      </c>
      <c r="E40" s="59">
        <f>E37</f>
        <v>2585.1999999999998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46</v>
      </c>
      <c r="C41" s="101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47</v>
      </c>
      <c r="C42" s="62"/>
      <c r="D42" s="27"/>
      <c r="E42" s="63">
        <f>C35*E35+C38*E38</f>
        <v>0.1749116627634226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N1000"/>
  <sheetViews>
    <sheetView showGridLines="0" workbookViewId="0"/>
  </sheetViews>
  <sheetFormatPr baseColWidth="10" defaultColWidth="14.5" defaultRowHeight="15" customHeight="1"/>
  <cols>
    <col min="1" max="1" width="10.6640625" customWidth="1"/>
    <col min="2" max="2" width="73.6640625" customWidth="1"/>
    <col min="3" max="3" width="14" customWidth="1"/>
    <col min="4" max="4" width="18.6640625" customWidth="1"/>
    <col min="5" max="5" width="18.5" customWidth="1"/>
    <col min="6" max="7" width="15.5" customWidth="1"/>
    <col min="8" max="8" width="10.6640625" customWidth="1"/>
    <col min="9" max="9" width="16.1640625" customWidth="1"/>
    <col min="10" max="13" width="15.5" customWidth="1"/>
    <col min="14" max="26" width="10.6640625" customWidth="1"/>
  </cols>
  <sheetData>
    <row r="2" spans="2:14" ht="16" customHeight="1">
      <c r="B2" s="65"/>
      <c r="C2" s="65"/>
      <c r="D2" s="65"/>
      <c r="E2" s="107" t="s">
        <v>48</v>
      </c>
      <c r="F2" s="108"/>
      <c r="G2" s="108"/>
      <c r="H2" s="108"/>
      <c r="I2" s="108"/>
      <c r="J2" s="108"/>
      <c r="K2" s="108"/>
      <c r="L2" s="108"/>
      <c r="M2" s="108"/>
      <c r="N2" s="1"/>
    </row>
    <row r="3" spans="2:14" ht="16" customHeight="1">
      <c r="B3" s="65"/>
      <c r="C3" s="65"/>
      <c r="D3" s="65"/>
      <c r="E3" s="107" t="s">
        <v>49</v>
      </c>
      <c r="F3" s="108"/>
      <c r="G3" s="108"/>
      <c r="H3" s="65"/>
      <c r="I3" s="107" t="s">
        <v>50</v>
      </c>
      <c r="J3" s="108"/>
      <c r="K3" s="108"/>
      <c r="L3" s="108"/>
      <c r="M3" s="108"/>
      <c r="N3" s="1"/>
    </row>
    <row r="4" spans="2:14" ht="16" customHeight="1">
      <c r="B4" s="66"/>
      <c r="C4" s="66"/>
      <c r="D4" s="66"/>
      <c r="E4" s="66" t="s">
        <v>51</v>
      </c>
      <c r="F4" s="66" t="s">
        <v>52</v>
      </c>
      <c r="G4" s="66" t="s">
        <v>53</v>
      </c>
      <c r="H4" s="66"/>
      <c r="I4" s="66" t="s">
        <v>54</v>
      </c>
      <c r="J4" s="66" t="s">
        <v>55</v>
      </c>
      <c r="K4" s="66" t="s">
        <v>56</v>
      </c>
      <c r="L4" s="66" t="s">
        <v>57</v>
      </c>
      <c r="M4" s="66" t="s">
        <v>58</v>
      </c>
      <c r="N4" s="1"/>
    </row>
    <row r="5" spans="2:14" ht="16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ht="16" customHeight="1">
      <c r="B6" s="67" t="s">
        <v>59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2:14" ht="16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ht="16" customHeight="1">
      <c r="B8" s="65" t="s">
        <v>29</v>
      </c>
      <c r="C8" s="1"/>
      <c r="D8" s="1"/>
      <c r="E8" s="68" t="e">
        <f>#REF!*(1-#REF!)</f>
        <v>#REF!</v>
      </c>
      <c r="F8" s="68" t="e">
        <f>#REF!*(1-#REF!)</f>
        <v>#REF!</v>
      </c>
      <c r="G8" s="68" t="e">
        <f>#REF!*(1-#REF!)</f>
        <v>#REF!</v>
      </c>
      <c r="H8" s="68"/>
      <c r="I8" s="69" t="e">
        <f>G8*(1+I9)</f>
        <v>#REF!</v>
      </c>
      <c r="J8" s="69" t="e">
        <f>I8*(1+J9)</f>
        <v>#REF!</v>
      </c>
      <c r="K8" s="69" t="e">
        <f>J8*(1+K9)</f>
        <v>#REF!</v>
      </c>
      <c r="L8" s="69" t="e">
        <f>K8*(1+L9)</f>
        <v>#REF!</v>
      </c>
      <c r="M8" s="69" t="e">
        <f>L8*(1+M9)</f>
        <v>#REF!</v>
      </c>
      <c r="N8" s="1"/>
    </row>
    <row r="9" spans="2:14" ht="16" customHeight="1">
      <c r="B9" s="65"/>
      <c r="C9" s="1"/>
      <c r="D9" s="1"/>
      <c r="E9" s="68"/>
      <c r="F9" s="32" t="e">
        <f>F8/E8-1</f>
        <v>#REF!</v>
      </c>
      <c r="G9" s="32" t="e">
        <f>G8/F8-1</f>
        <v>#REF!</v>
      </c>
      <c r="H9" s="1"/>
      <c r="I9" s="70">
        <v>0.03</v>
      </c>
      <c r="J9" s="70">
        <v>0.03</v>
      </c>
      <c r="K9" s="70">
        <v>0.03</v>
      </c>
      <c r="L9" s="70">
        <v>0.03</v>
      </c>
      <c r="M9" s="70">
        <v>0.03</v>
      </c>
      <c r="N9" s="1"/>
    </row>
    <row r="10" spans="2:14" ht="16" customHeight="1">
      <c r="B10" s="65" t="s">
        <v>60</v>
      </c>
      <c r="C10" s="1"/>
      <c r="D10" s="1"/>
      <c r="E10" s="68" t="e">
        <f>+#REF!</f>
        <v>#REF!</v>
      </c>
      <c r="F10" s="68" t="e">
        <f>+#REF!</f>
        <v>#REF!</v>
      </c>
      <c r="G10" s="68" t="e">
        <f>+#REF!</f>
        <v>#REF!</v>
      </c>
      <c r="H10" s="68"/>
      <c r="I10" s="69" t="e">
        <f>G10*(1+I11)</f>
        <v>#REF!</v>
      </c>
      <c r="J10" s="69" t="e">
        <f>I10*(1+J11)</f>
        <v>#REF!</v>
      </c>
      <c r="K10" s="69" t="e">
        <f>J10*(1+K11)</f>
        <v>#REF!</v>
      </c>
      <c r="L10" s="69" t="e">
        <f>K10*(1+L11)</f>
        <v>#REF!</v>
      </c>
      <c r="M10" s="69" t="e">
        <f>L10*(1+M11)</f>
        <v>#REF!</v>
      </c>
      <c r="N10" s="1"/>
    </row>
    <row r="11" spans="2:14" ht="16" customHeight="1">
      <c r="B11" s="65"/>
      <c r="C11" s="1"/>
      <c r="D11" s="1"/>
      <c r="E11" s="1"/>
      <c r="F11" s="32" t="e">
        <f>F10/E10-1</f>
        <v>#REF!</v>
      </c>
      <c r="G11" s="32" t="e">
        <f>G10/F10-1</f>
        <v>#REF!</v>
      </c>
      <c r="H11" s="1"/>
      <c r="I11" s="70">
        <v>0.03</v>
      </c>
      <c r="J11" s="70">
        <v>0.03</v>
      </c>
      <c r="K11" s="70">
        <v>0.03</v>
      </c>
      <c r="L11" s="70">
        <v>0.03</v>
      </c>
      <c r="M11" s="70">
        <v>0.03</v>
      </c>
      <c r="N11" s="1"/>
    </row>
    <row r="12" spans="2:14" ht="16" customHeight="1">
      <c r="B12" s="65" t="s">
        <v>61</v>
      </c>
      <c r="C12" s="1"/>
      <c r="D12" s="1"/>
      <c r="E12" s="68" t="e">
        <f>#REF!-#REF!</f>
        <v>#REF!</v>
      </c>
      <c r="F12" s="68" t="e">
        <f>#REF!-#REF!</f>
        <v>#REF!</v>
      </c>
      <c r="G12" s="68" t="e">
        <f>#REF!-#REF!</f>
        <v>#REF!</v>
      </c>
      <c r="H12" s="68"/>
      <c r="I12" s="69" t="e">
        <f>G12*(1+I13)</f>
        <v>#REF!</v>
      </c>
      <c r="J12" s="69" t="e">
        <f>I12*(1+J13)</f>
        <v>#REF!</v>
      </c>
      <c r="K12" s="69" t="e">
        <f>J12*(1+K13)</f>
        <v>#REF!</v>
      </c>
      <c r="L12" s="69" t="e">
        <f>K12*(1+L13)</f>
        <v>#REF!</v>
      </c>
      <c r="M12" s="69" t="e">
        <f>L12*(1+M13)</f>
        <v>#REF!</v>
      </c>
      <c r="N12" s="1"/>
    </row>
    <row r="13" spans="2:14" ht="16" customHeight="1">
      <c r="B13" s="65"/>
      <c r="C13" s="1"/>
      <c r="D13" s="1"/>
      <c r="E13" s="1"/>
      <c r="F13" s="32" t="e">
        <f>F12/E12-1</f>
        <v>#REF!</v>
      </c>
      <c r="G13" s="32" t="e">
        <f>G12/F12-1</f>
        <v>#REF!</v>
      </c>
      <c r="H13" s="1"/>
      <c r="I13" s="70">
        <v>0.03</v>
      </c>
      <c r="J13" s="70">
        <v>0.03</v>
      </c>
      <c r="K13" s="70">
        <v>0.03</v>
      </c>
      <c r="L13" s="70">
        <v>0.03</v>
      </c>
      <c r="M13" s="70">
        <v>0.03</v>
      </c>
      <c r="N13" s="1"/>
    </row>
    <row r="14" spans="2:14" ht="16" customHeight="1">
      <c r="B14" s="65" t="s">
        <v>62</v>
      </c>
      <c r="C14" s="1"/>
      <c r="D14" s="1"/>
      <c r="E14" s="68" t="e">
        <f>#REF!</f>
        <v>#REF!</v>
      </c>
      <c r="F14" s="68" t="e">
        <f>#REF!</f>
        <v>#REF!</v>
      </c>
      <c r="G14" s="68" t="e">
        <f>#REF!</f>
        <v>#REF!</v>
      </c>
      <c r="H14" s="68"/>
      <c r="I14" s="69" t="e">
        <f>G14*(1+I15)</f>
        <v>#REF!</v>
      </c>
      <c r="J14" s="69" t="e">
        <f>I14*(1+J15)</f>
        <v>#REF!</v>
      </c>
      <c r="K14" s="69" t="e">
        <f>J14*(1+K15)</f>
        <v>#REF!</v>
      </c>
      <c r="L14" s="69" t="e">
        <f>K14*(1+L15)</f>
        <v>#REF!</v>
      </c>
      <c r="M14" s="69" t="e">
        <f>L14*(1+M15)</f>
        <v>#REF!</v>
      </c>
      <c r="N14" s="1"/>
    </row>
    <row r="15" spans="2:14" ht="16" customHeight="1">
      <c r="B15" s="65"/>
      <c r="C15" s="1"/>
      <c r="D15" s="1"/>
      <c r="E15" s="68"/>
      <c r="F15" s="32" t="e">
        <f>F14/E14-1</f>
        <v>#REF!</v>
      </c>
      <c r="G15" s="32" t="e">
        <f>G14/F14-1</f>
        <v>#REF!</v>
      </c>
      <c r="H15" s="1"/>
      <c r="I15" s="70">
        <v>-0.1</v>
      </c>
      <c r="J15" s="70">
        <v>-0.1</v>
      </c>
      <c r="K15" s="70">
        <v>-0.1</v>
      </c>
      <c r="L15" s="70">
        <v>-0.1</v>
      </c>
      <c r="M15" s="70">
        <v>-0.1</v>
      </c>
      <c r="N15" s="1"/>
    </row>
    <row r="16" spans="2:14" ht="16" customHeight="1">
      <c r="B16" s="71" t="s">
        <v>59</v>
      </c>
      <c r="C16" s="71"/>
      <c r="D16" s="71"/>
      <c r="E16" s="72" t="e">
        <f>E8+E10+E12+E14</f>
        <v>#REF!</v>
      </c>
      <c r="F16" s="72" t="e">
        <f>F8+F10+F12+F14</f>
        <v>#REF!</v>
      </c>
      <c r="G16" s="72" t="e">
        <f>G8+G10+G12+G14</f>
        <v>#REF!</v>
      </c>
      <c r="H16" s="71"/>
      <c r="I16" s="72" t="e">
        <f>I8+I10+I12+I14</f>
        <v>#REF!</v>
      </c>
      <c r="J16" s="72" t="e">
        <f>J8+J10+J12+J14</f>
        <v>#REF!</v>
      </c>
      <c r="K16" s="72" t="e">
        <f>K8+K10+K12+K14</f>
        <v>#REF!</v>
      </c>
      <c r="L16" s="72" t="e">
        <f>L8+L10+L12+L14</f>
        <v>#REF!</v>
      </c>
      <c r="M16" s="72" t="e">
        <f>M8+M10+M12+M14</f>
        <v>#REF!</v>
      </c>
      <c r="N16" s="1"/>
    </row>
    <row r="17" spans="2:14" ht="16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16" customHeight="1">
      <c r="B18" s="73" t="s">
        <v>63</v>
      </c>
      <c r="C18" s="74"/>
      <c r="D18" s="74"/>
      <c r="E18" s="74"/>
      <c r="F18" s="74"/>
      <c r="G18" s="74"/>
      <c r="H18" s="74"/>
      <c r="I18" s="75"/>
      <c r="J18" s="76"/>
      <c r="K18" s="76"/>
      <c r="L18" s="76"/>
      <c r="M18" s="77" t="e">
        <f>((M16/(1+E33)))/(E34-E33)</f>
        <v>#REF!</v>
      </c>
      <c r="N18" s="1"/>
    </row>
    <row r="19" spans="2:14" ht="16" customHeight="1">
      <c r="B19" s="78"/>
      <c r="C19" s="78"/>
      <c r="D19" s="78"/>
      <c r="E19" s="78"/>
      <c r="F19" s="78"/>
      <c r="G19" s="79"/>
      <c r="H19" s="78"/>
      <c r="I19" s="80"/>
      <c r="J19" s="1"/>
      <c r="K19" s="1"/>
      <c r="L19" s="1"/>
      <c r="M19" s="1"/>
      <c r="N19" s="1"/>
    </row>
    <row r="20" spans="2:14" ht="16" customHeight="1">
      <c r="B20" s="78" t="s">
        <v>64</v>
      </c>
      <c r="C20" s="78"/>
      <c r="D20" s="78"/>
      <c r="E20" s="78"/>
      <c r="F20" s="78"/>
      <c r="G20" s="78"/>
      <c r="H20" s="78"/>
      <c r="I20" s="81" t="e">
        <f>(I16)*(1+$E$35)</f>
        <v>#REF!</v>
      </c>
      <c r="J20" s="81" t="e">
        <f>(J16)*(1+$E$35)^2</f>
        <v>#REF!</v>
      </c>
      <c r="K20" s="81" t="e">
        <f>(K16)*(1+$E$35)^3</f>
        <v>#REF!</v>
      </c>
      <c r="L20" s="81" t="e">
        <f>(L16)*(1+$E$35)^4</f>
        <v>#REF!</v>
      </c>
      <c r="M20" s="81" t="e">
        <f>(M18+M16)*((1+E35)^5)</f>
        <v>#REF!</v>
      </c>
      <c r="N20" s="1"/>
    </row>
    <row r="21" spans="2:14" ht="15.75" customHeight="1">
      <c r="B21" s="78"/>
      <c r="C21" s="78"/>
      <c r="D21" s="78"/>
      <c r="E21" s="78"/>
      <c r="F21" s="78"/>
      <c r="G21" s="78"/>
      <c r="H21" s="78"/>
      <c r="I21" s="1"/>
      <c r="J21" s="1"/>
      <c r="K21" s="1"/>
      <c r="L21" s="1"/>
      <c r="M21" s="1"/>
      <c r="N21" s="1"/>
    </row>
    <row r="22" spans="2:14" ht="15.75" customHeight="1">
      <c r="B22" s="78" t="s">
        <v>65</v>
      </c>
      <c r="C22" s="78"/>
      <c r="D22" s="81" t="e">
        <f>SUM(I20:M20)</f>
        <v>#REF!</v>
      </c>
      <c r="E22" s="78"/>
      <c r="F22" s="78"/>
      <c r="G22" s="78"/>
      <c r="H22" s="78"/>
      <c r="I22" s="1"/>
      <c r="J22" s="1"/>
      <c r="K22" s="1"/>
      <c r="L22" s="1"/>
      <c r="M22" s="1"/>
      <c r="N22" s="1"/>
    </row>
    <row r="23" spans="2:14" ht="15.75" customHeight="1">
      <c r="B23" s="65" t="s">
        <v>66</v>
      </c>
      <c r="C23" s="1"/>
      <c r="D23" s="82" t="e">
        <f>+#REF!</f>
        <v>#REF!</v>
      </c>
      <c r="E23" s="1"/>
      <c r="F23" s="1"/>
      <c r="G23" s="1"/>
      <c r="H23" s="1"/>
      <c r="I23" s="65"/>
      <c r="J23" s="1"/>
      <c r="K23" s="1"/>
      <c r="L23" s="1"/>
      <c r="M23" s="1"/>
      <c r="N23" s="1"/>
    </row>
    <row r="24" spans="2:14" ht="15.75" customHeight="1">
      <c r="B24" s="65" t="s">
        <v>67</v>
      </c>
      <c r="C24" s="1"/>
      <c r="D24" s="82" t="e">
        <f>+#REF!+#REF!</f>
        <v>#REF!</v>
      </c>
      <c r="E24" s="1"/>
      <c r="F24" s="1"/>
      <c r="G24" s="1"/>
      <c r="H24" s="1"/>
      <c r="I24" s="65"/>
      <c r="J24" s="1"/>
      <c r="K24" s="1"/>
      <c r="L24" s="1"/>
      <c r="M24" s="1"/>
      <c r="N24" s="1"/>
    </row>
    <row r="25" spans="2:14" ht="15.75" customHeight="1">
      <c r="B25" s="83" t="s">
        <v>68</v>
      </c>
      <c r="C25" s="84"/>
      <c r="D25" s="85" t="e">
        <f>SUM(D22:D24)</f>
        <v>#REF!</v>
      </c>
      <c r="E25" s="1"/>
      <c r="F25" s="1"/>
      <c r="G25" s="1"/>
      <c r="H25" s="1"/>
      <c r="I25" s="65"/>
      <c r="J25" s="1"/>
      <c r="K25" s="1"/>
      <c r="L25" s="1"/>
      <c r="M25" s="1"/>
      <c r="N25" s="1"/>
    </row>
    <row r="26" spans="2:14" ht="15.75" customHeight="1">
      <c r="B26" s="86"/>
      <c r="C26" s="87"/>
      <c r="D26" s="82"/>
      <c r="E26" s="1"/>
      <c r="F26" s="1"/>
      <c r="G26" s="1"/>
      <c r="H26" s="1"/>
      <c r="I26" s="65"/>
      <c r="J26" s="1"/>
      <c r="K26" s="1"/>
      <c r="L26" s="1"/>
      <c r="M26" s="1"/>
      <c r="N26" s="1"/>
    </row>
    <row r="27" spans="2:14" ht="15.75" customHeight="1">
      <c r="B27" s="86" t="s">
        <v>69</v>
      </c>
      <c r="C27" s="87"/>
      <c r="D27" s="88">
        <v>136</v>
      </c>
      <c r="E27" s="1"/>
      <c r="F27" s="1"/>
      <c r="G27" s="1"/>
      <c r="H27" s="1"/>
      <c r="I27" s="65"/>
      <c r="J27" s="1"/>
      <c r="K27" s="1"/>
      <c r="L27" s="1"/>
      <c r="M27" s="1"/>
      <c r="N27" s="1"/>
    </row>
    <row r="28" spans="2:14" ht="15.75" customHeight="1">
      <c r="B28" s="86" t="s">
        <v>70</v>
      </c>
      <c r="C28" s="87"/>
      <c r="D28" s="89">
        <f>+Template!C10</f>
        <v>42</v>
      </c>
      <c r="E28" s="1"/>
      <c r="F28" s="1"/>
      <c r="G28" s="1"/>
      <c r="H28" s="1"/>
      <c r="I28" s="65"/>
      <c r="J28" s="1"/>
      <c r="K28" s="1"/>
      <c r="L28" s="1"/>
      <c r="M28" s="1"/>
      <c r="N28" s="1"/>
    </row>
    <row r="29" spans="2:14" ht="15.75" customHeight="1">
      <c r="B29" s="86"/>
      <c r="C29" s="87"/>
      <c r="D29" s="82"/>
      <c r="E29" s="1"/>
      <c r="F29" s="1"/>
      <c r="G29" s="1"/>
      <c r="H29" s="1"/>
      <c r="I29" s="65"/>
      <c r="J29" s="1"/>
      <c r="K29" s="1"/>
      <c r="L29" s="1"/>
      <c r="M29" s="1"/>
      <c r="N29" s="1"/>
    </row>
    <row r="30" spans="2:14" ht="15.75" customHeight="1">
      <c r="B30" s="90" t="s">
        <v>71</v>
      </c>
      <c r="C30" s="91"/>
      <c r="D30" s="92" t="e">
        <f>D25/D28</f>
        <v>#REF!</v>
      </c>
      <c r="E30" s="1"/>
      <c r="F30" s="1"/>
      <c r="G30" s="1"/>
      <c r="H30" s="1"/>
      <c r="I30" s="65"/>
      <c r="J30" s="1"/>
      <c r="K30" s="1"/>
      <c r="L30" s="1"/>
      <c r="M30" s="1"/>
      <c r="N30" s="1"/>
    </row>
    <row r="31" spans="2:14" ht="15.75" customHeight="1">
      <c r="B31" s="93" t="s">
        <v>72</v>
      </c>
      <c r="C31" s="94"/>
      <c r="D31" s="95" t="e">
        <f>D30/D27-1</f>
        <v>#REF!</v>
      </c>
      <c r="E31" s="1"/>
      <c r="F31" s="1"/>
      <c r="G31" s="1"/>
      <c r="H31" s="1"/>
      <c r="I31" s="65"/>
      <c r="J31" s="1"/>
      <c r="K31" s="1"/>
      <c r="L31" s="1"/>
      <c r="M31" s="1"/>
      <c r="N31" s="1"/>
    </row>
    <row r="32" spans="2:14" ht="15.75" customHeight="1"/>
    <row r="33" spans="2:9" ht="15.75" customHeight="1">
      <c r="B33" s="96" t="s">
        <v>73</v>
      </c>
      <c r="C33" s="97"/>
      <c r="D33" s="97"/>
      <c r="E33" s="98">
        <v>2.5000000000000001E-2</v>
      </c>
      <c r="F33" s="97"/>
      <c r="G33" s="97"/>
      <c r="H33" s="97"/>
      <c r="I33" s="97"/>
    </row>
    <row r="34" spans="2:9" ht="15.75" customHeight="1">
      <c r="B34" s="96" t="s">
        <v>74</v>
      </c>
      <c r="C34" s="97"/>
      <c r="D34" s="97"/>
      <c r="E34" s="98">
        <v>0.08</v>
      </c>
      <c r="F34" s="97"/>
      <c r="G34" s="97"/>
      <c r="H34" s="97"/>
      <c r="I34" s="97"/>
    </row>
    <row r="35" spans="2:9" ht="15.75" customHeight="1">
      <c r="B35" s="96" t="s">
        <v>75</v>
      </c>
      <c r="C35" s="97"/>
      <c r="D35" s="97"/>
      <c r="E35" s="99">
        <v>0.12</v>
      </c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M2"/>
    <mergeCell ref="E3:G3"/>
    <mergeCell ref="I3:M3"/>
  </mergeCells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Z1000"/>
  <sheetViews>
    <sheetView topLeftCell="A18" workbookViewId="0">
      <selection activeCell="B13" sqref="B13"/>
    </sheetView>
  </sheetViews>
  <sheetFormatPr baseColWidth="10" defaultColWidth="14.5" defaultRowHeight="15" customHeight="1"/>
  <cols>
    <col min="1" max="1" width="3.1640625" customWidth="1"/>
    <col min="2" max="2" width="37.83203125" bestFit="1" customWidth="1"/>
    <col min="3" max="3" width="22.6640625" bestFit="1" customWidth="1"/>
    <col min="4" max="4" width="22.33203125" bestFit="1" customWidth="1"/>
    <col min="5" max="5" width="24" bestFit="1" customWidth="1"/>
    <col min="6" max="6" width="22.33203125" bestFit="1" customWidth="1"/>
    <col min="7" max="10" width="36.33203125" bestFit="1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-10495000000</v>
      </c>
      <c r="D3" s="7">
        <f t="shared" si="1"/>
        <v>62373710427.109314</v>
      </c>
      <c r="E3" s="7">
        <f t="shared" si="1"/>
        <v>60133201472.674911</v>
      </c>
      <c r="F3" s="8">
        <f t="shared" si="1"/>
        <v>119832708361.95067</v>
      </c>
      <c r="G3" s="8">
        <f t="shared" si="1"/>
        <v>124655604612.80919</v>
      </c>
      <c r="H3" s="8">
        <f t="shared" si="1"/>
        <v>129500396251.19347</v>
      </c>
      <c r="I3" s="8">
        <f t="shared" si="1"/>
        <v>134380019288.72928</v>
      </c>
      <c r="J3" s="9">
        <f t="shared" si="1"/>
        <v>139306569902.39117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>(1+$C7)^F1</f>
        <v>1.1158129880076777</v>
      </c>
      <c r="G4" s="12">
        <f>(1+$C7)^G1</f>
        <v>1.2450386242066218</v>
      </c>
      <c r="H4" s="12">
        <f>(1+$C7)^H1</f>
        <v>1.3892302674609589</v>
      </c>
      <c r="I4" s="12">
        <f>(1+$C7)^I1</f>
        <v>1.5501211757663176</v>
      </c>
      <c r="J4" s="13">
        <f>(1+$C7)^J1</f>
        <v>1.7296453409057895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2354672219711.0825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>(F3)*(1+$E$42)^F1</f>
        <v>133710892378.4008</v>
      </c>
      <c r="G6" s="8">
        <f>(G3)*(1+$E$42)^G1</f>
        <v>155201042466.77658</v>
      </c>
      <c r="H6" s="8">
        <f>(H3)*(1+$E$42)^H1</f>
        <v>179905870120.34567</v>
      </c>
      <c r="I6" s="8">
        <f>(I3)*(1+$E$42)^I1</f>
        <v>208305313499.34546</v>
      </c>
      <c r="J6" s="19">
        <f>(J5+J3)*(1+E42)^J1</f>
        <v>4313698793772.8047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0.11581298800767766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01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4990821912237.6729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02">
        <v>15836198941.46133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03">
        <v>140.41999999999999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315.1527668152122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1.2443581171856732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03">
        <v>365817000000</v>
      </c>
      <c r="D19" s="103">
        <v>274515000000</v>
      </c>
      <c r="E19" s="103">
        <v>260174000000</v>
      </c>
      <c r="F19" s="8">
        <f>E19*1.02</f>
        <v>265377480000</v>
      </c>
      <c r="G19" s="8">
        <f>F19*1.02</f>
        <v>270685029600</v>
      </c>
      <c r="H19" s="8">
        <f>G19*1.02</f>
        <v>276098730192</v>
      </c>
      <c r="I19" s="8">
        <f>H19*1.02</f>
        <v>281620704795.84003</v>
      </c>
      <c r="J19" s="19">
        <f>I19*1.02</f>
        <v>287253118891.75684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06">
        <v>-7.2302753038079967E-2</v>
      </c>
      <c r="D20" s="11">
        <f>D19/C19-1</f>
        <v>-0.24958380829759141</v>
      </c>
      <c r="E20" s="11">
        <f>E19/D19-1</f>
        <v>-5.2241225433947158E-2</v>
      </c>
      <c r="F20" s="49">
        <f>AVERAGE(C20:E20)</f>
        <v>-0.12470926225653951</v>
      </c>
      <c r="G20" s="49">
        <f>AVERAGE(C20:F20)</f>
        <v>-0.12470926225653951</v>
      </c>
      <c r="H20" s="49">
        <f>AVERAGE(C20:G20)</f>
        <v>-0.12470926225653951</v>
      </c>
      <c r="I20" s="49">
        <f>AVERAGE(C20:H20)</f>
        <v>-0.12470926225653951</v>
      </c>
      <c r="J20" s="50">
        <f>AVERAGE(C20:I20)</f>
        <v>-0.12470926225653953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03">
        <v>94680000000</v>
      </c>
      <c r="D21" s="103">
        <v>57411000000</v>
      </c>
      <c r="E21" s="103">
        <v>55256000000</v>
      </c>
      <c r="F21" s="8">
        <f>F19*E22</f>
        <v>56361120000</v>
      </c>
      <c r="G21" s="8">
        <f>G19*F22</f>
        <v>5.1800994114932331E+21</v>
      </c>
      <c r="H21" s="8">
        <f>H19*G22</f>
        <v>1.7612337999464924E+21</v>
      </c>
      <c r="I21" s="8">
        <f>I19*H22</f>
        <v>2.3952779679075978E+21</v>
      </c>
      <c r="J21" s="19">
        <f>J19*I22</f>
        <v>3.2575780363339977E+21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v>57411000000</v>
      </c>
      <c r="D22" s="11">
        <f>D21/D19</f>
        <v>0.20913611278072236</v>
      </c>
      <c r="E22" s="11">
        <f>E21/E19</f>
        <v>0.21238094505984456</v>
      </c>
      <c r="F22" s="49">
        <f>AVERAGE(C22:E22)</f>
        <v>19137000000.140507</v>
      </c>
      <c r="G22" s="49">
        <f>AVERAGE(D22:F22)</f>
        <v>6379000000.1873407</v>
      </c>
      <c r="H22" s="49">
        <f>AVERAGE(E22:G22)</f>
        <v>8505333333.5134087</v>
      </c>
      <c r="I22" s="49">
        <f>AVERAGE(F22:H22)</f>
        <v>11340444444.613752</v>
      </c>
      <c r="J22" s="50">
        <f>AVERAGE(G22:I22)</f>
        <v>8741592592.7714996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>
        <v>55256000000</v>
      </c>
      <c r="D23" s="7"/>
      <c r="E23" s="7"/>
      <c r="F23" s="8">
        <f>F31*F21</f>
        <v>-5636112000</v>
      </c>
      <c r="G23" s="8">
        <f>G31*G21</f>
        <v>-5.1800994114932336E+20</v>
      </c>
      <c r="H23" s="8">
        <f>H31*H21</f>
        <v>-1.7612337999464926E+20</v>
      </c>
      <c r="I23" s="8">
        <f>I31*I21</f>
        <v>-2.3952779679075978E+20</v>
      </c>
      <c r="J23" s="19">
        <f>J31*J21</f>
        <v>-3.2575780363339976E+20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03">
        <v>93726985516.73761</v>
      </c>
      <c r="D24" s="103">
        <v>58626710427.109306</v>
      </c>
      <c r="E24" s="103">
        <v>58081201472.674911</v>
      </c>
      <c r="F24" s="8">
        <f>E24*(1+E25)</f>
        <v>57540768361.950668</v>
      </c>
      <c r="G24" s="8">
        <f>F24*(1+F25)</f>
        <v>59266991412.809189</v>
      </c>
      <c r="H24" s="8">
        <f>G24*(1+G25)</f>
        <v>61045001155.193466</v>
      </c>
      <c r="I24" s="8">
        <f>H24*(1+H25)</f>
        <v>62876351189.849274</v>
      </c>
      <c r="J24" s="19">
        <f>I24*(1+I25)</f>
        <v>64762641725.544754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>
        <v>58626710427.109306</v>
      </c>
      <c r="D25" s="11">
        <f>D24/C24-1</f>
        <v>-0.37449486821871758</v>
      </c>
      <c r="E25" s="11">
        <f>E24/D24-1</f>
        <v>-9.3047853181635887E-3</v>
      </c>
      <c r="F25" s="49">
        <v>0.03</v>
      </c>
      <c r="G25" s="49">
        <f>G24/F24-1</f>
        <v>3.0000000000000027E-2</v>
      </c>
      <c r="H25" s="49">
        <f>H24/G24-1</f>
        <v>3.0000000000000027E-2</v>
      </c>
      <c r="I25" s="49">
        <f>I24/H24-1</f>
        <v>3.0000000000000027E-2</v>
      </c>
      <c r="J25" s="50">
        <f>J24/I24-1</f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03">
        <v>11284000000</v>
      </c>
      <c r="D26" s="103">
        <v>11056000000</v>
      </c>
      <c r="E26" s="103">
        <v>12547000000</v>
      </c>
      <c r="F26" s="8">
        <f>E26*(1+F27)</f>
        <v>12923410000</v>
      </c>
      <c r="G26" s="8">
        <f>F26*(1+G27)</f>
        <v>13311112300</v>
      </c>
      <c r="H26" s="8">
        <f>G26*(1+H27)</f>
        <v>13710445669</v>
      </c>
      <c r="I26" s="8">
        <f>H26*(1+I27)</f>
        <v>14121759039.07</v>
      </c>
      <c r="J26" s="19">
        <f>I26*(1+J27)</f>
        <v>14545411810.2421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>
        <v>11056000000</v>
      </c>
      <c r="D27" s="11">
        <f>D26/C26-1</f>
        <v>-2.0205600850762173E-2</v>
      </c>
      <c r="E27" s="11">
        <f>E26/D26-1</f>
        <v>0.1348589001447178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03">
        <v>9355000000</v>
      </c>
      <c r="D28" s="103">
        <v>38321000000</v>
      </c>
      <c r="E28" s="103">
        <v>57101000000</v>
      </c>
      <c r="F28" s="8">
        <f>E28*(1+F29)</f>
        <v>58814030000</v>
      </c>
      <c r="G28" s="8">
        <f>F28*(1+G29)</f>
        <v>60578450900</v>
      </c>
      <c r="H28" s="8">
        <f>G28*(1+H29)</f>
        <v>62395804427</v>
      </c>
      <c r="I28" s="8">
        <f>H28*(1+I29)</f>
        <v>64267678559.810005</v>
      </c>
      <c r="J28" s="19">
        <f>I28*(1+J29)</f>
        <v>66195708916.604309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>
        <v>38321000000</v>
      </c>
      <c r="D29" s="11">
        <f>D28/C28-1</f>
        <v>3.0963121325494392</v>
      </c>
      <c r="E29" s="11">
        <f>E28/D28-1</f>
        <v>0.49007071840505212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03">
        <v>-11085000000</v>
      </c>
      <c r="D30" s="103">
        <v>-7309000000</v>
      </c>
      <c r="E30" s="103">
        <v>-10495000000</v>
      </c>
      <c r="F30" s="8">
        <f>E30*(1+F31)</f>
        <v>-9445500000</v>
      </c>
      <c r="G30" s="8">
        <f>F30*(1+G31)</f>
        <v>-8500950000</v>
      </c>
      <c r="H30" s="8">
        <f>G30*(1+H31)</f>
        <v>-7650855000</v>
      </c>
      <c r="I30" s="8">
        <f>H30*(1+I31)</f>
        <v>-6885769500</v>
      </c>
      <c r="J30" s="19">
        <f>I30*(1+J31)</f>
        <v>-6197192550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>
        <v>-7309000000</v>
      </c>
      <c r="D31" s="11">
        <f>D30/C30-1</f>
        <v>-0.34064050518718991</v>
      </c>
      <c r="E31" s="11">
        <f>E30/D30-1</f>
        <v>0.43590094404159263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v>-10495000000</v>
      </c>
      <c r="D32" s="52">
        <f>D24+D26+D30</f>
        <v>62373710427.109314</v>
      </c>
      <c r="E32" s="52">
        <f>E24+E26+E30</f>
        <v>60133201472.674911</v>
      </c>
      <c r="F32" s="53">
        <f>F24+F26+F28+F30</f>
        <v>119832708361.95067</v>
      </c>
      <c r="G32" s="53">
        <f>G24+G26+G28+G30</f>
        <v>124655604612.80919</v>
      </c>
      <c r="H32" s="53">
        <f>H24+H26+H28+H30</f>
        <v>129500396251.19347</v>
      </c>
      <c r="I32" s="53">
        <f>I24+I26+I28+I30</f>
        <v>134380019288.72928</v>
      </c>
      <c r="J32" s="54">
        <f>J24+J26+J28+J30</f>
        <v>139306569902.39117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-2.0455298436978072E-2</v>
      </c>
      <c r="D35" s="11" t="s">
        <v>36</v>
      </c>
      <c r="E35" s="58">
        <f>E36/E37</f>
        <v>5.399468053780828E-2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37</v>
      </c>
      <c r="C36" s="100">
        <v>-2.4410963695874869E-2</v>
      </c>
      <c r="D36" s="11" t="s">
        <v>38</v>
      </c>
      <c r="E36" s="104">
        <v>120069000000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39</v>
      </c>
      <c r="C37" s="100">
        <v>0.16204461684424409</v>
      </c>
      <c r="D37" s="11" t="s">
        <v>40</v>
      </c>
      <c r="E37" s="104">
        <v>2223719055360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41</v>
      </c>
      <c r="C38" s="20">
        <f>C39+C40*(C41-C39)</f>
        <v>0.12359070600000001</v>
      </c>
      <c r="D38" s="11" t="s">
        <v>42</v>
      </c>
      <c r="E38" s="58">
        <f>E39/E40</f>
        <v>0.94600531946219168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43</v>
      </c>
      <c r="C39" s="101">
        <v>1.34E-2</v>
      </c>
      <c r="D39" s="11" t="s">
        <v>44</v>
      </c>
      <c r="E39" s="59">
        <f>E37-E36</f>
        <v>2103650055360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45</v>
      </c>
      <c r="C40" s="105">
        <v>1.27241</v>
      </c>
      <c r="D40" s="11" t="s">
        <v>40</v>
      </c>
      <c r="E40" s="59">
        <f>E37</f>
        <v>2223719055360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46</v>
      </c>
      <c r="C41" s="101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47</v>
      </c>
      <c r="C42" s="62"/>
      <c r="D42" s="27"/>
      <c r="E42" s="63">
        <f>C35*E35+C38*E38</f>
        <v>0.11581298800767766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Z1000"/>
  <sheetViews>
    <sheetView topLeftCell="A16" workbookViewId="0">
      <selection activeCell="B11" sqref="B11"/>
    </sheetView>
  </sheetViews>
  <sheetFormatPr baseColWidth="10" defaultColWidth="14.5" defaultRowHeight="15" customHeight="1"/>
  <cols>
    <col min="1" max="1" width="3.1640625" customWidth="1"/>
    <col min="2" max="2" width="37.83203125" bestFit="1" customWidth="1"/>
    <col min="3" max="3" width="22.6640625" bestFit="1" customWidth="1"/>
    <col min="4" max="4" width="22.33203125" bestFit="1" customWidth="1"/>
    <col min="5" max="5" width="24" bestFit="1" customWidth="1"/>
    <col min="6" max="6" width="22.33203125" bestFit="1" customWidth="1"/>
    <col min="7" max="7" width="36.33203125" bestFit="1" customWidth="1"/>
    <col min="8" max="8" width="34.6640625" bestFit="1" customWidth="1"/>
    <col min="9" max="10" width="36.33203125" bestFit="1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-10495000000</v>
      </c>
      <c r="D3" s="7">
        <f t="shared" si="1"/>
        <v>45687418247.407913</v>
      </c>
      <c r="E3" s="7">
        <f t="shared" si="1"/>
        <v>38049799608.19915</v>
      </c>
      <c r="F3" s="8">
        <f t="shared" si="1"/>
        <v>142406411830.05783</v>
      </c>
      <c r="G3" s="8">
        <f t="shared" si="1"/>
        <v>148307829184.95956</v>
      </c>
      <c r="H3" s="8">
        <f t="shared" si="1"/>
        <v>154223366560.50836</v>
      </c>
      <c r="I3" s="8">
        <f t="shared" si="1"/>
        <v>160169739807.32361</v>
      </c>
      <c r="J3" s="9">
        <f t="shared" si="1"/>
        <v>166162537026.54333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>(1+$C7)^F1</f>
        <v>1.0894035892842087</v>
      </c>
      <c r="G4" s="12">
        <f>(1+$C7)^G1</f>
        <v>1.1868001803453168</v>
      </c>
      <c r="H4" s="12">
        <f>(1+$C7)^H1</f>
        <v>1.2929043762313341</v>
      </c>
      <c r="I4" s="12">
        <f>(1+$C7)^I1</f>
        <v>1.4084946680676764</v>
      </c>
      <c r="J4" s="13">
        <f>(1+$C7)^J1</f>
        <v>1.5344191468805968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5331223643726.6035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>(F3)*(1+$E$42)^F1</f>
        <v>155138056184.75018</v>
      </c>
      <c r="G6" s="8">
        <f>(G3)*(1+$E$42)^G1</f>
        <v>176011758423.33243</v>
      </c>
      <c r="H6" s="8">
        <f>(H3)*(1+$E$42)^H1</f>
        <v>199396065543.21045</v>
      </c>
      <c r="I6" s="8">
        <f>(I3)*(1+$E$42)^I1</f>
        <v>225598224504.40237</v>
      </c>
      <c r="J6" s="19">
        <f>(J5+J3)*(1+E42)^J1</f>
        <v>8435294613544.4248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8.9403589284208648E-2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01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9191438718200.1211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02">
        <v>7454470235.9660492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03">
        <v>239.17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1233.0103182723317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4.1553719875918045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03">
        <v>168088000000</v>
      </c>
      <c r="D19" s="103">
        <v>143015000000</v>
      </c>
      <c r="E19" s="103">
        <v>125843000000</v>
      </c>
      <c r="F19" s="8">
        <f>E19*1.02</f>
        <v>128359860000</v>
      </c>
      <c r="G19" s="8">
        <f>F19*1.02</f>
        <v>130927057200</v>
      </c>
      <c r="H19" s="8">
        <f>G19*1.02</f>
        <v>133545598344</v>
      </c>
      <c r="I19" s="8">
        <f>H19*1.02</f>
        <v>136216510310.88</v>
      </c>
      <c r="J19" s="19">
        <f>I19*1.02</f>
        <v>138940840517.0976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06">
        <v>-0.15222676148686129</v>
      </c>
      <c r="D20" s="11">
        <f>D19/C19-1</f>
        <v>-0.14916591309314164</v>
      </c>
      <c r="E20" s="11">
        <f>E19/D19-1</f>
        <v>-0.1200713211900849</v>
      </c>
      <c r="F20" s="49">
        <f>AVERAGE(C20:E20)</f>
        <v>-0.14048799859002928</v>
      </c>
      <c r="G20" s="49">
        <f>AVERAGE(C20:F20)</f>
        <v>-0.14048799859002928</v>
      </c>
      <c r="H20" s="49">
        <f>AVERAGE(C20:G20)</f>
        <v>-0.14048799859002928</v>
      </c>
      <c r="I20" s="49">
        <f>AVERAGE(C20:H20)</f>
        <v>-0.14048799859002928</v>
      </c>
      <c r="J20" s="50">
        <f>AVERAGE(C20:I20)</f>
        <v>-0.14048799859002928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03">
        <v>61271000000</v>
      </c>
      <c r="D21" s="103">
        <v>44281000000</v>
      </c>
      <c r="E21" s="103">
        <v>39240000000</v>
      </c>
      <c r="F21" s="8">
        <f>F19*E22</f>
        <v>40024800000</v>
      </c>
      <c r="G21" s="8">
        <f>G19*F22</f>
        <v>2.505551093663521E+21</v>
      </c>
      <c r="H21" s="8">
        <f>H19*G22</f>
        <v>8.5188737187326067E+20</v>
      </c>
      <c r="I21" s="8">
        <f>I19*H22</f>
        <v>1.1585668257335759E+21</v>
      </c>
      <c r="J21" s="19">
        <f>J19*I22</f>
        <v>1.5756508829832218E+21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v>57411000000</v>
      </c>
      <c r="D22" s="11">
        <f>D21/D19</f>
        <v>0.30962486452470023</v>
      </c>
      <c r="E22" s="11">
        <f>E21/E19</f>
        <v>0.31181710544090652</v>
      </c>
      <c r="F22" s="49">
        <f>AVERAGE(C22:E22)</f>
        <v>19137000000.207146</v>
      </c>
      <c r="G22" s="49">
        <f>AVERAGE(D22:F22)</f>
        <v>6379000000.2761955</v>
      </c>
      <c r="H22" s="49">
        <f>AVERAGE(E22:G22)</f>
        <v>8505333333.5983858</v>
      </c>
      <c r="I22" s="49">
        <f>AVERAGE(F22:H22)</f>
        <v>11340444444.693909</v>
      </c>
      <c r="J22" s="50">
        <f>AVERAGE(G22:I22)</f>
        <v>8741592592.856163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>
        <v>55256000000</v>
      </c>
      <c r="D23" s="7"/>
      <c r="E23" s="7"/>
      <c r="F23" s="8">
        <f>F31*F21</f>
        <v>-4002480000</v>
      </c>
      <c r="G23" s="8">
        <f>G31*G21</f>
        <v>-2.5055510936635212E+20</v>
      </c>
      <c r="H23" s="8">
        <f>H31*H21</f>
        <v>-8.5188737187326067E+19</v>
      </c>
      <c r="I23" s="8">
        <f>I31*I21</f>
        <v>-1.158566825733576E+20</v>
      </c>
      <c r="J23" s="19">
        <f>J31*J21</f>
        <v>-1.575650882983222E+20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03">
        <v>63816482201.72966</v>
      </c>
      <c r="D24" s="103">
        <v>48332418247.407913</v>
      </c>
      <c r="E24" s="103">
        <v>40292799608.19915</v>
      </c>
      <c r="F24" s="8">
        <f>E24*(1+E25)</f>
        <v>33590491830.057831</v>
      </c>
      <c r="G24" s="8">
        <f>F24*(1+F25)</f>
        <v>34598206584.959564</v>
      </c>
      <c r="H24" s="8">
        <f>G24*(1+G25)</f>
        <v>35636152782.508354</v>
      </c>
      <c r="I24" s="8">
        <f>H24*(1+H25)</f>
        <v>36705237365.983604</v>
      </c>
      <c r="J24" s="19">
        <f>I24*(1+I25)</f>
        <v>37806394486.963112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>
        <v>58626710427.109306</v>
      </c>
      <c r="D25" s="11">
        <f>D24/C24-1</f>
        <v>-0.24263424463566052</v>
      </c>
      <c r="E25" s="11">
        <f>E24/D24-1</f>
        <v>-0.16634008664857014</v>
      </c>
      <c r="F25" s="49">
        <v>0.03</v>
      </c>
      <c r="G25" s="49">
        <f>G24/F24-1</f>
        <v>3.0000000000000027E-2</v>
      </c>
      <c r="H25" s="49">
        <f>H24/G24-1</f>
        <v>3.0000000000000027E-2</v>
      </c>
      <c r="I25" s="49">
        <f>I24/H24-1</f>
        <v>3.0000000000000027E-2</v>
      </c>
      <c r="J25" s="50">
        <f>J24/I24-1</f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03">
        <v>11686000000</v>
      </c>
      <c r="D26" s="103">
        <v>12796000000</v>
      </c>
      <c r="E26" s="103">
        <v>11682000000</v>
      </c>
      <c r="F26" s="8">
        <f>E26*(1+F27)</f>
        <v>12032460000</v>
      </c>
      <c r="G26" s="8">
        <f>F26*(1+G27)</f>
        <v>12393433800</v>
      </c>
      <c r="H26" s="8">
        <f>G26*(1+H27)</f>
        <v>12765236814</v>
      </c>
      <c r="I26" s="8">
        <f>H26*(1+I27)</f>
        <v>13148193918.42</v>
      </c>
      <c r="J26" s="19">
        <f>I26*(1+J27)</f>
        <v>13542639735.972601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>
        <v>11056000000</v>
      </c>
      <c r="D27" s="11">
        <f>D26/C26-1</f>
        <v>9.4985452678418625E-2</v>
      </c>
      <c r="E27" s="11">
        <f>E26/D26-1</f>
        <v>-8.7058455767427323E-2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03">
        <v>95749000000</v>
      </c>
      <c r="D28" s="103">
        <v>109605000000</v>
      </c>
      <c r="E28" s="103">
        <v>106132000000</v>
      </c>
      <c r="F28" s="8">
        <f>E28*(1+F29)</f>
        <v>109315960000</v>
      </c>
      <c r="G28" s="8">
        <f>F28*(1+G29)</f>
        <v>112595438800</v>
      </c>
      <c r="H28" s="8">
        <f>G28*(1+H29)</f>
        <v>115973301964</v>
      </c>
      <c r="I28" s="8">
        <f>H28*(1+I29)</f>
        <v>119452501022.92</v>
      </c>
      <c r="J28" s="19">
        <f>I28*(1+J29)</f>
        <v>123036076053.6076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>
        <v>38321000000</v>
      </c>
      <c r="D29" s="11">
        <f>D28/C28-1</f>
        <v>0.14471169411690976</v>
      </c>
      <c r="E29" s="11">
        <f>E28/D28-1</f>
        <v>-3.1686510651886324E-2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03">
        <v>-20622000000</v>
      </c>
      <c r="D30" s="103">
        <v>-15441000000</v>
      </c>
      <c r="E30" s="103">
        <v>-13925000000</v>
      </c>
      <c r="F30" s="8">
        <f>E30*(1+F31)</f>
        <v>-12532500000</v>
      </c>
      <c r="G30" s="8">
        <f>F30*(1+G31)</f>
        <v>-11279250000</v>
      </c>
      <c r="H30" s="8">
        <f>G30*(1+H31)</f>
        <v>-10151325000</v>
      </c>
      <c r="I30" s="8">
        <f>H30*(1+I31)</f>
        <v>-9136192500</v>
      </c>
      <c r="J30" s="19">
        <f>I30*(1+J31)</f>
        <v>-8222573250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>
        <v>-7309000000</v>
      </c>
      <c r="D31" s="11">
        <f>D30/C30-1</f>
        <v>-0.25123654349723601</v>
      </c>
      <c r="E31" s="11">
        <f>E30/D30-1</f>
        <v>-9.8180169678129703E-2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v>-10495000000</v>
      </c>
      <c r="D32" s="52">
        <f>D24+D26+D30</f>
        <v>45687418247.407913</v>
      </c>
      <c r="E32" s="52">
        <f>E24+E26+E30</f>
        <v>38049799608.19915</v>
      </c>
      <c r="F32" s="53">
        <f>F24+F26+F28+F30</f>
        <v>142406411830.05783</v>
      </c>
      <c r="G32" s="53">
        <f>G24+G26+G28+G30</f>
        <v>148307829184.95956</v>
      </c>
      <c r="H32" s="53">
        <f>H24+H26+H28+H30</f>
        <v>154223366560.50836</v>
      </c>
      <c r="I32" s="53">
        <f>I24+I26+I28+I30</f>
        <v>160169739807.32361</v>
      </c>
      <c r="J32" s="54">
        <f>J24+J26+J28+J30</f>
        <v>166162537026.54333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-2.9255278302917614E-2</v>
      </c>
      <c r="D35" s="11" t="s">
        <v>36</v>
      </c>
      <c r="E35" s="58">
        <f>E36/E37</f>
        <v>3.4365636475853452E-2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37</v>
      </c>
      <c r="C36" s="100">
        <v>-3.3670638158968501E-2</v>
      </c>
      <c r="D36" s="11" t="s">
        <v>38</v>
      </c>
      <c r="E36" s="104">
        <v>61270000000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39</v>
      </c>
      <c r="C37" s="100">
        <v>0.13113383343685789</v>
      </c>
      <c r="D37" s="11" t="s">
        <v>40</v>
      </c>
      <c r="E37" s="104">
        <v>1782885646336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41</v>
      </c>
      <c r="C38" s="20">
        <f>C39+C40*(C41-C39)</f>
        <v>9.3626499799999999E-2</v>
      </c>
      <c r="D38" s="11" t="s">
        <v>42</v>
      </c>
      <c r="E38" s="58">
        <f>E39/E40</f>
        <v>0.96563436352414656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43</v>
      </c>
      <c r="C39" s="101">
        <v>1.34E-2</v>
      </c>
      <c r="D39" s="11" t="s">
        <v>44</v>
      </c>
      <c r="E39" s="59">
        <f>E37-E36</f>
        <v>1721615646336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45</v>
      </c>
      <c r="C40" s="105">
        <v>0.92640299999999998</v>
      </c>
      <c r="D40" s="11" t="s">
        <v>40</v>
      </c>
      <c r="E40" s="59">
        <f>E37</f>
        <v>1782885646336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46</v>
      </c>
      <c r="C41" s="101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47</v>
      </c>
      <c r="C42" s="62"/>
      <c r="D42" s="27"/>
      <c r="E42" s="63">
        <f>C35*E35+C38*E38</f>
        <v>8.9403589284208648E-2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Z1000"/>
  <sheetViews>
    <sheetView workbookViewId="0">
      <selection activeCell="D16" sqref="D16"/>
    </sheetView>
  </sheetViews>
  <sheetFormatPr baseColWidth="10" defaultColWidth="14.5" defaultRowHeight="15" customHeight="1"/>
  <cols>
    <col min="1" max="1" width="3.1640625" customWidth="1"/>
    <col min="2" max="2" width="37.83203125" bestFit="1" customWidth="1"/>
    <col min="3" max="3" width="22.6640625" bestFit="1" customWidth="1"/>
    <col min="4" max="6" width="22.33203125" bestFit="1" customWidth="1"/>
    <col min="7" max="10" width="36.33203125" bestFit="1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-10495000000</v>
      </c>
      <c r="D3" s="7">
        <f t="shared" si="1"/>
        <v>18535725092.396011</v>
      </c>
      <c r="E3" s="7">
        <f t="shared" si="1"/>
        <v>13007767397.971222</v>
      </c>
      <c r="F3" s="8">
        <f t="shared" si="1"/>
        <v>19672480544.792496</v>
      </c>
      <c r="G3" s="8">
        <f t="shared" si="1"/>
        <v>21833613961.136272</v>
      </c>
      <c r="H3" s="8">
        <f t="shared" si="1"/>
        <v>23902485479.97036</v>
      </c>
      <c r="I3" s="8">
        <f t="shared" si="1"/>
        <v>25892036834.369469</v>
      </c>
      <c r="J3" s="9">
        <f t="shared" si="1"/>
        <v>27814027050.400558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>(1+$C7)^F1</f>
        <v>1.0992103846278769</v>
      </c>
      <c r="G4" s="12">
        <f>(1+$C7)^G1</f>
        <v>1.2082634696737651</v>
      </c>
      <c r="H4" s="12">
        <f>(1+$C7)^H1</f>
        <v>1.3281357532319125</v>
      </c>
      <c r="I4" s="12">
        <f>(1+$C7)^I1</f>
        <v>1.4599006121480855</v>
      </c>
      <c r="J4" s="13">
        <f>(1+$C7)^J1</f>
        <v>1.6047379133977699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669201498781.01404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>(F3)*(1+$E$42)^F1</f>
        <v>21624194906.225784</v>
      </c>
      <c r="G6" s="8">
        <f>(G3)*(1+$E$42)^G1</f>
        <v>26380758160.200069</v>
      </c>
      <c r="H6" s="8">
        <f>(H3)*(1+$E$42)^H1</f>
        <v>31745745557.055286</v>
      </c>
      <c r="I6" s="8">
        <f>(I3)*(1+$E$42)^I1</f>
        <v>37799800424.256767</v>
      </c>
      <c r="J6" s="19">
        <f>(J5+J3)*(1+E42)^J1</f>
        <v>1118527240528.5537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9.9210384627876874E-2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01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1236077739576.2915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02">
        <v>10201700479.932581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03">
        <v>94.93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121.16389243222129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0.27634986234300307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03">
        <v>386064000000</v>
      </c>
      <c r="D19" s="103">
        <v>280522000000</v>
      </c>
      <c r="E19" s="103">
        <v>232887000000</v>
      </c>
      <c r="F19" s="8">
        <f>E19*1.02</f>
        <v>237544740000</v>
      </c>
      <c r="G19" s="8">
        <f>F19*1.02</f>
        <v>242295634800</v>
      </c>
      <c r="H19" s="8">
        <f>G19*1.02</f>
        <v>247141547496</v>
      </c>
      <c r="I19" s="8">
        <f>H19*1.02</f>
        <v>252084378445.92001</v>
      </c>
      <c r="J19" s="19">
        <f>I19*1.02</f>
        <v>257126066014.83841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06">
        <v>-0.17827602794249739</v>
      </c>
      <c r="D20" s="11">
        <f>D19/C19-1</f>
        <v>-0.2733795432881595</v>
      </c>
      <c r="E20" s="11">
        <f>E19/D19-1</f>
        <v>-0.16980842857244705</v>
      </c>
      <c r="F20" s="49">
        <f>AVERAGE(C20:E20)</f>
        <v>-0.20715466660103465</v>
      </c>
      <c r="G20" s="49">
        <f>AVERAGE(C20:F20)</f>
        <v>-0.20715466660103465</v>
      </c>
      <c r="H20" s="49">
        <f>AVERAGE(C20:G20)</f>
        <v>-0.20715466660103465</v>
      </c>
      <c r="I20" s="49">
        <f>AVERAGE(C20:H20)</f>
        <v>-0.20715466660103465</v>
      </c>
      <c r="J20" s="50">
        <f>AVERAGE(C20:I20)</f>
        <v>-0.20715466660103465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03">
        <v>21331000000</v>
      </c>
      <c r="D21" s="103">
        <v>11588000000</v>
      </c>
      <c r="E21" s="103">
        <v>10073000000</v>
      </c>
      <c r="F21" s="8">
        <f>F19*E22</f>
        <v>10274460000</v>
      </c>
      <c r="G21" s="8">
        <f>G19*F22</f>
        <v>4.6368115631744295E+21</v>
      </c>
      <c r="H21" s="8">
        <f>H19*G22</f>
        <v>1.5765159314862721E+21</v>
      </c>
      <c r="I21" s="8">
        <f>I19*H22</f>
        <v>2.1440616668178591E+21</v>
      </c>
      <c r="J21" s="19">
        <f>J19*I22</f>
        <v>2.9159238668685814E+21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v>57411000000</v>
      </c>
      <c r="D22" s="11">
        <f>D21/D19</f>
        <v>4.1308703060722513E-2</v>
      </c>
      <c r="E22" s="11">
        <f>E21/E19</f>
        <v>4.3252736305590261E-2</v>
      </c>
      <c r="F22" s="49">
        <f>AVERAGE(C22:E22)</f>
        <v>19137000000.028187</v>
      </c>
      <c r="G22" s="49">
        <f>AVERAGE(D22:F22)</f>
        <v>6379000000.0375824</v>
      </c>
      <c r="H22" s="49">
        <f>AVERAGE(E22:G22)</f>
        <v>8505333333.3696737</v>
      </c>
      <c r="I22" s="49">
        <f>AVERAGE(F22:H22)</f>
        <v>11340444444.478481</v>
      </c>
      <c r="J22" s="50">
        <f>AVERAGE(G22:I22)</f>
        <v>8741592592.6285801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>
        <v>55256000000</v>
      </c>
      <c r="D23" s="7"/>
      <c r="E23" s="7"/>
      <c r="F23" s="8">
        <f>F31*F21</f>
        <v>-1027446000</v>
      </c>
      <c r="G23" s="8">
        <f>G31*G21</f>
        <v>-4.63681156317443E+20</v>
      </c>
      <c r="H23" s="8">
        <f>H31*H21</f>
        <v>-1.5765159314862722E+20</v>
      </c>
      <c r="I23" s="8">
        <f>I31*I21</f>
        <v>-2.1440616668178593E+20</v>
      </c>
      <c r="J23" s="19">
        <f>J31*J21</f>
        <v>-2.9159238668685817E+20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03">
        <v>22595888967.523788</v>
      </c>
      <c r="D24" s="103">
        <v>13607725092.396009</v>
      </c>
      <c r="E24" s="103">
        <v>11093767397.97122</v>
      </c>
      <c r="F24" s="8">
        <f>E24*(1+E25)</f>
        <v>9044250544.7924976</v>
      </c>
      <c r="G24" s="8">
        <f>F24*(1+F25)</f>
        <v>9315578061.1362724</v>
      </c>
      <c r="H24" s="8">
        <f>G24*(1+G25)</f>
        <v>9595045402.9703617</v>
      </c>
      <c r="I24" s="8">
        <f>H24*(1+H25)</f>
        <v>9882896765.059473</v>
      </c>
      <c r="J24" s="19">
        <f>I24*(1+I25)</f>
        <v>10179383668.011257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>
        <v>58626710427.109306</v>
      </c>
      <c r="D25" s="11">
        <f>D24/C24-1</f>
        <v>-0.39777872373360146</v>
      </c>
      <c r="E25" s="11">
        <f>E24/D24-1</f>
        <v>-0.18474489140213357</v>
      </c>
      <c r="F25" s="49">
        <v>0.03</v>
      </c>
      <c r="G25" s="49">
        <f>G24/F24-1</f>
        <v>3.0000000000000027E-2</v>
      </c>
      <c r="H25" s="49">
        <f>H24/G24-1</f>
        <v>3.0000000000000027E-2</v>
      </c>
      <c r="I25" s="49">
        <f>I24/H24-1</f>
        <v>3.0000000000000027E-2</v>
      </c>
      <c r="J25" s="50">
        <f>J24/I24-1</f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03">
        <v>25251000000</v>
      </c>
      <c r="D26" s="103">
        <v>21789000000</v>
      </c>
      <c r="E26" s="103">
        <v>15341000000</v>
      </c>
      <c r="F26" s="8">
        <f>E26*(1+F27)</f>
        <v>15801230000</v>
      </c>
      <c r="G26" s="8">
        <f>F26*(1+G27)</f>
        <v>16275266900</v>
      </c>
      <c r="H26" s="8">
        <f>G26*(1+H27)</f>
        <v>16763524907</v>
      </c>
      <c r="I26" s="8">
        <f>H26*(1+I27)</f>
        <v>17266430654.209999</v>
      </c>
      <c r="J26" s="19">
        <f>I26*(1+J27)</f>
        <v>17784423573.8363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>
        <v>11056000000</v>
      </c>
      <c r="D27" s="11">
        <f>D26/C26-1</f>
        <v>-0.13710348105025538</v>
      </c>
      <c r="E27" s="11">
        <f>E26/D26-1</f>
        <v>-0.29592913855615222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03">
        <v>6348000000</v>
      </c>
      <c r="D28" s="103">
        <v>8522000000</v>
      </c>
      <c r="E28" s="103">
        <v>6710000000</v>
      </c>
      <c r="F28" s="8">
        <f>E28*(1+F29)</f>
        <v>6911300000</v>
      </c>
      <c r="G28" s="8">
        <f>F28*(1+G29)</f>
        <v>7118639000</v>
      </c>
      <c r="H28" s="8">
        <f>G28*(1+H29)</f>
        <v>7332198170</v>
      </c>
      <c r="I28" s="8">
        <f>H28*(1+I29)</f>
        <v>7552164115.1000004</v>
      </c>
      <c r="J28" s="19">
        <f>I28*(1+J29)</f>
        <v>7778729038.5530005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>
        <v>38321000000</v>
      </c>
      <c r="D29" s="11">
        <f>D28/C28-1</f>
        <v>0.34247006931316948</v>
      </c>
      <c r="E29" s="11">
        <f>E28/D28-1</f>
        <v>-0.2126261440976297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03">
        <v>-40140000000</v>
      </c>
      <c r="D30" s="103">
        <v>-16861000000</v>
      </c>
      <c r="E30" s="103">
        <v>-13427000000</v>
      </c>
      <c r="F30" s="8">
        <f>E30*(1+F31)</f>
        <v>-12084300000</v>
      </c>
      <c r="G30" s="8">
        <f>F30*(1+G31)</f>
        <v>-10875870000</v>
      </c>
      <c r="H30" s="8">
        <f>G30*(1+H31)</f>
        <v>-9788283000</v>
      </c>
      <c r="I30" s="8">
        <f>H30*(1+I31)</f>
        <v>-8809454700</v>
      </c>
      <c r="J30" s="19">
        <f>I30*(1+J31)</f>
        <v>-7928509230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>
        <v>-7309000000</v>
      </c>
      <c r="D31" s="11">
        <f>D30/C30-1</f>
        <v>-0.57994519182859983</v>
      </c>
      <c r="E31" s="11">
        <f>E30/D30-1</f>
        <v>-0.20366526303303478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v>-10495000000</v>
      </c>
      <c r="D32" s="52">
        <f>D24+D26+D30</f>
        <v>18535725092.396011</v>
      </c>
      <c r="E32" s="52">
        <f>E24+E26+E30</f>
        <v>13007767397.971222</v>
      </c>
      <c r="F32" s="53">
        <f>F24+F26+F28+F30</f>
        <v>19672480544.792496</v>
      </c>
      <c r="G32" s="53">
        <f>G24+G26+G28+G30</f>
        <v>21833613961.136272</v>
      </c>
      <c r="H32" s="53">
        <f>H24+H26+H28+H30</f>
        <v>23902485479.97036</v>
      </c>
      <c r="I32" s="53">
        <f>I24+I26+I28+I30</f>
        <v>25892036834.369469</v>
      </c>
      <c r="J32" s="54">
        <f>J24+J26+J28+J30</f>
        <v>27814027050.400558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-1.359015337716789E-2</v>
      </c>
      <c r="D35" s="11" t="s">
        <v>36</v>
      </c>
      <c r="E35" s="58">
        <f>E36/E37</f>
        <v>0.12018721595806602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37</v>
      </c>
      <c r="C36" s="100">
        <v>-1.554190472099317E-2</v>
      </c>
      <c r="D36" s="11" t="s">
        <v>38</v>
      </c>
      <c r="E36" s="104">
        <v>116395000000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39</v>
      </c>
      <c r="C37" s="100">
        <v>0.1255799323739876</v>
      </c>
      <c r="D37" s="11" t="s">
        <v>40</v>
      </c>
      <c r="E37" s="104">
        <v>968447426560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41</v>
      </c>
      <c r="C38" s="20">
        <f>C39+C40*(C41-C39)</f>
        <v>0.1146195522</v>
      </c>
      <c r="D38" s="11" t="s">
        <v>42</v>
      </c>
      <c r="E38" s="58">
        <f>E39/E40</f>
        <v>0.87981278404193397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43</v>
      </c>
      <c r="C39" s="101">
        <v>1.34E-2</v>
      </c>
      <c r="D39" s="11" t="s">
        <v>44</v>
      </c>
      <c r="E39" s="59">
        <f>E37-E36</f>
        <v>852052426560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45</v>
      </c>
      <c r="C40" s="105">
        <v>1.168817</v>
      </c>
      <c r="D40" s="11" t="s">
        <v>40</v>
      </c>
      <c r="E40" s="59">
        <f>E37</f>
        <v>968447426560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46</v>
      </c>
      <c r="C41" s="101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47</v>
      </c>
      <c r="C42" s="62"/>
      <c r="D42" s="27"/>
      <c r="E42" s="63">
        <f>C35*E35+C38*E38</f>
        <v>9.9210384627876874E-2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Z1000"/>
  <sheetViews>
    <sheetView workbookViewId="0">
      <selection activeCell="B10" sqref="B10"/>
    </sheetView>
  </sheetViews>
  <sheetFormatPr baseColWidth="10" defaultColWidth="14.5" defaultRowHeight="15" customHeight="1"/>
  <cols>
    <col min="1" max="1" width="3.1640625" customWidth="1"/>
    <col min="2" max="2" width="37.83203125" bestFit="1" customWidth="1"/>
    <col min="3" max="3" width="22.6640625" bestFit="1" customWidth="1"/>
    <col min="4" max="4" width="22.33203125" bestFit="1" customWidth="1"/>
    <col min="5" max="5" width="24" bestFit="1" customWidth="1"/>
    <col min="6" max="6" width="22.33203125" bestFit="1" customWidth="1"/>
    <col min="7" max="7" width="36.33203125" bestFit="1" customWidth="1"/>
    <col min="8" max="8" width="34.6640625" bestFit="1" customWidth="1"/>
    <col min="9" max="10" width="36.33203125" bestFit="1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-10495000000</v>
      </c>
      <c r="D3" s="7">
        <f t="shared" si="1"/>
        <v>21521634084.246262</v>
      </c>
      <c r="E3" s="7">
        <f t="shared" si="1"/>
        <v>13247818403.244652</v>
      </c>
      <c r="F3" s="8">
        <f t="shared" si="1"/>
        <v>116649212585.53683</v>
      </c>
      <c r="G3" s="8">
        <f t="shared" si="1"/>
        <v>123089951963.10294</v>
      </c>
      <c r="H3" s="8">
        <f t="shared" si="1"/>
        <v>129429787221.99603</v>
      </c>
      <c r="I3" s="8">
        <f t="shared" si="1"/>
        <v>135695103868.65591</v>
      </c>
      <c r="J3" s="9">
        <f t="shared" si="1"/>
        <v>141910137711.71558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>(1+$C7)^F1</f>
        <v>1.1033022728906245</v>
      </c>
      <c r="G4" s="12">
        <f>(1+$C7)^G1</f>
        <v>1.2172759053656181</v>
      </c>
      <c r="H4" s="12">
        <f>(1+$C7)^H1</f>
        <v>1.3430232731248792</v>
      </c>
      <c r="I4" s="12">
        <f>(1+$C7)^I1</f>
        <v>1.4817606297836854</v>
      </c>
      <c r="J4" s="13">
        <f>(1+$C7)^J1</f>
        <v>1.6348298707201834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3091696566261.8818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>(F3)*(1+$E$42)^F1</f>
        <v>128699341376.52443</v>
      </c>
      <c r="G6" s="8">
        <f>(G3)*(1+$E$42)^G1</f>
        <v>149834432717.29657</v>
      </c>
      <c r="H6" s="8">
        <f>(H3)*(1+$E$42)^H1</f>
        <v>173827216474.74179</v>
      </c>
      <c r="I6" s="8">
        <f>(I3)*(1+$E$42)^I1</f>
        <v>201067662566.98218</v>
      </c>
      <c r="J6" s="19">
        <f>(J5+J3)*(1+E42)^J1</f>
        <v>5286396829817.0752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0.10330227289062453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01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5939825482952.6201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02">
        <v>12846799458.26037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03">
        <v>95.883700000000005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462.35838756970463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3.8220749467292632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03">
        <v>182527000000</v>
      </c>
      <c r="D19" s="103">
        <v>161857000000</v>
      </c>
      <c r="E19" s="103">
        <v>136819000000</v>
      </c>
      <c r="F19" s="8">
        <f>E19*1.02</f>
        <v>139555380000</v>
      </c>
      <c r="G19" s="8">
        <f>F19*1.02</f>
        <v>142346487600</v>
      </c>
      <c r="H19" s="8">
        <f>G19*1.02</f>
        <v>145193417352</v>
      </c>
      <c r="I19" s="8">
        <f>H19*1.02</f>
        <v>148097285699.04001</v>
      </c>
      <c r="J19" s="19">
        <f>I19*1.02</f>
        <v>151059231413.02081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06">
        <v>-0.29153421286538811</v>
      </c>
      <c r="D20" s="11">
        <f>D19/C19-1</f>
        <v>-0.11324352013674688</v>
      </c>
      <c r="E20" s="11">
        <f>E19/D19-1</f>
        <v>-0.15469210475913919</v>
      </c>
      <c r="F20" s="49">
        <f>AVERAGE(C20:E20)</f>
        <v>-0.1864899459204247</v>
      </c>
      <c r="G20" s="49">
        <f>AVERAGE(C20:F20)</f>
        <v>-0.1864899459204247</v>
      </c>
      <c r="H20" s="49">
        <f>AVERAGE(C20:G20)</f>
        <v>-0.1864899459204247</v>
      </c>
      <c r="I20" s="49">
        <f>AVERAGE(C20:H20)</f>
        <v>-0.1864899459204247</v>
      </c>
      <c r="J20" s="50">
        <f>AVERAGE(C20:I20)</f>
        <v>-0.18648994592042473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03">
        <v>40269000000</v>
      </c>
      <c r="D21" s="103">
        <v>34343000000</v>
      </c>
      <c r="E21" s="103">
        <v>30736000000</v>
      </c>
      <c r="F21" s="8">
        <f>F19*E22</f>
        <v>31350720000</v>
      </c>
      <c r="G21" s="8">
        <f>G19*F22</f>
        <v>2.7240847332219274E+21</v>
      </c>
      <c r="H21" s="8">
        <f>H19*G22</f>
        <v>9.2618880931659671E+20</v>
      </c>
      <c r="I21" s="8">
        <f>I19*H22</f>
        <v>1.2596167806600972E+21</v>
      </c>
      <c r="J21" s="19">
        <f>J19*I22</f>
        <v>1.7130788216864207E+21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v>57411000000</v>
      </c>
      <c r="D22" s="11">
        <f>D21/D19</f>
        <v>0.21218112284300339</v>
      </c>
      <c r="E22" s="11">
        <f>E21/E19</f>
        <v>0.22464716157843576</v>
      </c>
      <c r="F22" s="49">
        <f>AVERAGE(C22:E22)</f>
        <v>19137000000.145611</v>
      </c>
      <c r="G22" s="49">
        <f>AVERAGE(D22:F22)</f>
        <v>6379000000.1941462</v>
      </c>
      <c r="H22" s="49">
        <f>AVERAGE(E22:G22)</f>
        <v>8505333333.5214682</v>
      </c>
      <c r="I22" s="49">
        <f>AVERAGE(F22:H22)</f>
        <v>11340444444.620409</v>
      </c>
      <c r="J22" s="50">
        <f>AVERAGE(G22:I22)</f>
        <v>8741592592.7786732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>
        <v>55256000000</v>
      </c>
      <c r="D23" s="7"/>
      <c r="E23" s="7"/>
      <c r="F23" s="8">
        <f>F31*F21</f>
        <v>-3135072000</v>
      </c>
      <c r="G23" s="8">
        <f>G31*G21</f>
        <v>-2.7240847332219276E+20</v>
      </c>
      <c r="H23" s="8">
        <f>H31*H21</f>
        <v>-9.2618880931659678E+19</v>
      </c>
      <c r="I23" s="8">
        <f>I31*I21</f>
        <v>-1.2596167806600972E+20</v>
      </c>
      <c r="J23" s="19">
        <f>J31*J21</f>
        <v>-1.7130788216864208E+20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03">
        <v>40404734289.241081</v>
      </c>
      <c r="D24" s="103">
        <v>33288634084.246262</v>
      </c>
      <c r="E24" s="103">
        <v>29351818403.244652</v>
      </c>
      <c r="F24" s="8">
        <f>E24*(1+E25)</f>
        <v>25880582585.536827</v>
      </c>
      <c r="G24" s="8">
        <f>F24*(1+F25)</f>
        <v>26657000063.102932</v>
      </c>
      <c r="H24" s="8">
        <f>G24*(1+G25)</f>
        <v>27456710064.996021</v>
      </c>
      <c r="I24" s="8">
        <f>H24*(1+H25)</f>
        <v>28280411366.945904</v>
      </c>
      <c r="J24" s="19">
        <f>I24*(1+I25)</f>
        <v>29128823707.954281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>
        <v>58626710427.109306</v>
      </c>
      <c r="D25" s="11">
        <f>D24/C24-1</f>
        <v>-0.17612045544102695</v>
      </c>
      <c r="E25" s="11">
        <f>E24/D24-1</f>
        <v>-0.11826305852737573</v>
      </c>
      <c r="F25" s="49">
        <v>0.03</v>
      </c>
      <c r="G25" s="49">
        <f>G24/F24-1</f>
        <v>3.0000000000000027E-2</v>
      </c>
      <c r="H25" s="49">
        <f>H24/G24-1</f>
        <v>3.0000000000000027E-2</v>
      </c>
      <c r="I25" s="49">
        <f>I24/H24-1</f>
        <v>3.0000000000000027E-2</v>
      </c>
      <c r="J25" s="50">
        <f>J24/I24-1</f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03">
        <v>13697000000</v>
      </c>
      <c r="D26" s="103">
        <v>11781000000</v>
      </c>
      <c r="E26" s="103">
        <v>9035000000</v>
      </c>
      <c r="F26" s="8">
        <f>E26*(1+F27)</f>
        <v>9306050000</v>
      </c>
      <c r="G26" s="8">
        <f>F26*(1+G27)</f>
        <v>9585231500</v>
      </c>
      <c r="H26" s="8">
        <f>G26*(1+H27)</f>
        <v>9872788445</v>
      </c>
      <c r="I26" s="8">
        <f>H26*(1+I27)</f>
        <v>10168972098.35</v>
      </c>
      <c r="J26" s="19">
        <f>I26*(1+J27)</f>
        <v>10474041261.300501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>
        <v>11056000000</v>
      </c>
      <c r="D27" s="11">
        <f>D26/C26-1</f>
        <v>-0.13988464627290642</v>
      </c>
      <c r="E27" s="11">
        <f>E26/D26-1</f>
        <v>-0.23308717426364489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03">
        <v>117462000000</v>
      </c>
      <c r="D28" s="103">
        <v>107357000000</v>
      </c>
      <c r="E28" s="103">
        <v>101056000000</v>
      </c>
      <c r="F28" s="8">
        <f>E28*(1+F29)</f>
        <v>104087680000</v>
      </c>
      <c r="G28" s="8">
        <f>F28*(1+G29)</f>
        <v>107210310400</v>
      </c>
      <c r="H28" s="8">
        <f>G28*(1+H29)</f>
        <v>110426619712</v>
      </c>
      <c r="I28" s="8">
        <f>H28*(1+I29)</f>
        <v>113739418303.36</v>
      </c>
      <c r="J28" s="19">
        <f>I28*(1+J29)</f>
        <v>117151600852.4608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>
        <v>38321000000</v>
      </c>
      <c r="D29" s="11">
        <f>D28/C28-1</f>
        <v>-8.6027821763634216E-2</v>
      </c>
      <c r="E29" s="11">
        <f>E28/D28-1</f>
        <v>-5.8692027534301472E-2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03">
        <v>-22281000000</v>
      </c>
      <c r="D30" s="103">
        <v>-23548000000</v>
      </c>
      <c r="E30" s="103">
        <v>-25139000000</v>
      </c>
      <c r="F30" s="8">
        <f>E30*(1+F31)</f>
        <v>-22625100000</v>
      </c>
      <c r="G30" s="8">
        <f>F30*(1+G31)</f>
        <v>-20362590000</v>
      </c>
      <c r="H30" s="8">
        <f>G30*(1+H31)</f>
        <v>-18326331000</v>
      </c>
      <c r="I30" s="8">
        <f>H30*(1+I31)</f>
        <v>-16493697900</v>
      </c>
      <c r="J30" s="19">
        <f>I30*(1+J31)</f>
        <v>-14844328110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>
        <v>-7309000000</v>
      </c>
      <c r="D31" s="11">
        <f>D30/C30-1</f>
        <v>5.6864593151115361E-2</v>
      </c>
      <c r="E31" s="11">
        <f>E30/D30-1</f>
        <v>6.7564124341769949E-2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v>-10495000000</v>
      </c>
      <c r="D32" s="52">
        <f>D24+D26+D30</f>
        <v>21521634084.246262</v>
      </c>
      <c r="E32" s="52">
        <f>E24+E26+E30</f>
        <v>13247818403.244652</v>
      </c>
      <c r="F32" s="53">
        <f>F24+F26+F28+F30</f>
        <v>116649212585.53683</v>
      </c>
      <c r="G32" s="53">
        <f>G24+G26+G28+G30</f>
        <v>123089951963.10294</v>
      </c>
      <c r="H32" s="53">
        <f>H24+H26+H28+H30</f>
        <v>129429787221.99603</v>
      </c>
      <c r="I32" s="53">
        <f>I24+I26+I28+I30</f>
        <v>135695103868.65591</v>
      </c>
      <c r="J32" s="54">
        <f>J24+J26+J28+J30</f>
        <v>141910137711.71558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-1.021095342431072E-2</v>
      </c>
      <c r="D35" s="11" t="s">
        <v>36</v>
      </c>
      <c r="E35" s="58">
        <f>E36/E37</f>
        <v>2.3051656737280879E-2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37</v>
      </c>
      <c r="C36" s="100">
        <v>-1.2185243880964961E-2</v>
      </c>
      <c r="D36" s="11" t="s">
        <v>38</v>
      </c>
      <c r="E36" s="104">
        <v>28395000000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39</v>
      </c>
      <c r="C37" s="100">
        <v>0.16202305640663919</v>
      </c>
      <c r="D37" s="11" t="s">
        <v>40</v>
      </c>
      <c r="E37" s="104">
        <v>1231798665216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41</v>
      </c>
      <c r="C38" s="20">
        <f>C39+C40*(C41-C39)</f>
        <v>0.10598068260000001</v>
      </c>
      <c r="D38" s="11" t="s">
        <v>42</v>
      </c>
      <c r="E38" s="58">
        <f>E39/E40</f>
        <v>0.97694834326271918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43</v>
      </c>
      <c r="C39" s="101">
        <v>1.34E-2</v>
      </c>
      <c r="D39" s="11" t="s">
        <v>44</v>
      </c>
      <c r="E39" s="59">
        <f>E37-E36</f>
        <v>1203403665216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45</v>
      </c>
      <c r="C40" s="105">
        <v>1.069061</v>
      </c>
      <c r="D40" s="11" t="s">
        <v>40</v>
      </c>
      <c r="E40" s="59">
        <f>E37</f>
        <v>1231798665216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46</v>
      </c>
      <c r="C41" s="101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47</v>
      </c>
      <c r="C42" s="62"/>
      <c r="D42" s="27"/>
      <c r="E42" s="63">
        <f>C35*E35+C38*E38</f>
        <v>0.10330227289062453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Z1000"/>
  <sheetViews>
    <sheetView tabSelected="1" workbookViewId="0">
      <selection activeCell="C12" sqref="C12"/>
    </sheetView>
  </sheetViews>
  <sheetFormatPr baseColWidth="10" defaultColWidth="14.5" defaultRowHeight="15" customHeight="1"/>
  <cols>
    <col min="1" max="1" width="3.1640625" customWidth="1"/>
    <col min="2" max="2" width="37.83203125" bestFit="1" customWidth="1"/>
    <col min="3" max="3" width="21.83203125" bestFit="1" customWidth="1"/>
    <col min="4" max="4" width="21" bestFit="1" customWidth="1"/>
    <col min="5" max="5" width="22.33203125" bestFit="1" customWidth="1"/>
    <col min="6" max="6" width="21" bestFit="1" customWidth="1"/>
    <col min="7" max="7" width="34.6640625" bestFit="1" customWidth="1"/>
    <col min="8" max="8" width="33.5" bestFit="1" customWidth="1"/>
    <col min="9" max="10" width="34.6640625" bestFit="1" customWidth="1"/>
    <col min="11" max="26" width="8.83203125" customWidth="1"/>
  </cols>
  <sheetData>
    <row r="1" spans="1:26" ht="19.5" customHeight="1">
      <c r="A1" s="1"/>
      <c r="B1" s="2"/>
      <c r="C1" s="1"/>
      <c r="D1" s="1"/>
      <c r="E1" s="1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4" t="str">
        <f t="shared" ref="C2:I2" si="0">C17</f>
        <v>2020 A</v>
      </c>
      <c r="D2" s="4" t="str">
        <f t="shared" si="0"/>
        <v>2021 A</v>
      </c>
      <c r="E2" s="4" t="str">
        <f t="shared" si="0"/>
        <v>2022 E</v>
      </c>
      <c r="F2" s="4" t="str">
        <f t="shared" si="0"/>
        <v>2023 P</v>
      </c>
      <c r="G2" s="4" t="str">
        <f t="shared" si="0"/>
        <v>2024 P</v>
      </c>
      <c r="H2" s="4" t="str">
        <f t="shared" si="0"/>
        <v>2025 P</v>
      </c>
      <c r="I2" s="4" t="str">
        <f t="shared" si="0"/>
        <v>2026 P</v>
      </c>
      <c r="J2" s="5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6" t="s">
        <v>2</v>
      </c>
      <c r="C3" s="7">
        <f t="shared" ref="C3:J3" si="1">C32</f>
        <v>-10495000000</v>
      </c>
      <c r="D3" s="7">
        <f t="shared" si="1"/>
        <v>2856545216.778996</v>
      </c>
      <c r="E3" s="7">
        <f t="shared" si="1"/>
        <v>3540825872.6486268</v>
      </c>
      <c r="F3" s="8">
        <f t="shared" si="1"/>
        <v>14309775281.420475</v>
      </c>
      <c r="G3" s="8">
        <f t="shared" si="1"/>
        <v>14809268539.863089</v>
      </c>
      <c r="H3" s="8">
        <f t="shared" si="1"/>
        <v>15316726596.058981</v>
      </c>
      <c r="I3" s="8">
        <f t="shared" si="1"/>
        <v>15833090393.94075</v>
      </c>
      <c r="J3" s="9">
        <f t="shared" si="1"/>
        <v>16359258905.758972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6" t="s">
        <v>3</v>
      </c>
      <c r="C4" s="10"/>
      <c r="D4" s="11"/>
      <c r="E4" s="11"/>
      <c r="F4" s="12">
        <f>(1+$C7)^F1</f>
        <v>1.1579917424972539</v>
      </c>
      <c r="G4" s="12">
        <f>(1+$C7)^G1</f>
        <v>1.3409448756918263</v>
      </c>
      <c r="H4" s="12">
        <f>(1+$C7)^H1</f>
        <v>1.5528030931951415</v>
      </c>
      <c r="I4" s="12">
        <f>(1+$C7)^I1</f>
        <v>1.7981331596441674</v>
      </c>
      <c r="J4" s="13">
        <f>(1+$C7)^J1</f>
        <v>2.0822233507784422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4" t="s">
        <v>1</v>
      </c>
      <c r="C5" s="15"/>
      <c r="D5" s="16"/>
      <c r="E5" s="16"/>
      <c r="F5" s="17"/>
      <c r="G5" s="17"/>
      <c r="H5" s="17"/>
      <c r="I5" s="17"/>
      <c r="J5" s="18">
        <f>((J3/(1+C8)))/(E42-C8)</f>
        <v>157495547332.19537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" t="s">
        <v>4</v>
      </c>
      <c r="C6" s="11"/>
      <c r="D6" s="11"/>
      <c r="E6" s="11"/>
      <c r="F6" s="8">
        <f>(F3)*(1+$E$42)^F1</f>
        <v>16570601612.876228</v>
      </c>
      <c r="G6" s="8">
        <f>(G3)*(1+$E$42)^G1</f>
        <v>19858412761.273582</v>
      </c>
      <c r="H6" s="8">
        <f>(H3)*(1+$E$42)^H1</f>
        <v>23783860435.984676</v>
      </c>
      <c r="I6" s="8">
        <f>(I3)*(1+$E$42)^I1</f>
        <v>28470004856.988396</v>
      </c>
      <c r="J6" s="19">
        <f>(J5+J3)*(1+E42)^J1</f>
        <v>362004537193.7301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6" t="s">
        <v>5</v>
      </c>
      <c r="C7" s="20">
        <f>E42</f>
        <v>0.15799174249725381</v>
      </c>
      <c r="D7" s="11"/>
      <c r="E7" s="11"/>
      <c r="F7" s="21"/>
      <c r="G7" s="21"/>
      <c r="H7" s="21"/>
      <c r="I7" s="2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6" t="s">
        <v>6</v>
      </c>
      <c r="C8" s="101">
        <v>0.06</v>
      </c>
      <c r="D8" s="11"/>
      <c r="E8" s="11"/>
      <c r="F8" s="21"/>
      <c r="G8" s="21"/>
      <c r="H8" s="21"/>
      <c r="I8" s="21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23" t="s">
        <v>7</v>
      </c>
      <c r="C9" s="24">
        <f>SUM(F6:J6)</f>
        <v>450687416860.85303</v>
      </c>
      <c r="D9" s="11"/>
      <c r="E9" s="11"/>
      <c r="F9" s="21"/>
      <c r="G9" s="21"/>
      <c r="H9" s="21"/>
      <c r="I9" s="21"/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" t="s">
        <v>8</v>
      </c>
      <c r="C10" s="102">
        <v>2491999976.414619</v>
      </c>
      <c r="D10" s="11"/>
      <c r="E10" s="11"/>
      <c r="F10" s="21"/>
      <c r="G10" s="21"/>
      <c r="H10" s="21"/>
      <c r="I10" s="21"/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" t="s">
        <v>9</v>
      </c>
      <c r="C11" s="103">
        <v>188.59139999999999</v>
      </c>
      <c r="D11" s="11"/>
      <c r="E11" s="11"/>
      <c r="F11" s="21"/>
      <c r="G11" s="21"/>
      <c r="H11" s="21"/>
      <c r="I11" s="21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25" t="s">
        <v>10</v>
      </c>
      <c r="C12" s="26">
        <f>C9/C10</f>
        <v>180.85370029147529</v>
      </c>
      <c r="D12" s="27"/>
      <c r="E12" s="27"/>
      <c r="F12" s="28"/>
      <c r="G12" s="28"/>
      <c r="H12" s="28"/>
      <c r="I12" s="28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30" t="s">
        <v>11</v>
      </c>
      <c r="C13" s="31">
        <f>(C12-C11)/C11</f>
        <v>-4.1028910695422492E-2</v>
      </c>
      <c r="D13" s="32"/>
      <c r="E13" s="32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34" t="s">
        <v>12</v>
      </c>
      <c r="C15" s="35"/>
      <c r="D15" s="35"/>
      <c r="E15" s="35"/>
      <c r="F15" s="35"/>
      <c r="G15" s="35"/>
      <c r="H15" s="35"/>
      <c r="I15" s="35"/>
      <c r="J15" s="3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7" t="s">
        <v>13</v>
      </c>
      <c r="C16" s="10"/>
      <c r="D16" s="10"/>
      <c r="E16" s="10"/>
      <c r="F16" s="38"/>
      <c r="G16" s="39"/>
      <c r="H16" s="38" t="s">
        <v>14</v>
      </c>
      <c r="I16" s="39"/>
      <c r="J16" s="4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41"/>
      <c r="C17" s="42" t="s">
        <v>15</v>
      </c>
      <c r="D17" s="42" t="s">
        <v>16</v>
      </c>
      <c r="E17" s="42" t="s">
        <v>17</v>
      </c>
      <c r="F17" s="43" t="s">
        <v>18</v>
      </c>
      <c r="G17" s="43" t="s">
        <v>19</v>
      </c>
      <c r="H17" s="43" t="s">
        <v>20</v>
      </c>
      <c r="I17" s="43" t="s">
        <v>21</v>
      </c>
      <c r="J17" s="44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45" t="s">
        <v>23</v>
      </c>
      <c r="C18" s="15"/>
      <c r="D18" s="15"/>
      <c r="E18" s="15"/>
      <c r="F18" s="46">
        <v>1</v>
      </c>
      <c r="G18" s="46">
        <v>2</v>
      </c>
      <c r="H18" s="46">
        <v>3</v>
      </c>
      <c r="I18" s="46">
        <v>4</v>
      </c>
      <c r="J18" s="47">
        <v>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41" t="s">
        <v>24</v>
      </c>
      <c r="C19" s="103">
        <v>16675000000</v>
      </c>
      <c r="D19" s="103">
        <v>10918000000</v>
      </c>
      <c r="E19" s="103">
        <v>11716000000</v>
      </c>
      <c r="F19" s="8">
        <f>E19*1.02</f>
        <v>11950320000</v>
      </c>
      <c r="G19" s="8">
        <f>F19*1.02</f>
        <v>12189326400</v>
      </c>
      <c r="H19" s="8">
        <f>G19*1.02</f>
        <v>12433112928</v>
      </c>
      <c r="I19" s="8">
        <f>H19*1.02</f>
        <v>12681775186.559999</v>
      </c>
      <c r="J19" s="19">
        <f>I19*1.02</f>
        <v>12935410690.291199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48" t="s">
        <v>25</v>
      </c>
      <c r="C20" s="106">
        <v>-0.38043397488296049</v>
      </c>
      <c r="D20" s="11">
        <f>D19/C19-1</f>
        <v>-0.3452473763118441</v>
      </c>
      <c r="E20" s="11">
        <f>E19/D19-1</f>
        <v>7.3090309580509327E-2</v>
      </c>
      <c r="F20" s="49">
        <f>AVERAGE(C20:E20)</f>
        <v>-0.21753034720476508</v>
      </c>
      <c r="G20" s="49">
        <f>AVERAGE(C20:F20)</f>
        <v>-0.21753034720476508</v>
      </c>
      <c r="H20" s="49">
        <f>AVERAGE(C20:G20)</f>
        <v>-0.21753034720476508</v>
      </c>
      <c r="I20" s="49">
        <f>AVERAGE(C20:H20)</f>
        <v>-0.21753034720476508</v>
      </c>
      <c r="J20" s="50">
        <f>AVERAGE(C20:I20)</f>
        <v>-0.21753034720476511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1" t="s">
        <v>26</v>
      </c>
      <c r="C21" s="103">
        <v>4332000000</v>
      </c>
      <c r="D21" s="103">
        <v>2796000000</v>
      </c>
      <c r="E21" s="103">
        <v>4141000000</v>
      </c>
      <c r="F21" s="8">
        <f>F19*E22</f>
        <v>4223820000</v>
      </c>
      <c r="G21" s="8">
        <f>G19*F22</f>
        <v>2.332671393192766E+20</v>
      </c>
      <c r="H21" s="8">
        <f>H19*G22</f>
        <v>7.9310827371080204E+19</v>
      </c>
      <c r="I21" s="8">
        <f>I19*H22</f>
        <v>1.078627252235865E+20</v>
      </c>
      <c r="J21" s="19">
        <f>J19*I22</f>
        <v>1.4669330630255364E+20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48" t="s">
        <v>27</v>
      </c>
      <c r="C22" s="11">
        <v>57411000000</v>
      </c>
      <c r="D22" s="11">
        <f>D21/D19</f>
        <v>0.25609085913170909</v>
      </c>
      <c r="E22" s="11">
        <f>E21/E19</f>
        <v>0.35344827586206895</v>
      </c>
      <c r="F22" s="49">
        <f>AVERAGE(C22:E22)</f>
        <v>19137000000.203178</v>
      </c>
      <c r="G22" s="49">
        <f>AVERAGE(D22:F22)</f>
        <v>6379000000.2709055</v>
      </c>
      <c r="H22" s="49">
        <f>AVERAGE(E22:G22)</f>
        <v>8505333333.6091766</v>
      </c>
      <c r="I22" s="49">
        <f>AVERAGE(F22:H22)</f>
        <v>11340444444.69442</v>
      </c>
      <c r="J22" s="50">
        <f>AVERAGE(G22:I22)</f>
        <v>8741592592.8581676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1" t="s">
        <v>28</v>
      </c>
      <c r="C23" s="7">
        <v>55256000000</v>
      </c>
      <c r="D23" s="7"/>
      <c r="E23" s="7"/>
      <c r="F23" s="8">
        <f>F31*F21</f>
        <v>-422382000</v>
      </c>
      <c r="G23" s="8">
        <f>G31*G21</f>
        <v>-2.3326713931927663E+19</v>
      </c>
      <c r="H23" s="8">
        <f>H31*H21</f>
        <v>-7.9310827371080212E+18</v>
      </c>
      <c r="I23" s="8">
        <f>I31*I21</f>
        <v>-1.0786272522358651E+19</v>
      </c>
      <c r="J23" s="19">
        <f>J31*J21</f>
        <v>-1.4669330630255364E+19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48" t="s">
        <v>29</v>
      </c>
      <c r="C24" s="103">
        <v>4505677094.8596716</v>
      </c>
      <c r="D24" s="103">
        <v>2964545216.778996</v>
      </c>
      <c r="E24" s="103">
        <v>3878825872.6486268</v>
      </c>
      <c r="F24" s="8">
        <f>E24*(1+E25)</f>
        <v>5075075281.4204741</v>
      </c>
      <c r="G24" s="8">
        <f>F24*(1+F25)</f>
        <v>5227327539.8630886</v>
      </c>
      <c r="H24" s="8">
        <f>G24*(1+G25)</f>
        <v>5384147366.0589809</v>
      </c>
      <c r="I24" s="8">
        <f>H24*(1+H25)</f>
        <v>5545671787.0407505</v>
      </c>
      <c r="J24" s="19">
        <f>I24*(1+I25)</f>
        <v>5712041940.6519728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41"/>
      <c r="C25" s="7">
        <v>58626710427.109306</v>
      </c>
      <c r="D25" s="11">
        <f>D24/C24-1</f>
        <v>-0.34204223818854773</v>
      </c>
      <c r="E25" s="11">
        <f>E24/D24-1</f>
        <v>0.30840502978160167</v>
      </c>
      <c r="F25" s="49">
        <v>0.03</v>
      </c>
      <c r="G25" s="49">
        <f>G24/F24-1</f>
        <v>3.0000000000000027E-2</v>
      </c>
      <c r="H25" s="49">
        <f>H24/G24-1</f>
        <v>3.0000000000000027E-2</v>
      </c>
      <c r="I25" s="49">
        <f>I24/H24-1</f>
        <v>3.0000000000000027E-2</v>
      </c>
      <c r="J25" s="50">
        <f>J24/I24-1</f>
        <v>3.0000000000000027E-2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48" t="s">
        <v>30</v>
      </c>
      <c r="C26" s="103">
        <v>1098000000</v>
      </c>
      <c r="D26" s="103">
        <v>381000000</v>
      </c>
      <c r="E26" s="103">
        <v>262000000</v>
      </c>
      <c r="F26" s="8">
        <f>E26*(1+F27)</f>
        <v>269860000</v>
      </c>
      <c r="G26" s="8">
        <f>F26*(1+G27)</f>
        <v>277955800</v>
      </c>
      <c r="H26" s="8">
        <f>G26*(1+H27)</f>
        <v>286294474</v>
      </c>
      <c r="I26" s="8">
        <f>H26*(1+I27)</f>
        <v>294883308.22000003</v>
      </c>
      <c r="J26" s="19">
        <f>I26*(1+J27)</f>
        <v>303729807.46660006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41"/>
      <c r="C27" s="7">
        <v>11056000000</v>
      </c>
      <c r="D27" s="11">
        <f>D26/C26-1</f>
        <v>-0.65300546448087426</v>
      </c>
      <c r="E27" s="11">
        <f>E26/D26-1</f>
        <v>-0.31233595800524938</v>
      </c>
      <c r="F27" s="49">
        <v>0.03</v>
      </c>
      <c r="G27" s="49">
        <v>0.03</v>
      </c>
      <c r="H27" s="49">
        <v>0.03</v>
      </c>
      <c r="I27" s="49">
        <v>0.03</v>
      </c>
      <c r="J27" s="50">
        <v>0.03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48" t="s">
        <v>31</v>
      </c>
      <c r="C28" s="103">
        <v>12130000000</v>
      </c>
      <c r="D28" s="103">
        <v>11906000000</v>
      </c>
      <c r="E28" s="103">
        <v>9228000000</v>
      </c>
      <c r="F28" s="8">
        <f>E28*(1+F29)</f>
        <v>9504840000</v>
      </c>
      <c r="G28" s="8">
        <f>F28*(1+G29)</f>
        <v>9789985200</v>
      </c>
      <c r="H28" s="8">
        <f>G28*(1+H29)</f>
        <v>10083684756</v>
      </c>
      <c r="I28" s="8">
        <f>H28*(1+I29)</f>
        <v>10386195298.68</v>
      </c>
      <c r="J28" s="19">
        <f>I28*(1+J29)</f>
        <v>10697781157.6404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48"/>
      <c r="C29" s="7">
        <v>38321000000</v>
      </c>
      <c r="D29" s="11">
        <f>D28/C28-1</f>
        <v>-1.8466611706512759E-2</v>
      </c>
      <c r="E29" s="11">
        <f>E28/D28-1</f>
        <v>-0.22492860742482779</v>
      </c>
      <c r="F29" s="49">
        <v>0.03</v>
      </c>
      <c r="G29" s="49">
        <v>0.03</v>
      </c>
      <c r="H29" s="49">
        <v>0.03</v>
      </c>
      <c r="I29" s="49">
        <v>0.03</v>
      </c>
      <c r="J29" s="50">
        <v>0.03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48" t="s">
        <v>32</v>
      </c>
      <c r="C30" s="103">
        <v>-1128000000</v>
      </c>
      <c r="D30" s="103">
        <v>-489000000</v>
      </c>
      <c r="E30" s="103">
        <v>-600000000</v>
      </c>
      <c r="F30" s="8">
        <f>E30*(1+F31)</f>
        <v>-540000000</v>
      </c>
      <c r="G30" s="8">
        <f>F30*(1+G31)</f>
        <v>-486000000</v>
      </c>
      <c r="H30" s="8">
        <f>G30*(1+H31)</f>
        <v>-437400000</v>
      </c>
      <c r="I30" s="8">
        <f>H30*(1+I31)</f>
        <v>-393660000</v>
      </c>
      <c r="J30" s="19">
        <f>I30*(1+J31)</f>
        <v>-354294000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48"/>
      <c r="C31" s="11">
        <v>-7309000000</v>
      </c>
      <c r="D31" s="11">
        <f>D30/C30-1</f>
        <v>-0.5664893617021276</v>
      </c>
      <c r="E31" s="11">
        <f>E30/D30-1</f>
        <v>0.22699386503067487</v>
      </c>
      <c r="F31" s="49">
        <v>-0.1</v>
      </c>
      <c r="G31" s="49">
        <v>-0.1</v>
      </c>
      <c r="H31" s="49">
        <v>-0.1</v>
      </c>
      <c r="I31" s="49">
        <v>-0.1</v>
      </c>
      <c r="J31" s="50">
        <v>-0.1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51" t="s">
        <v>33</v>
      </c>
      <c r="C32" s="52">
        <v>-10495000000</v>
      </c>
      <c r="D32" s="52">
        <f>D24+D26+D30</f>
        <v>2856545216.778996</v>
      </c>
      <c r="E32" s="52">
        <f>E24+E26+E30</f>
        <v>3540825872.6486268</v>
      </c>
      <c r="F32" s="53">
        <f>F24+F26+F28+F30</f>
        <v>14309775281.420475</v>
      </c>
      <c r="G32" s="53">
        <f>G24+G26+G28+G30</f>
        <v>14809268539.863089</v>
      </c>
      <c r="H32" s="53">
        <f>H24+H26+H28+H30</f>
        <v>15316726596.058981</v>
      </c>
      <c r="I32" s="53">
        <f>I24+I26+I28+I30</f>
        <v>15833090393.94075</v>
      </c>
      <c r="J32" s="54">
        <f>J24+J26+J28+J30</f>
        <v>16359258905.758972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55"/>
      <c r="C33" s="32"/>
      <c r="D33" s="32"/>
      <c r="E33" s="32"/>
      <c r="F33" s="32"/>
      <c r="G33" s="32"/>
      <c r="H33" s="32"/>
      <c r="I33" s="32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3" t="s">
        <v>34</v>
      </c>
      <c r="C34" s="56"/>
      <c r="D34" s="56"/>
      <c r="E34" s="57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6" t="s">
        <v>35</v>
      </c>
      <c r="C35" s="20">
        <f>C36*(1-C37)</f>
        <v>-1.9809457298876239E-2</v>
      </c>
      <c r="D35" s="11" t="s">
        <v>36</v>
      </c>
      <c r="E35" s="58">
        <f>E36/E37</f>
        <v>2.4867557205758072E-2</v>
      </c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48" t="s">
        <v>37</v>
      </c>
      <c r="C36" s="100">
        <v>-2.0193377256781039E-2</v>
      </c>
      <c r="D36" s="11" t="s">
        <v>38</v>
      </c>
      <c r="E36" s="104">
        <v>11687000000</v>
      </c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48" t="s">
        <v>39</v>
      </c>
      <c r="C37" s="100">
        <v>1.901217181370083E-2</v>
      </c>
      <c r="D37" s="11" t="s">
        <v>40</v>
      </c>
      <c r="E37" s="104">
        <v>469969764352</v>
      </c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6" t="s">
        <v>41</v>
      </c>
      <c r="C38" s="20">
        <f>C39+C40*(C41-C39)</f>
        <v>0.16252597939999999</v>
      </c>
      <c r="D38" s="11" t="s">
        <v>42</v>
      </c>
      <c r="E38" s="58">
        <f>E39/E40</f>
        <v>0.97513244279424194</v>
      </c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48" t="s">
        <v>43</v>
      </c>
      <c r="C39" s="101">
        <v>1.34E-2</v>
      </c>
      <c r="D39" s="11" t="s">
        <v>44</v>
      </c>
      <c r="E39" s="59">
        <f>E37-E36</f>
        <v>458282764352</v>
      </c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48" t="s">
        <v>45</v>
      </c>
      <c r="C40" s="105">
        <v>1.7220089999999999</v>
      </c>
      <c r="D40" s="11" t="s">
        <v>40</v>
      </c>
      <c r="E40" s="59">
        <f>E37</f>
        <v>469969764352</v>
      </c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48" t="s">
        <v>46</v>
      </c>
      <c r="C41" s="101">
        <v>0.1</v>
      </c>
      <c r="D41" s="11"/>
      <c r="E41" s="60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61" t="s">
        <v>47</v>
      </c>
      <c r="C42" s="62"/>
      <c r="D42" s="27"/>
      <c r="E42" s="63">
        <f>C35*E35+C38*E38</f>
        <v>0.15799174249725381</v>
      </c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55"/>
      <c r="C43" s="64"/>
      <c r="D43" s="32"/>
      <c r="E43" s="32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DCF (Timur)</vt:lpstr>
      <vt:lpstr>AAPL</vt:lpstr>
      <vt:lpstr>MSFT</vt:lpstr>
      <vt:lpstr>AMZN</vt:lpstr>
      <vt:lpstr>GOOG</vt:lpstr>
      <vt:lpstr>NVDA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walian</dc:creator>
  <cp:lastModifiedBy>Microsoft Office User</cp:lastModifiedBy>
  <dcterms:created xsi:type="dcterms:W3CDTF">2021-01-26T02:44:31Z</dcterms:created>
  <dcterms:modified xsi:type="dcterms:W3CDTF">2023-01-25T18:47:55Z</dcterms:modified>
</cp:coreProperties>
</file>