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2A1AB34F-8088-7D4D-B451-541BA4F51FBC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DCF" sheetId="1" r:id="rId1"/>
    <sheet name="Ratios " sheetId="2" r:id="rId2"/>
    <sheet name="DCF (Timur)" sheetId="3" state="hidden" r:id="rId3"/>
    <sheet name="Income Statement " sheetId="4" r:id="rId4"/>
    <sheet name="Balance Sheet" sheetId="5" r:id="rId5"/>
    <sheet name="Statement of Cashflow" sheetId="6" r:id="rId6"/>
    <sheet name="Supplemental Items (IS)" sheetId="7" r:id="rId7"/>
    <sheet name="Supplemental Items (BS)" sheetId="8" r:id="rId8"/>
    <sheet name="Supplemental Items (CF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btfCO3bwV9SFFDqT8aImbXFIrg=="/>
    </ext>
  </extLst>
</workbook>
</file>

<file path=xl/calcChain.xml><?xml version="1.0" encoding="utf-8"?>
<calcChain xmlns="http://schemas.openxmlformats.org/spreadsheetml/2006/main">
  <c r="G34" i="4" l="1"/>
  <c r="D3" i="1"/>
  <c r="D7" i="6"/>
  <c r="C7" i="6"/>
  <c r="B7" i="6"/>
  <c r="D56" i="5"/>
  <c r="C56" i="5"/>
  <c r="B56" i="5"/>
  <c r="C37" i="1"/>
  <c r="D17" i="4"/>
  <c r="D19" i="4" s="1"/>
  <c r="C17" i="4"/>
  <c r="B17" i="4"/>
  <c r="D10" i="4"/>
  <c r="C10" i="4"/>
  <c r="D7" i="4"/>
  <c r="C7" i="4"/>
  <c r="C19" i="4" s="1"/>
  <c r="B7" i="4"/>
  <c r="C19" i="1" s="1"/>
  <c r="D28" i="3"/>
  <c r="D24" i="3"/>
  <c r="D23" i="3"/>
  <c r="I14" i="3"/>
  <c r="J14" i="3" s="1"/>
  <c r="K14" i="3" s="1"/>
  <c r="L14" i="3" s="1"/>
  <c r="M14" i="3" s="1"/>
  <c r="G14" i="3"/>
  <c r="G15" i="3" s="1"/>
  <c r="F14" i="3"/>
  <c r="E14" i="3"/>
  <c r="F15" i="3" s="1"/>
  <c r="G13" i="3"/>
  <c r="G12" i="3"/>
  <c r="I12" i="3" s="1"/>
  <c r="J12" i="3" s="1"/>
  <c r="K12" i="3" s="1"/>
  <c r="L12" i="3" s="1"/>
  <c r="M12" i="3" s="1"/>
  <c r="F12" i="3"/>
  <c r="E12" i="3"/>
  <c r="F13" i="3" s="1"/>
  <c r="F11" i="3"/>
  <c r="G10" i="3"/>
  <c r="I10" i="3" s="1"/>
  <c r="J10" i="3" s="1"/>
  <c r="K10" i="3" s="1"/>
  <c r="L10" i="3" s="1"/>
  <c r="M10" i="3" s="1"/>
  <c r="F10" i="3"/>
  <c r="G11" i="3" s="1"/>
  <c r="E10" i="3"/>
  <c r="E40" i="1"/>
  <c r="E39" i="1"/>
  <c r="E38" i="1"/>
  <c r="C38" i="1"/>
  <c r="C36" i="1"/>
  <c r="E35" i="1"/>
  <c r="G30" i="1"/>
  <c r="H30" i="1" s="1"/>
  <c r="I30" i="1" s="1"/>
  <c r="J30" i="1" s="1"/>
  <c r="F30" i="1"/>
  <c r="E30" i="1"/>
  <c r="D30" i="1"/>
  <c r="E31" i="1" s="1"/>
  <c r="C30" i="1"/>
  <c r="D31" i="1" s="1"/>
  <c r="E28" i="1"/>
  <c r="F28" i="1" s="1"/>
  <c r="G28" i="1" s="1"/>
  <c r="H28" i="1" s="1"/>
  <c r="I28" i="1" s="1"/>
  <c r="J28" i="1" s="1"/>
  <c r="D28" i="1"/>
  <c r="E29" i="1" s="1"/>
  <c r="C28" i="1"/>
  <c r="D29" i="1" s="1"/>
  <c r="D27" i="1"/>
  <c r="E26" i="1"/>
  <c r="F26" i="1" s="1"/>
  <c r="G26" i="1" s="1"/>
  <c r="H26" i="1" s="1"/>
  <c r="I26" i="1" s="1"/>
  <c r="J26" i="1" s="1"/>
  <c r="D26" i="1"/>
  <c r="E27" i="1" s="1"/>
  <c r="C26" i="1"/>
  <c r="E21" i="1"/>
  <c r="E22" i="1" s="1"/>
  <c r="D21" i="1"/>
  <c r="D22" i="1" s="1"/>
  <c r="C21" i="1"/>
  <c r="E19" i="1"/>
  <c r="E20" i="1" s="1"/>
  <c r="D19" i="1"/>
  <c r="I2" i="1"/>
  <c r="H2" i="1"/>
  <c r="G2" i="1"/>
  <c r="F2" i="1"/>
  <c r="E2" i="1"/>
  <c r="D2" i="1"/>
  <c r="C2" i="1"/>
  <c r="F8" i="3" l="1"/>
  <c r="D24" i="1"/>
  <c r="G8" i="3"/>
  <c r="E24" i="1"/>
  <c r="D20" i="1"/>
  <c r="C22" i="1"/>
  <c r="F22" i="1" s="1"/>
  <c r="C35" i="1"/>
  <c r="E42" i="1" s="1"/>
  <c r="C7" i="1" s="1"/>
  <c r="G22" i="1"/>
  <c r="F19" i="1"/>
  <c r="B10" i="4"/>
  <c r="B19" i="4"/>
  <c r="J4" i="1" l="1"/>
  <c r="H4" i="1"/>
  <c r="G4" i="1"/>
  <c r="F4" i="1"/>
  <c r="I4" i="1"/>
  <c r="I22" i="1"/>
  <c r="F20" i="1"/>
  <c r="G20" i="1" s="1"/>
  <c r="E8" i="3"/>
  <c r="E16" i="3" s="1"/>
  <c r="C24" i="1"/>
  <c r="C32" i="1" s="1"/>
  <c r="C3" i="1" s="1"/>
  <c r="E25" i="1"/>
  <c r="F24" i="1"/>
  <c r="E32" i="1"/>
  <c r="E3" i="1" s="1"/>
  <c r="G16" i="3"/>
  <c r="G9" i="3"/>
  <c r="I8" i="3"/>
  <c r="G19" i="1"/>
  <c r="F21" i="1"/>
  <c r="F23" i="1" s="1"/>
  <c r="D25" i="1"/>
  <c r="D32" i="1"/>
  <c r="H22" i="1"/>
  <c r="J22" i="1" s="1"/>
  <c r="F16" i="3"/>
  <c r="I20" i="1" l="1"/>
  <c r="J20" i="1" s="1"/>
  <c r="H20" i="1"/>
  <c r="H19" i="1"/>
  <c r="G21" i="1"/>
  <c r="G23" i="1" s="1"/>
  <c r="G24" i="1"/>
  <c r="F32" i="1"/>
  <c r="F3" i="1" s="1"/>
  <c r="F6" i="1" s="1"/>
  <c r="J8" i="3"/>
  <c r="I16" i="3"/>
  <c r="I20" i="3" s="1"/>
  <c r="F9" i="3"/>
  <c r="J16" i="3" l="1"/>
  <c r="J20" i="3" s="1"/>
  <c r="K8" i="3"/>
  <c r="G32" i="1"/>
  <c r="G3" i="1" s="1"/>
  <c r="G6" i="1" s="1"/>
  <c r="G25" i="1"/>
  <c r="H24" i="1" s="1"/>
  <c r="H21" i="1"/>
  <c r="H23" i="1" s="1"/>
  <c r="I19" i="1"/>
  <c r="H32" i="1" l="1"/>
  <c r="H3" i="1" s="1"/>
  <c r="H6" i="1" s="1"/>
  <c r="H25" i="1"/>
  <c r="I24" i="1" s="1"/>
  <c r="L8" i="3"/>
  <c r="K16" i="3"/>
  <c r="K20" i="3" s="1"/>
  <c r="J19" i="1"/>
  <c r="J21" i="1" s="1"/>
  <c r="J23" i="1" s="1"/>
  <c r="I21" i="1"/>
  <c r="I23" i="1" s="1"/>
  <c r="I25" i="1" l="1"/>
  <c r="I32" i="1"/>
  <c r="I3" i="1" s="1"/>
  <c r="I6" i="1" s="1"/>
  <c r="J24" i="1"/>
  <c r="M8" i="3"/>
  <c r="M16" i="3" s="1"/>
  <c r="M18" i="3" s="1"/>
  <c r="M20" i="3" s="1"/>
  <c r="D22" i="3" s="1"/>
  <c r="D25" i="3" s="1"/>
  <c r="D30" i="3" s="1"/>
  <c r="D31" i="3" s="1"/>
  <c r="L16" i="3"/>
  <c r="L20" i="3" s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<sst xmlns="http://schemas.openxmlformats.org/spreadsheetml/2006/main" count="439" uniqueCount="281">
  <si>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</si>
  <si>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</si>
  <si>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</si>
  <si>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</si>
  <si>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</si>
  <si>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</si>
  <si>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</si>
  <si>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</si>
  <si>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</si>
  <si>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</si>
  <si>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</si>
  <si>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</si>
  <si>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</si>
  <si>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</si>
  <si>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</si>
  <si>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</si>
  <si>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</si>
  <si>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</si>
  <si>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</si>
  <si>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</si>
  <si>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</si>
  <si>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</si>
  <si>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</si>
  <si>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</si>
  <si>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</si>
  <si>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</si>
  <si>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</si>
  <si>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</si>
  <si>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</si>
  <si>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</si>
  <si>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</si>
  <si>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</si>
  <si>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</si>
  <si>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</si>
  <si>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</si>
  <si>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</si>
  <si>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</si>
  <si>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</si>
  <si>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</si>
  <si>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</si>
  <si>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</si>
  <si>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</si>
  <si>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</si>
  <si>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</si>
  <si>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</si>
  <si>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</si>
  <si>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</si>
  <si>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</si>
  <si>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</si>
  <si>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</si>
  <si>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</si>
  <si>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</si>
  <si>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</si>
  <si>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</si>
  <si>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</si>
  <si>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</si>
  <si>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</si>
  <si>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</si>
  <si>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</si>
  <si>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</si>
  <si>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</si>
  <si>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</si>
  <si>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</si>
  <si>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</si>
  <si>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</si>
  <si>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</si>
  <si>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</si>
  <si>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</si>
  <si>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</si>
  <si>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</si>
  <si>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</si>
  <si>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</si>
  <si>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</si>
  <si>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</si>
  <si>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</si>
  <si>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</si>
  <si>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</si>
  <si>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</si>
  <si>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</si>
  <si>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</si>
  <si>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</si>
  <si>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</si>
  <si>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</si>
  <si>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</si>
  <si>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</si>
  <si>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</si>
  <si>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</si>
  <si>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</si>
  <si>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</si>
  <si>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</si>
  <si>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</si>
  <si>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</si>
  <si>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</si>
  <si>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</si>
  <si>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</si>
  <si>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</si>
  <si>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</si>
  <si>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</si>
  <si>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</si>
  <si>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</si>
  <si>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</si>
  <si>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</si>
  <si>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</si>
  <si>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</si>
  <si>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</si>
  <si>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</si>
  <si>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</si>
  <si>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</si>
  <si>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</si>
  <si>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</si>
  <si>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</si>
  <si>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</si>
  <si>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</si>
  <si>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</si>
  <si>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</si>
  <si>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</si>
  <si>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</si>
  <si>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</si>
  <si>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</si>
  <si>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</si>
  <si>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</si>
  <si>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</si>
  <si>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</si>
  <si>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</si>
  <si>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</si>
  <si>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</si>
  <si>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</si>
  <si>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</si>
  <si>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</si>
  <si>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</si>
  <si>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</si>
  <si>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</si>
  <si>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</si>
  <si>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</si>
  <si>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</si>
  <si>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</si>
  <si>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</si>
  <si>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</si>
  <si>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</si>
  <si>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</si>
  <si>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</si>
  <si>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</si>
  <si>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</si>
  <si>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</si>
  <si>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</si>
  <si>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</si>
  <si>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</si>
  <si>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</si>
  <si>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</si>
  <si>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</si>
  <si>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</si>
  <si>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</si>
  <si>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</si>
  <si>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</si>
  <si>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</si>
  <si>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</si>
  <si>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</si>
  <si>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</si>
  <si>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</si>
  <si>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</si>
  <si>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</si>
  <si>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</si>
  <si>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</si>
  <si>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</si>
  <si>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</si>
  <si>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</si>
  <si>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</si>
  <si>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</si>
  <si>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</si>
  <si>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</si>
  <si>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</si>
  <si>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</si>
  <si>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</si>
  <si>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</si>
  <si>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</si>
  <si>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</si>
  <si>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</si>
  <si>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</si>
  <si>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</si>
  <si>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</si>
  <si>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</si>
  <si>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</si>
  <si>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</si>
  <si>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</si>
  <si>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</si>
  <si>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</si>
  <si>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</si>
  <si>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</si>
  <si>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</si>
  <si>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</si>
  <si>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</si>
  <si>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</si>
  <si>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</si>
  <si>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</si>
  <si>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</si>
  <si>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</si>
  <si>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</si>
  <si>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</si>
  <si>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</si>
  <si>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</si>
  <si>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</si>
  <si>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</si>
  <si>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</si>
  <si>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</si>
  <si>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</si>
  <si>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</si>
  <si>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</si>
  <si>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</si>
  <si>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</si>
  <si>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</si>
  <si>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</si>
  <si>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</si>
  <si>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</si>
  <si>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</si>
  <si>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</si>
  <si>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</si>
  <si>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</si>
  <si>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</si>
  <si>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</si>
  <si>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</si>
  <si>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</si>
  <si>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</si>
  <si>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</si>
  <si>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</si>
  <si>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</si>
  <si>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</si>
  <si>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</si>
  <si>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</si>
  <si>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</si>
  <si>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</si>
  <si>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</si>
  <si>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</si>
  <si>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</si>
  <si>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</si>
  <si>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</si>
  <si>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</si>
  <si>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</si>
  <si>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</si>
  <si>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</si>
  <si>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</si>
  <si>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</si>
  <si>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</si>
  <si>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</si>
  <si>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</si>
  <si>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</si>
  <si>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</si>
  <si>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</si>
  <si>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</si>
  <si>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</si>
  <si>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</si>
  <si>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</si>
  <si>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</si>
  <si>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</si>
  <si>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</si>
  <si>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</si>
  <si>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</si>
  <si>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</si>
  <si>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</si>
  <si>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</si>
  <si>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</si>
  <si>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</si>
  <si>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</si>
  <si>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</si>
  <si>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</si>
  <si>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</si>
  <si>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</si>
  <si>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</si>
  <si>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</si>
  <si>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</si>
  <si>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</si>
  <si>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</si>
  <si>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</si>
  <si>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</si>
  <si>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</si>
  <si>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</si>
  <si>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</si>
  <si>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</si>
  <si>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</si>
  <si>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</si>
  <si>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</si>
  <si>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Average Rate of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</si>
</sst>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  <numFmt numFmtId="169" formatCode="0.0%"/>
    <numFmt numFmtId="170" formatCode="_-* #,##0.0\ _€_-;\-* #,##0.0\ _€_-;_-* &quot;-&quot;?\ _€_-;_-@"/>
    <numFmt numFmtId="171" formatCode="_(* #,##0.0_);_(* \(#,##0.0\)_)\ ;_(* 0_)"/>
    <numFmt numFmtId="172" formatCode="_(#,##0.0%_);_(\(#,##0.0%\)_);_(#,##0.0%_)"/>
    <numFmt numFmtId="173" formatCode="mmm\-dd\-yyyy"/>
    <numFmt numFmtId="174" formatCode="_(&quot;$&quot;#,##0.0#_);_(\(&quot;$&quot;#,##0.0#\)_);_(&quot;$&quot;&quot; - &quot;_)"/>
    <numFmt numFmtId="175" formatCode="_(* #,##0_);_(* \(#,##0\)_)\ ;_(* 0_)"/>
  </numFmts>
  <fonts count="16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Calibri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  <fill>
      <patternFill patternType="solid">
        <fgColor rgb="FF00B050"/>
        <bgColor rgb="FFF2F2F2"/>
      </patternFill>
    </fill>
    <fill>
      <patternFill patternType="solid">
        <fgColor rgb="FFFFFF00"/>
        <bgColor rgb="FFF2F2F2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 applyBorder="1"/>
    <xf numFmtId="44" fontId="1" fillId="4" borderId="5" xfId="0" applyNumberFormat="1" applyFont="1" applyFill="1" applyBorder="1"/>
    <xf numFmtId="44" fontId="1" fillId="4" borderId="6" xfId="0" applyNumberFormat="1" applyFont="1" applyFill="1" applyBorder="1"/>
    <xf numFmtId="0" fontId="1" fillId="3" borderId="5" xfId="0" applyFont="1" applyFill="1" applyBorder="1"/>
    <xf numFmtId="9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 applyBorder="1"/>
    <xf numFmtId="164" fontId="1" fillId="4" borderId="5" xfId="0" applyNumberFormat="1" applyFont="1" applyFill="1" applyBorder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 applyBorder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 applyBorder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4" fontId="1" fillId="0" borderId="0" xfId="0" applyNumberFormat="1" applyFont="1"/>
    <xf numFmtId="4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3" fontId="1" fillId="0" borderId="0" xfId="0" applyNumberFormat="1" applyFont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7" borderId="5" xfId="0" applyNumberFormat="1" applyFont="1" applyFill="1" applyBorder="1" applyAlignment="1">
      <alignment vertical="center"/>
    </xf>
    <xf numFmtId="10" fontId="6" fillId="8" borderId="5" xfId="0" applyNumberFormat="1" applyFont="1" applyFill="1" applyBorder="1" applyAlignment="1">
      <alignment vertical="center"/>
    </xf>
    <xf numFmtId="0" fontId="8" fillId="9" borderId="5" xfId="0" applyFont="1" applyFill="1" applyBorder="1"/>
    <xf numFmtId="2" fontId="8" fillId="9" borderId="5" xfId="0" applyNumberFormat="1" applyFont="1" applyFill="1" applyBorder="1"/>
    <xf numFmtId="0" fontId="9" fillId="4" borderId="5" xfId="0" applyFont="1" applyFill="1" applyBorder="1" applyAlignment="1">
      <alignment wrapText="1"/>
    </xf>
    <xf numFmtId="2" fontId="9" fillId="4" borderId="5" xfId="0" applyNumberFormat="1" applyFont="1" applyFill="1" applyBorder="1" applyAlignment="1">
      <alignment horizontal="right" wrapText="1"/>
    </xf>
    <xf numFmtId="0" fontId="10" fillId="4" borderId="5" xfId="0" applyFont="1" applyFill="1" applyBorder="1" applyAlignment="1">
      <alignment wrapText="1"/>
    </xf>
    <xf numFmtId="2" fontId="10" fillId="4" borderId="5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right" vertical="top" wrapText="1"/>
    </xf>
    <xf numFmtId="2" fontId="9" fillId="0" borderId="29" xfId="0" applyNumberFormat="1" applyFont="1" applyBorder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0" fontId="2" fillId="7" borderId="5" xfId="0" applyFont="1" applyFill="1" applyBorder="1"/>
    <xf numFmtId="169" fontId="2" fillId="7" borderId="5" xfId="0" applyNumberFormat="1" applyFont="1" applyFill="1" applyBorder="1"/>
    <xf numFmtId="2" fontId="12" fillId="0" borderId="29" xfId="0" applyNumberFormat="1" applyFont="1" applyBorder="1" applyAlignment="1">
      <alignment horizontal="right" vertical="top" wrapText="1"/>
    </xf>
    <xf numFmtId="2" fontId="1" fillId="0" borderId="0" xfId="0" applyNumberFormat="1" applyFont="1"/>
    <xf numFmtId="170" fontId="1" fillId="0" borderId="0" xfId="0" applyNumberFormat="1" applyFont="1"/>
    <xf numFmtId="2" fontId="13" fillId="0" borderId="0" xfId="0" applyNumberFormat="1" applyFont="1" applyAlignment="1">
      <alignment horizontal="right" vertical="top" wrapText="1"/>
    </xf>
    <xf numFmtId="2" fontId="2" fillId="7" borderId="5" xfId="0" applyNumberFormat="1" applyFont="1" applyFill="1" applyBorder="1"/>
    <xf numFmtId="0" fontId="9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171" fontId="9" fillId="0" borderId="0" xfId="0" applyNumberFormat="1" applyFont="1" applyAlignment="1">
      <alignment horizontal="right" vertical="top" wrapText="1"/>
    </xf>
    <xf numFmtId="171" fontId="11" fillId="0" borderId="0" xfId="0" applyNumberFormat="1" applyFont="1" applyAlignment="1">
      <alignment horizontal="right" vertical="top" wrapText="1"/>
    </xf>
    <xf numFmtId="171" fontId="9" fillId="0" borderId="29" xfId="0" applyNumberFormat="1" applyFont="1" applyBorder="1" applyAlignment="1">
      <alignment horizontal="right" vertical="top" wrapText="1"/>
    </xf>
    <xf numFmtId="171" fontId="14" fillId="0" borderId="29" xfId="0" applyNumberFormat="1" applyFont="1" applyBorder="1" applyAlignment="1">
      <alignment horizontal="right" vertical="top" wrapText="1"/>
    </xf>
    <xf numFmtId="172" fontId="11" fillId="0" borderId="0" xfId="0" applyNumberFormat="1" applyFont="1" applyAlignment="1">
      <alignment horizontal="right" vertical="top" wrapText="1"/>
    </xf>
    <xf numFmtId="173" fontId="11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vertical="top" wrapText="1"/>
    </xf>
    <xf numFmtId="0" fontId="15" fillId="0" borderId="0" xfId="0" applyFont="1"/>
    <xf numFmtId="174" fontId="11" fillId="0" borderId="0" xfId="0" applyNumberFormat="1" applyFont="1" applyAlignment="1">
      <alignment horizontal="right" vertical="top" wrapText="1"/>
    </xf>
    <xf numFmtId="175" fontId="11" fillId="0" borderId="0" xfId="0" applyNumberFormat="1" applyFont="1" applyAlignment="1">
      <alignment horizontal="right" vertical="top" wrapText="1"/>
    </xf>
    <xf numFmtId="10" fontId="1" fillId="10" borderId="5" xfId="0" applyNumberFormat="1" applyFont="1" applyFill="1" applyBorder="1"/>
    <xf numFmtId="10" fontId="1" fillId="11" borderId="5" xfId="0" applyNumberFormat="1" applyFont="1" applyFill="1" applyBorder="1"/>
    <xf numFmtId="43" fontId="1" fillId="10" borderId="5" xfId="0" applyNumberFormat="1" applyFont="1" applyFill="1" applyBorder="1"/>
    <xf numFmtId="44" fontId="1" fillId="10" borderId="5" xfId="0" applyNumberFormat="1" applyFont="1" applyFill="1" applyBorder="1"/>
    <xf numFmtId="9" fontId="1" fillId="11" borderId="5" xfId="0" applyNumberFormat="1" applyFont="1" applyFill="1" applyBorder="1"/>
    <xf numFmtId="44" fontId="1" fillId="10" borderId="7" xfId="0" applyNumberFormat="1" applyFont="1" applyFill="1" applyBorder="1"/>
    <xf numFmtId="0" fontId="1" fillId="11" borderId="5" xfId="0" applyFont="1" applyFill="1" applyBorder="1"/>
    <xf numFmtId="0" fontId="2" fillId="0" borderId="17" xfId="0" applyFont="1" applyBorder="1" applyAlignment="1">
      <alignment horizontal="center" vertical="center"/>
    </xf>
    <xf numFmtId="0" fontId="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zoomScale="87" workbookViewId="0">
      <selection activeCell="C11" sqref="C11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40.755057130765977</v>
      </c>
      <c r="D3" s="7">
        <f>D32</f>
        <v>71.290308929327139</v>
      </c>
      <c r="E3" s="7">
        <f t="shared" si="1"/>
        <v>90.215615742699981</v>
      </c>
      <c r="F3" s="8">
        <f t="shared" si="1"/>
        <v>376.59045603880236</v>
      </c>
      <c r="G3" s="8">
        <f t="shared" si="1"/>
        <v>387.82966971996643</v>
      </c>
      <c r="H3" s="8">
        <f t="shared" si="1"/>
        <v>399.41190981156547</v>
      </c>
      <c r="I3" s="8">
        <f t="shared" si="1"/>
        <v>411.34688210591247</v>
      </c>
      <c r="J3" s="9">
        <f t="shared" si="1"/>
        <v>423.6446420690898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 t="shared" ref="F4:J4" si="2">(1+$C7)^F1</f>
        <v>1.1749300265059179</v>
      </c>
      <c r="G4" s="12">
        <f t="shared" si="2"/>
        <v>1.3804605671851971</v>
      </c>
      <c r="H4" s="12">
        <f t="shared" si="2"/>
        <v>1.621944570793278</v>
      </c>
      <c r="I4" s="12">
        <f t="shared" si="2"/>
        <v>1.9056713775532759</v>
      </c>
      <c r="J4" s="13">
        <f t="shared" si="2"/>
        <v>2.2390305221402396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3477.4616244291306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 t="shared" ref="F6:I6" si="3">(F3)*(1+$E$42)^F1</f>
        <v>442.46743449554577</v>
      </c>
      <c r="G6" s="8">
        <f t="shared" si="3"/>
        <v>535.38356583287248</v>
      </c>
      <c r="H6" s="8">
        <f t="shared" si="3"/>
        <v>647.82397862904304</v>
      </c>
      <c r="I6" s="8">
        <f t="shared" si="3"/>
        <v>783.89197947501918</v>
      </c>
      <c r="J6" s="19">
        <f>(J5+J3)*(1+E42)^J1</f>
        <v>8734.6960008020706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0.17493002650591799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32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11144.262959234551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33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34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265.3395942674893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2.9193440807605509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34">
        <f>'Income Statement '!B7</f>
        <v>100.16</v>
      </c>
      <c r="D19" s="134">
        <f>'Income Statement '!C7</f>
        <v>156.36000000000001</v>
      </c>
      <c r="E19" s="134">
        <f>'Income Statement '!D7</f>
        <v>206.11</v>
      </c>
      <c r="F19" s="8">
        <f t="shared" ref="F19:J19" si="4">E19*1.02</f>
        <v>210.23220000000001</v>
      </c>
      <c r="G19" s="8">
        <f t="shared" si="4"/>
        <v>214.43684400000001</v>
      </c>
      <c r="H19" s="8">
        <f t="shared" si="4"/>
        <v>218.72558088000002</v>
      </c>
      <c r="I19" s="8">
        <f t="shared" si="4"/>
        <v>223.10009249760003</v>
      </c>
      <c r="J19" s="19">
        <f t="shared" si="4"/>
        <v>227.56209434755203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35">
        <v>7.6999999999999999E-2</v>
      </c>
      <c r="D20" s="11">
        <f t="shared" ref="D20:E20" si="5">D19/C19-1</f>
        <v>0.56110223642172552</v>
      </c>
      <c r="E20" s="11">
        <f t="shared" si="5"/>
        <v>0.31817600409311853</v>
      </c>
      <c r="F20" s="49">
        <f>AVERAGE(C20:E20)</f>
        <v>0.31875941350494802</v>
      </c>
      <c r="G20" s="49">
        <f>AVERAGE(C20:F20)</f>
        <v>0.31875941350494802</v>
      </c>
      <c r="H20" s="49">
        <f>AVERAGE(C20:G20)</f>
        <v>0.31875941350494802</v>
      </c>
      <c r="I20" s="49">
        <f>AVERAGE(C20:H20)</f>
        <v>0.31875941350494802</v>
      </c>
      <c r="J20" s="50">
        <f>AVERAGE(C20:I20)</f>
        <v>0.31875941350494802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34">
        <f>'Income Statement '!B42</f>
        <v>22.4</v>
      </c>
      <c r="D21" s="134">
        <f>'Income Statement '!C42</f>
        <v>61.1</v>
      </c>
      <c r="E21" s="134">
        <f>'Income Statement '!D42</f>
        <v>75</v>
      </c>
      <c r="F21" s="8">
        <f t="shared" ref="F21:J21" si="6">F19*E22</f>
        <v>76.499999999999986</v>
      </c>
      <c r="G21" s="8">
        <f t="shared" si="6"/>
        <v>69.927171295658326</v>
      </c>
      <c r="H21" s="8">
        <f t="shared" si="6"/>
        <v>78.795531597239105</v>
      </c>
      <c r="I21" s="8">
        <f t="shared" si="6"/>
        <v>78.102027748395614</v>
      </c>
      <c r="J21" s="19">
        <f t="shared" si="6"/>
        <v>78.616737657818021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f t="shared" ref="C22:E22" si="7">C21/C19</f>
        <v>0.22364217252396165</v>
      </c>
      <c r="D22" s="11">
        <f t="shared" si="7"/>
        <v>0.3907649015093374</v>
      </c>
      <c r="E22" s="11">
        <f t="shared" si="7"/>
        <v>0.36388336325263204</v>
      </c>
      <c r="F22" s="49">
        <f t="shared" ref="F22:J22" si="8">AVERAGE(C22:E22)</f>
        <v>0.32609681242864369</v>
      </c>
      <c r="G22" s="49">
        <f t="shared" si="8"/>
        <v>0.36024835906353769</v>
      </c>
      <c r="H22" s="49">
        <f t="shared" si="8"/>
        <v>0.35007617824827114</v>
      </c>
      <c r="I22" s="49">
        <f t="shared" si="8"/>
        <v>0.34547378324681749</v>
      </c>
      <c r="J22" s="50">
        <f t="shared" si="8"/>
        <v>0.35193277351954211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/>
      <c r="D23" s="7"/>
      <c r="E23" s="7"/>
      <c r="F23" s="8">
        <f t="shared" ref="F23:J23" si="9">F31*F21</f>
        <v>-7.6499999999999986</v>
      </c>
      <c r="G23" s="8">
        <f t="shared" si="9"/>
        <v>-6.9927171295658326</v>
      </c>
      <c r="H23" s="8">
        <f t="shared" si="9"/>
        <v>-7.879553159723911</v>
      </c>
      <c r="I23" s="8">
        <f t="shared" si="9"/>
        <v>-7.8102027748395617</v>
      </c>
      <c r="J23" s="19">
        <f t="shared" si="9"/>
        <v>-7.8616737657818021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34">
        <f>'Income Statement '!B19*(1-'Income Statement '!$G$34)</f>
        <v>40.155057130765975</v>
      </c>
      <c r="D24" s="134">
        <f>'Income Statement '!C19*(1-'Income Statement '!$G$34)</f>
        <v>70.290308929327139</v>
      </c>
      <c r="E24" s="134">
        <f>'Income Statement '!D19*(1-'Income Statement '!$G$34)</f>
        <v>89.315615742699975</v>
      </c>
      <c r="F24" s="8">
        <f t="shared" ref="F24:J24" si="10">E24*(1+E25)</f>
        <v>113.49045603880231</v>
      </c>
      <c r="G24" s="8">
        <f t="shared" si="10"/>
        <v>116.89516971996638</v>
      </c>
      <c r="H24" s="8">
        <f t="shared" si="10"/>
        <v>120.40202481156537</v>
      </c>
      <c r="I24" s="8">
        <f t="shared" si="10"/>
        <v>124.01408555591233</v>
      </c>
      <c r="J24" s="19">
        <f t="shared" si="10"/>
        <v>127.7345081225897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/>
      <c r="D25" s="11">
        <f t="shared" ref="D25:E25" si="11">D24/C24-1</f>
        <v>0.75047214353163394</v>
      </c>
      <c r="E25" s="11">
        <f t="shared" si="11"/>
        <v>0.27066756574511119</v>
      </c>
      <c r="F25" s="49">
        <v>0.03</v>
      </c>
      <c r="G25" s="49">
        <f t="shared" ref="G25:J25" si="12">G24/F24-1</f>
        <v>3.0000000000000027E-2</v>
      </c>
      <c r="H25" s="49">
        <f t="shared" si="12"/>
        <v>3.0000000000000027E-2</v>
      </c>
      <c r="I25" s="49">
        <f t="shared" si="12"/>
        <v>3.0000000000000027E-2</v>
      </c>
      <c r="J25" s="50">
        <f t="shared" si="12"/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34">
        <f>+'Statement of Cashflow'!B6</f>
        <v>0.2</v>
      </c>
      <c r="D26" s="134">
        <f>+'Statement of Cashflow'!C6</f>
        <v>0.3</v>
      </c>
      <c r="E26" s="134">
        <f>+'Statement of Cashflow'!D6</f>
        <v>0.4</v>
      </c>
      <c r="F26" s="8">
        <f t="shared" ref="F26:J26" si="13">E26*(1+F27)</f>
        <v>0.41200000000000003</v>
      </c>
      <c r="G26" s="8">
        <f t="shared" si="13"/>
        <v>0.42436000000000007</v>
      </c>
      <c r="H26" s="8">
        <f t="shared" si="13"/>
        <v>0.43709080000000006</v>
      </c>
      <c r="I26" s="8">
        <f t="shared" si="13"/>
        <v>0.45020352400000008</v>
      </c>
      <c r="J26" s="19">
        <f t="shared" si="13"/>
        <v>0.46370962972000007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/>
      <c r="D27" s="11">
        <f t="shared" ref="D27:E27" si="14">D26/C26-1</f>
        <v>0.49999999999999978</v>
      </c>
      <c r="E27" s="11">
        <f t="shared" si="14"/>
        <v>0.33333333333333348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34">
        <f>'Balance Sheet'!B16-'Balance Sheet'!B36</f>
        <v>48.4</v>
      </c>
      <c r="D28" s="134">
        <f>'Balance Sheet'!C16-'Balance Sheet'!C36</f>
        <v>180.7</v>
      </c>
      <c r="E28" s="134">
        <f>'Balance Sheet'!D16-'Balance Sheet'!D36</f>
        <v>254.60000000000002</v>
      </c>
      <c r="F28" s="8">
        <f t="shared" ref="F28:J28" si="15">E28*(1+F29)</f>
        <v>262.23800000000006</v>
      </c>
      <c r="G28" s="8">
        <f t="shared" si="15"/>
        <v>270.10514000000006</v>
      </c>
      <c r="H28" s="8">
        <f t="shared" si="15"/>
        <v>278.20829420000007</v>
      </c>
      <c r="I28" s="8">
        <f t="shared" si="15"/>
        <v>286.55454302600009</v>
      </c>
      <c r="J28" s="19">
        <f t="shared" si="15"/>
        <v>295.15117931678009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/>
      <c r="D29" s="11">
        <f t="shared" ref="D29:E29" si="16">D28/C28-1</f>
        <v>2.7334710743801653</v>
      </c>
      <c r="E29" s="11">
        <f t="shared" si="16"/>
        <v>0.40896513558384084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34">
        <f>'Statement of Cashflow'!B18</f>
        <v>0.4</v>
      </c>
      <c r="D30" s="134">
        <f>'Statement of Cashflow'!C18</f>
        <v>0.7</v>
      </c>
      <c r="E30" s="134">
        <f>'Statement of Cashflow'!D18</f>
        <v>0.5</v>
      </c>
      <c r="F30" s="8">
        <f t="shared" ref="F30:J30" si="17">E30*(1+F31)</f>
        <v>0.45</v>
      </c>
      <c r="G30" s="8">
        <f t="shared" si="17"/>
        <v>0.40500000000000003</v>
      </c>
      <c r="H30" s="8">
        <f t="shared" si="17"/>
        <v>0.36450000000000005</v>
      </c>
      <c r="I30" s="8">
        <f t="shared" si="17"/>
        <v>0.32805000000000006</v>
      </c>
      <c r="J30" s="19">
        <f t="shared" si="17"/>
        <v>0.29524500000000009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/>
      <c r="D31" s="11">
        <f t="shared" ref="D31:E31" si="18">D30/C30-1</f>
        <v>0.74999999999999978</v>
      </c>
      <c r="E31" s="11">
        <f t="shared" si="18"/>
        <v>-0.2857142857142857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f t="shared" ref="C32:E32" si="19">C24+C26+C30</f>
        <v>40.755057130765977</v>
      </c>
      <c r="D32" s="52">
        <f t="shared" si="19"/>
        <v>71.290308929327139</v>
      </c>
      <c r="E32" s="52">
        <f t="shared" si="19"/>
        <v>90.215615742699981</v>
      </c>
      <c r="F32" s="53">
        <f t="shared" ref="F32:J32" si="20">F24+F26+F28+F30</f>
        <v>376.59045603880236</v>
      </c>
      <c r="G32" s="53">
        <f t="shared" si="20"/>
        <v>387.82966971996643</v>
      </c>
      <c r="H32" s="53">
        <f t="shared" si="20"/>
        <v>399.41190981156547</v>
      </c>
      <c r="I32" s="53">
        <f t="shared" si="20"/>
        <v>411.34688210591247</v>
      </c>
      <c r="J32" s="54">
        <f t="shared" si="20"/>
        <v>423.6446420690898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3.8285441208944844E-2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280</v>
      </c>
      <c r="C36" s="131">
        <f>'Income Statement '!D21/('Balance Sheet'!D31+'Balance Sheet'!D38)*-1</f>
        <v>4.0387722132471729E-2</v>
      </c>
      <c r="D36" s="11" t="s">
        <v>37</v>
      </c>
      <c r="E36" s="136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38</v>
      </c>
      <c r="C37" s="131">
        <f>'Income Statement '!G34</f>
        <v>5.205247566652562E-2</v>
      </c>
      <c r="D37" s="11" t="s">
        <v>39</v>
      </c>
      <c r="E37" s="136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40</v>
      </c>
      <c r="C38" s="20">
        <f>C39+C40*(C41-C39)</f>
        <v>0.17499560000000003</v>
      </c>
      <c r="D38" s="11" t="s">
        <v>41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42</v>
      </c>
      <c r="C39" s="132">
        <v>1.34E-2</v>
      </c>
      <c r="D39" s="11" t="s">
        <v>43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44</v>
      </c>
      <c r="C40" s="137">
        <v>1.8660000000000001</v>
      </c>
      <c r="D40" s="11" t="s">
        <v>39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45</v>
      </c>
      <c r="C41" s="132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46</v>
      </c>
      <c r="C42" s="62"/>
      <c r="D42" s="27"/>
      <c r="E42" s="63">
        <f>C35*E35+C38*E38</f>
        <v>0.17493002650591799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>
      <c r="B2" s="65"/>
      <c r="C2" s="65"/>
      <c r="D2" s="65"/>
      <c r="E2" s="138" t="s">
        <v>47</v>
      </c>
      <c r="F2" s="139"/>
      <c r="G2" s="139"/>
      <c r="H2" s="139"/>
      <c r="I2" s="139"/>
      <c r="J2" s="139"/>
      <c r="K2" s="139"/>
      <c r="L2" s="139"/>
      <c r="M2" s="139"/>
      <c r="N2" s="1"/>
    </row>
    <row r="3" spans="2:14" ht="16">
      <c r="B3" s="65"/>
      <c r="C3" s="65"/>
      <c r="D3" s="65"/>
      <c r="E3" s="138" t="s">
        <v>48</v>
      </c>
      <c r="F3" s="139"/>
      <c r="G3" s="139"/>
      <c r="H3" s="65"/>
      <c r="I3" s="138" t="s">
        <v>49</v>
      </c>
      <c r="J3" s="139"/>
      <c r="K3" s="139"/>
      <c r="L3" s="139"/>
      <c r="M3" s="139"/>
      <c r="N3" s="1"/>
    </row>
    <row r="4" spans="2:14" ht="16">
      <c r="B4" s="66"/>
      <c r="C4" s="66"/>
      <c r="D4" s="66"/>
      <c r="E4" s="66" t="s">
        <v>50</v>
      </c>
      <c r="F4" s="66" t="s">
        <v>51</v>
      </c>
      <c r="G4" s="66" t="s">
        <v>52</v>
      </c>
      <c r="H4" s="66"/>
      <c r="I4" s="66" t="s">
        <v>53</v>
      </c>
      <c r="J4" s="66" t="s">
        <v>54</v>
      </c>
      <c r="K4" s="66" t="s">
        <v>55</v>
      </c>
      <c r="L4" s="66" t="s">
        <v>56</v>
      </c>
      <c r="M4" s="66" t="s">
        <v>57</v>
      </c>
      <c r="N4" s="1"/>
    </row>
    <row r="5" spans="2:14" ht="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>
      <c r="B6" s="67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>
      <c r="B8" s="65" t="s">
        <v>29</v>
      </c>
      <c r="C8" s="1"/>
      <c r="D8" s="1"/>
      <c r="E8" s="68">
        <f>'Income Statement '!B19*(1-'Income Statement '!$G$34)</f>
        <v>40.155057130765975</v>
      </c>
      <c r="F8" s="68">
        <f>'Income Statement '!C19*(1-'Income Statement '!$G$34)</f>
        <v>70.290308929327139</v>
      </c>
      <c r="G8" s="68">
        <f>'Income Statement '!D19*(1-'Income Statement '!$G$34)</f>
        <v>89.315615742699975</v>
      </c>
      <c r="H8" s="68"/>
      <c r="I8" s="69">
        <f>G8*(1+I9)</f>
        <v>91.995084214980977</v>
      </c>
      <c r="J8" s="69">
        <f t="shared" ref="J8:M8" si="0">I8*(1+J9)</f>
        <v>94.754936741430413</v>
      </c>
      <c r="K8" s="69">
        <f t="shared" si="0"/>
        <v>97.597584843673332</v>
      </c>
      <c r="L8" s="69">
        <f t="shared" si="0"/>
        <v>100.52551238898353</v>
      </c>
      <c r="M8" s="69">
        <f t="shared" si="0"/>
        <v>103.54127776065303</v>
      </c>
      <c r="N8" s="1"/>
    </row>
    <row r="9" spans="2:14" ht="16">
      <c r="B9" s="65"/>
      <c r="C9" s="1"/>
      <c r="D9" s="1"/>
      <c r="E9" s="68"/>
      <c r="F9" s="32">
        <f t="shared" ref="F9:G9" si="1">F8/E8-1</f>
        <v>0.75047214353163394</v>
      </c>
      <c r="G9" s="32">
        <f t="shared" si="1"/>
        <v>0.27066756574511119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>
      <c r="B10" s="65" t="s">
        <v>59</v>
      </c>
      <c r="C10" s="1"/>
      <c r="D10" s="1"/>
      <c r="E10" s="68">
        <f>+'Statement of Cashflow'!B6</f>
        <v>0.2</v>
      </c>
      <c r="F10" s="68">
        <f>+'Statement of Cashflow'!C6</f>
        <v>0.3</v>
      </c>
      <c r="G10" s="68">
        <f>+'Statement of Cashflow'!D6</f>
        <v>0.4</v>
      </c>
      <c r="H10" s="68"/>
      <c r="I10" s="69">
        <f>G10*(1+I11)</f>
        <v>0.41200000000000003</v>
      </c>
      <c r="J10" s="69">
        <f t="shared" ref="J10:M10" si="2">I10*(1+J11)</f>
        <v>0.42436000000000007</v>
      </c>
      <c r="K10" s="69">
        <f t="shared" si="2"/>
        <v>0.43709080000000006</v>
      </c>
      <c r="L10" s="69">
        <f t="shared" si="2"/>
        <v>0.45020352400000008</v>
      </c>
      <c r="M10" s="69">
        <f t="shared" si="2"/>
        <v>0.46370962972000007</v>
      </c>
      <c r="N10" s="1"/>
    </row>
    <row r="11" spans="2:14" ht="16">
      <c r="B11" s="65"/>
      <c r="C11" s="1"/>
      <c r="D11" s="1"/>
      <c r="E11" s="1"/>
      <c r="F11" s="32">
        <f t="shared" ref="F11:G11" si="3">F10/E10-1</f>
        <v>0.49999999999999978</v>
      </c>
      <c r="G11" s="32">
        <f t="shared" si="3"/>
        <v>0.33333333333333348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>
      <c r="B12" s="65" t="s">
        <v>60</v>
      </c>
      <c r="C12" s="1"/>
      <c r="D12" s="1"/>
      <c r="E12" s="68">
        <f>'Balance Sheet'!B16-'Balance Sheet'!B36</f>
        <v>48.4</v>
      </c>
      <c r="F12" s="68">
        <f>'Balance Sheet'!C16-'Balance Sheet'!C36</f>
        <v>180.7</v>
      </c>
      <c r="G12" s="68">
        <f>'Balance Sheet'!D16-'Balance Sheet'!D36</f>
        <v>254.60000000000002</v>
      </c>
      <c r="H12" s="68"/>
      <c r="I12" s="69">
        <f>G12*(1+I13)</f>
        <v>262.23800000000006</v>
      </c>
      <c r="J12" s="69">
        <f t="shared" ref="J12:M12" si="4">I12*(1+J13)</f>
        <v>270.10514000000006</v>
      </c>
      <c r="K12" s="69">
        <f t="shared" si="4"/>
        <v>278.20829420000007</v>
      </c>
      <c r="L12" s="69">
        <f t="shared" si="4"/>
        <v>286.55454302600009</v>
      </c>
      <c r="M12" s="69">
        <f t="shared" si="4"/>
        <v>295.15117931678009</v>
      </c>
      <c r="N12" s="1"/>
    </row>
    <row r="13" spans="2:14" ht="16">
      <c r="B13" s="65"/>
      <c r="C13" s="1"/>
      <c r="D13" s="1"/>
      <c r="E13" s="1"/>
      <c r="F13" s="32">
        <f t="shared" ref="F13:G13" si="5">F12/E12-1</f>
        <v>2.7334710743801653</v>
      </c>
      <c r="G13" s="32">
        <f t="shared" si="5"/>
        <v>0.40896513558384084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>
      <c r="B14" s="65" t="s">
        <v>61</v>
      </c>
      <c r="C14" s="1"/>
      <c r="D14" s="1"/>
      <c r="E14" s="68">
        <f>'Statement of Cashflow'!B18</f>
        <v>0.4</v>
      </c>
      <c r="F14" s="68">
        <f>'Statement of Cashflow'!C18</f>
        <v>0.7</v>
      </c>
      <c r="G14" s="68">
        <f>'Statement of Cashflow'!D18</f>
        <v>0.5</v>
      </c>
      <c r="H14" s="68"/>
      <c r="I14" s="69">
        <f>G14*(1+I15)</f>
        <v>0.45</v>
      </c>
      <c r="J14" s="69">
        <f t="shared" ref="J14:M14" si="6">I14*(1+J15)</f>
        <v>0.40500000000000003</v>
      </c>
      <c r="K14" s="69">
        <f t="shared" si="6"/>
        <v>0.36450000000000005</v>
      </c>
      <c r="L14" s="69">
        <f t="shared" si="6"/>
        <v>0.32805000000000006</v>
      </c>
      <c r="M14" s="69">
        <f t="shared" si="6"/>
        <v>0.29524500000000009</v>
      </c>
      <c r="N14" s="1"/>
    </row>
    <row r="15" spans="2:14" ht="16">
      <c r="B15" s="65"/>
      <c r="C15" s="1"/>
      <c r="D15" s="1"/>
      <c r="E15" s="68"/>
      <c r="F15" s="32">
        <f t="shared" ref="F15:G15" si="7">F14/E14-1</f>
        <v>0.74999999999999978</v>
      </c>
      <c r="G15" s="32">
        <f t="shared" si="7"/>
        <v>-0.2857142857142857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>
      <c r="B16" s="71" t="s">
        <v>58</v>
      </c>
      <c r="C16" s="71"/>
      <c r="D16" s="71"/>
      <c r="E16" s="72">
        <f t="shared" ref="E16:G16" si="8">E8+E10+E12+E14</f>
        <v>89.155057130765982</v>
      </c>
      <c r="F16" s="72">
        <f t="shared" si="8"/>
        <v>251.99030892932711</v>
      </c>
      <c r="G16" s="72">
        <f t="shared" si="8"/>
        <v>344.8156157427</v>
      </c>
      <c r="H16" s="71"/>
      <c r="I16" s="72">
        <f t="shared" ref="I16:M16" si="9">I8+I10+I12+I14</f>
        <v>355.095084214981</v>
      </c>
      <c r="J16" s="72">
        <f t="shared" si="9"/>
        <v>365.68943674143043</v>
      </c>
      <c r="K16" s="72">
        <f t="shared" si="9"/>
        <v>376.60746984367341</v>
      </c>
      <c r="L16" s="72">
        <f t="shared" si="9"/>
        <v>387.85830893898361</v>
      </c>
      <c r="M16" s="72">
        <f t="shared" si="9"/>
        <v>399.45141170715317</v>
      </c>
      <c r="N16" s="1"/>
    </row>
    <row r="17" spans="2:14" ht="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>
      <c r="B18" s="73" t="s">
        <v>62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>
        <f>((M16/(1+E33)))/(E34-E33)</f>
        <v>7085.6126245171299</v>
      </c>
      <c r="N18" s="1"/>
    </row>
    <row r="19" spans="2:14" ht="16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>
      <c r="B20" s="78" t="s">
        <v>63</v>
      </c>
      <c r="C20" s="78"/>
      <c r="D20" s="78"/>
      <c r="E20" s="78"/>
      <c r="F20" s="78"/>
      <c r="G20" s="78"/>
      <c r="H20" s="78"/>
      <c r="I20" s="81">
        <f>(I16)*(1+$E$35)</f>
        <v>397.70649432077875</v>
      </c>
      <c r="J20" s="81">
        <f>(J16)*(1+$E$35)^2</f>
        <v>458.72082944845039</v>
      </c>
      <c r="K20" s="81">
        <f>(K16)*(1+$E$35)^3</f>
        <v>529.10637939253252</v>
      </c>
      <c r="L20" s="81">
        <f>(L16)*(1+$E$35)^4</f>
        <v>610.30255805235197</v>
      </c>
      <c r="M20" s="81">
        <f>(M18+M16)*((1+E35)^5)</f>
        <v>13191.240352459292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64</v>
      </c>
      <c r="C22" s="78"/>
      <c r="D22" s="81">
        <f>SUM(I20:M20)</f>
        <v>15187.076613673406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65</v>
      </c>
      <c r="C23" s="1"/>
      <c r="D23" s="82">
        <f>+'Balance Sheet'!D5</f>
        <v>38016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66</v>
      </c>
      <c r="C24" s="1"/>
      <c r="D24" s="82">
        <f>+'Statement of Cashflow'!D28+'Statement of Cashflow'!D31</f>
        <v>29683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67</v>
      </c>
      <c r="C25" s="84"/>
      <c r="D25" s="85">
        <f>SUM(D22:D24)</f>
        <v>82886.076613673402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68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69</v>
      </c>
      <c r="C28" s="87"/>
      <c r="D28" s="89">
        <f>+DCF!C10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70</v>
      </c>
      <c r="C30" s="91"/>
      <c r="D30" s="92">
        <f>D25/D28</f>
        <v>1973.4780146112714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71</v>
      </c>
      <c r="C31" s="94"/>
      <c r="D31" s="95">
        <f>D30/D27-1</f>
        <v>13.510867754494642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72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73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74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showGridLines="0" topLeftCell="A7" workbookViewId="0">
      <selection activeCell="F34" sqref="F34"/>
    </sheetView>
  </sheetViews>
  <sheetFormatPr baseColWidth="10" defaultColWidth="14.5" defaultRowHeight="15" customHeight="1"/>
  <cols>
    <col min="1" max="1" width="46" customWidth="1"/>
    <col min="2" max="4" width="13.83203125" customWidth="1"/>
    <col min="5" max="26" width="10.83203125" customWidth="1"/>
  </cols>
  <sheetData>
    <row r="1" spans="1:26" ht="15.75" customHeight="1">
      <c r="A1" s="100" t="s">
        <v>75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03" t="s">
        <v>77</v>
      </c>
      <c r="C2" s="103" t="s">
        <v>78</v>
      </c>
      <c r="D2" s="103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83</v>
      </c>
      <c r="B5" s="109">
        <v>100.16</v>
      </c>
      <c r="C5" s="109">
        <v>156.36000000000001</v>
      </c>
      <c r="D5" s="109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84</v>
      </c>
      <c r="B6" s="109" t="s">
        <v>85</v>
      </c>
      <c r="C6" s="109" t="s">
        <v>85</v>
      </c>
      <c r="D6" s="109" t="s">
        <v>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86</v>
      </c>
      <c r="B7" s="110">
        <f t="shared" ref="B7:D7" si="0">B5</f>
        <v>100.16</v>
      </c>
      <c r="C7" s="110">
        <f t="shared" si="0"/>
        <v>156.36000000000001</v>
      </c>
      <c r="D7" s="110">
        <f t="shared" si="0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87</v>
      </c>
      <c r="B9" s="109">
        <v>15.06</v>
      </c>
      <c r="C9" s="109">
        <v>20.239999999999998</v>
      </c>
      <c r="D9" s="109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6" t="s">
        <v>88</v>
      </c>
      <c r="B10" s="110">
        <f t="shared" ref="B10:D10" si="1">B7-B9</f>
        <v>85.1</v>
      </c>
      <c r="C10" s="110">
        <f t="shared" si="1"/>
        <v>136.12</v>
      </c>
      <c r="D10" s="110">
        <f t="shared" si="1"/>
        <v>175.26000000000002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/>
      <c r="B11" s="107"/>
      <c r="C11" s="107"/>
      <c r="D11" s="10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89</v>
      </c>
      <c r="B12" s="109">
        <v>53.62</v>
      </c>
      <c r="C12" s="109">
        <v>76.510000000000005</v>
      </c>
      <c r="D12" s="109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90</v>
      </c>
      <c r="B13" s="109">
        <v>4.18</v>
      </c>
      <c r="C13" s="109">
        <v>5.7</v>
      </c>
      <c r="D13" s="109">
        <v>9.4700000000000006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91</v>
      </c>
      <c r="B14" s="109" t="s">
        <v>85</v>
      </c>
      <c r="C14" s="109" t="s">
        <v>85</v>
      </c>
      <c r="D14" s="109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92</v>
      </c>
      <c r="B15" s="109" t="s">
        <v>85</v>
      </c>
      <c r="C15" s="109" t="s">
        <v>85</v>
      </c>
      <c r="D15" s="109" t="s"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/>
      <c r="B16" s="107"/>
      <c r="C16" s="107"/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6" t="s">
        <v>93</v>
      </c>
      <c r="B17" s="110">
        <f t="shared" ref="B17:D17" si="2">B12+B13</f>
        <v>57.8</v>
      </c>
      <c r="C17" s="110">
        <f t="shared" si="2"/>
        <v>82.210000000000008</v>
      </c>
      <c r="D17" s="110">
        <f t="shared" si="2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/>
      <c r="B18" s="107"/>
      <c r="C18" s="107"/>
      <c r="D18" s="10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6" t="s">
        <v>94</v>
      </c>
      <c r="B19" s="111">
        <f t="shared" ref="B19:D19" si="3">B7-B17</f>
        <v>42.36</v>
      </c>
      <c r="C19" s="111">
        <f t="shared" si="3"/>
        <v>74.150000000000006</v>
      </c>
      <c r="D19" s="111">
        <f t="shared" si="3"/>
        <v>94.220000000000013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/>
      <c r="B20" s="107"/>
      <c r="C20" s="107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95</v>
      </c>
      <c r="B21" s="109">
        <v>-6</v>
      </c>
      <c r="C21" s="109">
        <v>-1</v>
      </c>
      <c r="D21" s="109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96</v>
      </c>
      <c r="B22" s="109" t="s">
        <v>85</v>
      </c>
      <c r="C22" s="109" t="s">
        <v>85</v>
      </c>
      <c r="D22" s="109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6" t="s">
        <v>97</v>
      </c>
      <c r="B23" s="109">
        <v>6</v>
      </c>
      <c r="C23" s="109">
        <v>13</v>
      </c>
      <c r="D23" s="109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/>
      <c r="B24" s="107"/>
      <c r="C24" s="107"/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98</v>
      </c>
      <c r="B25" s="109" t="s">
        <v>85</v>
      </c>
      <c r="C25" s="109" t="s">
        <v>85</v>
      </c>
      <c r="D25" s="109" t="s">
        <v>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99</v>
      </c>
      <c r="B26" s="109" t="s">
        <v>85</v>
      </c>
      <c r="C26" s="109" t="s">
        <v>85</v>
      </c>
      <c r="D26" s="109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6" t="s">
        <v>100</v>
      </c>
      <c r="B27" s="109" t="s">
        <v>85</v>
      </c>
      <c r="C27" s="109" t="s">
        <v>85</v>
      </c>
      <c r="D27" s="109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/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101</v>
      </c>
      <c r="B29" s="109" t="s">
        <v>85</v>
      </c>
      <c r="C29" s="109" t="s">
        <v>85</v>
      </c>
      <c r="D29" s="109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102</v>
      </c>
      <c r="B30" s="109" t="s">
        <v>85</v>
      </c>
      <c r="C30" s="109">
        <v>-31</v>
      </c>
      <c r="D30" s="109">
        <v>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103</v>
      </c>
      <c r="B31" s="109" t="s">
        <v>85</v>
      </c>
      <c r="C31" s="109" t="s">
        <v>85</v>
      </c>
      <c r="D31" s="109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6" t="s">
        <v>104</v>
      </c>
      <c r="B32" s="110">
        <v>23.63</v>
      </c>
      <c r="C32" s="110">
        <v>62.04</v>
      </c>
      <c r="D32" s="110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/>
      <c r="B33" s="107"/>
      <c r="C33" s="107"/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105</v>
      </c>
      <c r="B34" s="109">
        <v>13372</v>
      </c>
      <c r="C34" s="109">
        <v>10481</v>
      </c>
      <c r="D34" s="109">
        <v>9680</v>
      </c>
      <c r="E34" s="1"/>
      <c r="F34" s="112" t="s">
        <v>106</v>
      </c>
      <c r="G34" s="113">
        <f>+(B32-B35)/B32</f>
        <v>5.205247566652562E-2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6" t="s">
        <v>107</v>
      </c>
      <c r="B35" s="110">
        <v>22.4</v>
      </c>
      <c r="C35" s="110">
        <v>61.2</v>
      </c>
      <c r="D35" s="110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/>
      <c r="B36" s="107"/>
      <c r="C36" s="107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 t="s">
        <v>108</v>
      </c>
      <c r="B37" s="109" t="s">
        <v>85</v>
      </c>
      <c r="C37" s="109" t="s">
        <v>85</v>
      </c>
      <c r="D37" s="109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109</v>
      </c>
      <c r="B38" s="109" t="s">
        <v>85</v>
      </c>
      <c r="C38" s="109" t="s">
        <v>85</v>
      </c>
      <c r="D38" s="109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6" t="s">
        <v>110</v>
      </c>
      <c r="B39" s="110">
        <v>22.4</v>
      </c>
      <c r="C39" s="110">
        <v>61.2</v>
      </c>
      <c r="D39" s="110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/>
      <c r="B40" s="107"/>
      <c r="C40" s="107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111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6" t="s">
        <v>112</v>
      </c>
      <c r="B42" s="114">
        <v>22.4</v>
      </c>
      <c r="C42" s="114">
        <v>61.1</v>
      </c>
      <c r="D42" s="114">
        <v>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8"/>
      <c r="B43" s="107"/>
      <c r="C43" s="107"/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 t="s">
        <v>113</v>
      </c>
      <c r="B44" s="109" t="s">
        <v>85</v>
      </c>
      <c r="C44" s="109" t="s">
        <v>85</v>
      </c>
      <c r="D44" s="109" t="s">
        <v>85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/>
      <c r="B45" s="107"/>
      <c r="C45" s="107"/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6" t="s">
        <v>114</v>
      </c>
      <c r="B46" s="111">
        <v>21.8</v>
      </c>
      <c r="C46" s="111">
        <v>61</v>
      </c>
      <c r="D46" s="111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6" t="s">
        <v>115</v>
      </c>
      <c r="B47" s="111">
        <v>21.8</v>
      </c>
      <c r="C47" s="111">
        <v>61</v>
      </c>
      <c r="D47" s="111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/>
      <c r="B48" s="107"/>
      <c r="C48" s="107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6" t="s">
        <v>116</v>
      </c>
      <c r="B49" s="107"/>
      <c r="C49" s="107"/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8" t="s">
        <v>117</v>
      </c>
      <c r="B50" s="109">
        <v>0.82</v>
      </c>
      <c r="C50" s="109">
        <v>2.09</v>
      </c>
      <c r="D50" s="109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 t="s">
        <v>118</v>
      </c>
      <c r="B51" s="109">
        <v>0.82</v>
      </c>
      <c r="C51" s="109">
        <v>2.09</v>
      </c>
      <c r="D51" s="109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8" t="s">
        <v>119</v>
      </c>
      <c r="B52" s="109">
        <v>26.6</v>
      </c>
      <c r="C52" s="109">
        <v>29.2</v>
      </c>
      <c r="D52" s="109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8" t="s">
        <v>120</v>
      </c>
      <c r="B54" s="109">
        <v>0.62</v>
      </c>
      <c r="C54" s="109">
        <v>1.6</v>
      </c>
      <c r="D54" s="109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 t="s">
        <v>121</v>
      </c>
      <c r="B55" s="109">
        <v>2.98</v>
      </c>
      <c r="C55" s="109">
        <v>2.97</v>
      </c>
      <c r="D55" s="109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08" t="s">
        <v>122</v>
      </c>
      <c r="B56" s="109">
        <v>35</v>
      </c>
      <c r="C56" s="109">
        <v>38.1</v>
      </c>
      <c r="D56" s="109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08"/>
      <c r="B57" s="107"/>
      <c r="C57" s="107"/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08" t="s">
        <v>123</v>
      </c>
      <c r="B58" s="109">
        <v>0.75</v>
      </c>
      <c r="C58" s="109">
        <v>1.33</v>
      </c>
      <c r="D58" s="109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8" t="s">
        <v>124</v>
      </c>
      <c r="B59" s="109">
        <v>0.56999999999999995</v>
      </c>
      <c r="C59" s="109">
        <v>1.02</v>
      </c>
      <c r="D59" s="109">
        <v>1.1299999999999999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08"/>
      <c r="B60" s="107"/>
      <c r="C60" s="107"/>
      <c r="D60" s="10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08" t="s">
        <v>125</v>
      </c>
      <c r="B61" s="109">
        <v>0.68</v>
      </c>
      <c r="C61" s="109">
        <v>0.75</v>
      </c>
      <c r="D61" s="109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08" t="s">
        <v>126</v>
      </c>
      <c r="B62" s="109">
        <v>0.23033300000000001</v>
      </c>
      <c r="C62" s="109">
        <v>0.255519</v>
      </c>
      <c r="D62" s="109">
        <v>0.24526600000000001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08"/>
      <c r="B63" s="107"/>
      <c r="C63" s="107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08" t="s">
        <v>127</v>
      </c>
      <c r="B64" s="109">
        <v>0.1</v>
      </c>
      <c r="C64" s="109">
        <v>0.1</v>
      </c>
      <c r="D64" s="109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08"/>
      <c r="B65" s="107"/>
      <c r="C65" s="107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1000"/>
  <sheetViews>
    <sheetView showGridLines="0" workbookViewId="0"/>
  </sheetViews>
  <sheetFormatPr baseColWidth="10" defaultColWidth="14.5" defaultRowHeight="15" customHeight="1"/>
  <cols>
    <col min="1" max="1" width="44.5" customWidth="1"/>
    <col min="2" max="2" width="16.6640625" customWidth="1"/>
    <col min="3" max="4" width="14.83203125" customWidth="1"/>
    <col min="5" max="5" width="10.83203125" customWidth="1"/>
    <col min="6" max="8" width="13.6640625" customWidth="1"/>
    <col min="9" max="26" width="10.83203125" customWidth="1"/>
  </cols>
  <sheetData>
    <row r="1" spans="1:26" ht="15.75" customHeight="1">
      <c r="A1" s="100" t="s">
        <v>128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129</v>
      </c>
      <c r="B2" s="103" t="s">
        <v>130</v>
      </c>
      <c r="C2" s="103" t="s">
        <v>131</v>
      </c>
      <c r="D2" s="103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134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135</v>
      </c>
      <c r="B5" s="109">
        <v>25913</v>
      </c>
      <c r="C5" s="109">
        <v>48844</v>
      </c>
      <c r="D5" s="109">
        <v>38016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136</v>
      </c>
      <c r="B6" s="109">
        <v>40388</v>
      </c>
      <c r="C6" s="109">
        <v>51713</v>
      </c>
      <c r="D6" s="109">
        <v>52927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137</v>
      </c>
      <c r="B7" s="110">
        <v>61.3</v>
      </c>
      <c r="C7" s="110">
        <v>193.4</v>
      </c>
      <c r="D7" s="110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138</v>
      </c>
      <c r="B9" s="109">
        <v>23186</v>
      </c>
      <c r="C9" s="109">
        <v>22926</v>
      </c>
      <c r="D9" s="109">
        <v>16120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139</v>
      </c>
      <c r="B10" s="109">
        <v>25809</v>
      </c>
      <c r="C10" s="109">
        <v>22878</v>
      </c>
      <c r="D10" s="109">
        <v>21325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6" t="s">
        <v>140</v>
      </c>
      <c r="B11" s="110">
        <v>9.5</v>
      </c>
      <c r="C11" s="110">
        <v>10.4</v>
      </c>
      <c r="D11" s="110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/>
      <c r="B12" s="107"/>
      <c r="C12" s="107"/>
      <c r="D12" s="10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141</v>
      </c>
      <c r="B13" s="109">
        <v>3956</v>
      </c>
      <c r="C13" s="109">
        <v>4106</v>
      </c>
      <c r="D13" s="109">
        <v>4061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142</v>
      </c>
      <c r="B14" s="109" t="s">
        <v>85</v>
      </c>
      <c r="C14" s="109">
        <v>23</v>
      </c>
      <c r="D14" s="109">
        <v>36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143</v>
      </c>
      <c r="B15" s="109">
        <v>12087</v>
      </c>
      <c r="C15" s="109">
        <v>12329</v>
      </c>
      <c r="D15" s="109">
        <v>11228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144</v>
      </c>
      <c r="B16" s="110">
        <v>77.8</v>
      </c>
      <c r="C16" s="110">
        <v>213.2</v>
      </c>
      <c r="D16" s="110">
        <v>289.60000000000002</v>
      </c>
      <c r="E16" s="1"/>
      <c r="F16" s="116"/>
      <c r="G16" s="116"/>
      <c r="H16" s="1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7"/>
      <c r="C17" s="107"/>
      <c r="D17" s="10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145</v>
      </c>
      <c r="B18" s="109">
        <v>90403</v>
      </c>
      <c r="C18" s="109">
        <v>95957</v>
      </c>
      <c r="D18" s="109">
        <v>112096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146</v>
      </c>
      <c r="B19" s="109">
        <v>-49099</v>
      </c>
      <c r="C19" s="109">
        <v>-58579</v>
      </c>
      <c r="D19" s="109">
        <v>-66760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6" t="s">
        <v>147</v>
      </c>
      <c r="B20" s="110">
        <v>0.5</v>
      </c>
      <c r="C20" s="110">
        <v>2.2999999999999998</v>
      </c>
      <c r="D20" s="110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/>
      <c r="B21" s="107"/>
      <c r="C21" s="107"/>
      <c r="D21" s="10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148</v>
      </c>
      <c r="B22" s="109">
        <v>170799</v>
      </c>
      <c r="C22" s="109">
        <v>105341</v>
      </c>
      <c r="D22" s="109">
        <v>100887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149</v>
      </c>
      <c r="B23" s="109" t="s">
        <v>85</v>
      </c>
      <c r="C23" s="109" t="s">
        <v>85</v>
      </c>
      <c r="D23" s="10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 t="s">
        <v>150</v>
      </c>
      <c r="B24" s="109" t="s">
        <v>85</v>
      </c>
      <c r="C24" s="109" t="s">
        <v>85</v>
      </c>
      <c r="D24" s="109" t="s"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151</v>
      </c>
      <c r="B25" s="109">
        <v>22283</v>
      </c>
      <c r="C25" s="109">
        <v>32978</v>
      </c>
      <c r="D25" s="109">
        <v>33952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6" t="s">
        <v>152</v>
      </c>
      <c r="B26" s="114">
        <v>77.760000000000005</v>
      </c>
      <c r="C26" s="114">
        <v>213.21</v>
      </c>
      <c r="D26" s="114">
        <v>289.58999999999997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/>
      <c r="B27" s="107"/>
      <c r="C27" s="107"/>
      <c r="D27" s="10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153</v>
      </c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154</v>
      </c>
      <c r="B29" s="109">
        <v>55888</v>
      </c>
      <c r="C29" s="109">
        <v>46236</v>
      </c>
      <c r="D29" s="109">
        <v>42296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155</v>
      </c>
      <c r="B30" s="109" t="s">
        <v>85</v>
      </c>
      <c r="C30" s="109" t="s">
        <v>85</v>
      </c>
      <c r="D30" s="109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156</v>
      </c>
      <c r="B31" s="109">
        <v>0.5</v>
      </c>
      <c r="C31" s="109">
        <v>0.67200000000000004</v>
      </c>
      <c r="D31" s="109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157</v>
      </c>
      <c r="B32" s="109">
        <v>8784</v>
      </c>
      <c r="C32" s="109">
        <v>10260</v>
      </c>
      <c r="D32" s="109">
        <v>8773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158</v>
      </c>
      <c r="B33" s="109" t="s">
        <v>85</v>
      </c>
      <c r="C33" s="109" t="s">
        <v>85</v>
      </c>
      <c r="D33" s="109">
        <v>1460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159</v>
      </c>
      <c r="B34" s="109">
        <v>5966</v>
      </c>
      <c r="C34" s="109">
        <v>5522</v>
      </c>
      <c r="D34" s="109">
        <v>6643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 t="s">
        <v>160</v>
      </c>
      <c r="B35" s="109">
        <v>33327</v>
      </c>
      <c r="C35" s="109">
        <v>37720</v>
      </c>
      <c r="D35" s="109">
        <v>41224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6" t="s">
        <v>161</v>
      </c>
      <c r="B36" s="110">
        <v>29.4</v>
      </c>
      <c r="C36" s="110">
        <v>32.5</v>
      </c>
      <c r="D36" s="110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/>
      <c r="B37" s="107"/>
      <c r="C37" s="107"/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162</v>
      </c>
      <c r="B38" s="109">
        <v>0.5</v>
      </c>
      <c r="C38" s="109">
        <v>0.74399999999999999</v>
      </c>
      <c r="D38" s="109">
        <v>0.35799999999999998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163</v>
      </c>
      <c r="B39" s="109" t="s">
        <v>85</v>
      </c>
      <c r="C39" s="109" t="s">
        <v>85</v>
      </c>
      <c r="D39" s="109">
        <v>8382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164</v>
      </c>
      <c r="B40" s="109" t="s">
        <v>85</v>
      </c>
      <c r="C40" s="109" t="s">
        <v>85</v>
      </c>
      <c r="D40" s="109" t="s"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165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 t="s">
        <v>166</v>
      </c>
      <c r="B42" s="109">
        <v>48914</v>
      </c>
      <c r="C42" s="109">
        <v>50503</v>
      </c>
      <c r="D42" s="109">
        <v>46108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167</v>
      </c>
      <c r="B43" s="110">
        <v>34.200000000000003</v>
      </c>
      <c r="C43" s="110">
        <v>38.6</v>
      </c>
      <c r="D43" s="110">
        <v>40.299999999999997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7"/>
      <c r="C44" s="107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 t="s">
        <v>168</v>
      </c>
      <c r="B45" s="109">
        <v>40201</v>
      </c>
      <c r="C45" s="109">
        <v>45174</v>
      </c>
      <c r="D45" s="109">
        <v>50779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8" t="s">
        <v>169</v>
      </c>
      <c r="B46" s="109" t="s">
        <v>85</v>
      </c>
      <c r="C46" s="109" t="s">
        <v>85</v>
      </c>
      <c r="D46" s="109" t="s">
        <v>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8" t="s">
        <v>170</v>
      </c>
      <c r="B47" s="109">
        <v>70400</v>
      </c>
      <c r="C47" s="109">
        <v>45898</v>
      </c>
      <c r="D47" s="109">
        <v>14966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 t="s">
        <v>171</v>
      </c>
      <c r="B48" s="109" t="s">
        <v>85</v>
      </c>
      <c r="C48" s="109" t="s">
        <v>85</v>
      </c>
      <c r="D48" s="109" t="s">
        <v>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8" t="s">
        <v>172</v>
      </c>
      <c r="B49" s="109">
        <v>-3454</v>
      </c>
      <c r="C49" s="109">
        <v>-584</v>
      </c>
      <c r="D49" s="109">
        <v>-406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6" t="s">
        <v>173</v>
      </c>
      <c r="B50" s="110">
        <v>43.3</v>
      </c>
      <c r="C50" s="110">
        <v>176.1</v>
      </c>
      <c r="D50" s="110">
        <v>254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6" t="s">
        <v>174</v>
      </c>
      <c r="B52" s="117">
        <v>46.9</v>
      </c>
      <c r="C52" s="117">
        <v>179.8</v>
      </c>
      <c r="D52" s="117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6" t="s">
        <v>175</v>
      </c>
      <c r="B54" s="117">
        <v>81.099999999999994</v>
      </c>
      <c r="C54" s="117">
        <v>218.4</v>
      </c>
      <c r="D54" s="117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/>
      <c r="B55" s="107"/>
      <c r="C55" s="107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2" t="s">
        <v>176</v>
      </c>
      <c r="B56" s="118">
        <f t="shared" ref="B56:D56" si="0">+B54-B26</f>
        <v>3.3399999999999892</v>
      </c>
      <c r="C56" s="118">
        <f t="shared" si="0"/>
        <v>5.1899999999999977</v>
      </c>
      <c r="D56" s="118">
        <f t="shared" si="0"/>
        <v>6.2100000000000364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15"/>
      <c r="C57" s="115"/>
      <c r="D57" s="1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15"/>
      <c r="C58" s="115"/>
      <c r="D58" s="1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15"/>
      <c r="C59" s="115"/>
      <c r="D59" s="1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15"/>
      <c r="C60" s="115"/>
      <c r="D60" s="1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15"/>
      <c r="C61" s="115"/>
      <c r="D61" s="1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15"/>
      <c r="C62" s="115"/>
      <c r="D62" s="1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5"/>
      <c r="C63" s="115"/>
      <c r="D63" s="11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15"/>
      <c r="C64" s="115"/>
      <c r="D64" s="11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15"/>
      <c r="C65" s="115"/>
      <c r="D65" s="1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showGridLines="0" workbookViewId="0">
      <selection activeCell="D16" sqref="D16"/>
    </sheetView>
  </sheetViews>
  <sheetFormatPr baseColWidth="10" defaultColWidth="14.5" defaultRowHeight="15" customHeight="1"/>
  <cols>
    <col min="1" max="1" width="41.1640625" customWidth="1"/>
    <col min="2" max="4" width="13.83203125" customWidth="1"/>
    <col min="5" max="26" width="10.8320312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6" t="s">
        <v>178</v>
      </c>
      <c r="B5" s="121">
        <v>22.4</v>
      </c>
      <c r="C5" s="121">
        <v>61.1</v>
      </c>
      <c r="D5" s="121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91</v>
      </c>
      <c r="B6" s="122">
        <v>0.2</v>
      </c>
      <c r="C6" s="122">
        <v>0.3</v>
      </c>
      <c r="D6" s="122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179</v>
      </c>
      <c r="B7" s="123">
        <f t="shared" ref="B7:D7" si="0">B6</f>
        <v>0.2</v>
      </c>
      <c r="C7" s="123">
        <f t="shared" si="0"/>
        <v>0.3</v>
      </c>
      <c r="D7" s="123">
        <f t="shared" si="0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8"/>
      <c r="C8" s="108"/>
      <c r="D8" s="10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180</v>
      </c>
      <c r="B9" s="122">
        <v>1.9</v>
      </c>
      <c r="C9" s="122">
        <v>1.6</v>
      </c>
      <c r="D9" s="122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181</v>
      </c>
      <c r="B10" s="122">
        <v>-0.6</v>
      </c>
      <c r="C10" s="122">
        <v>-1.4</v>
      </c>
      <c r="D10" s="122">
        <v>1.1000000000000001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182</v>
      </c>
      <c r="B11" s="122">
        <v>-0.6</v>
      </c>
      <c r="C11" s="122">
        <v>0.4</v>
      </c>
      <c r="D11" s="122">
        <v>-4.4000000000000004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183</v>
      </c>
      <c r="B12" s="122">
        <v>-1.9</v>
      </c>
      <c r="C12" s="122">
        <v>-2.4</v>
      </c>
      <c r="D12" s="122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184</v>
      </c>
      <c r="B13" s="122">
        <v>0.5</v>
      </c>
      <c r="C13" s="122">
        <v>0.1</v>
      </c>
      <c r="D13" s="122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185</v>
      </c>
      <c r="B14" s="122">
        <v>-3</v>
      </c>
      <c r="C14" s="122">
        <v>-625</v>
      </c>
      <c r="D14" s="122">
        <v>2081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186</v>
      </c>
      <c r="B15" s="122">
        <v>9.5</v>
      </c>
      <c r="C15" s="122">
        <v>-7.2</v>
      </c>
      <c r="D15" s="122">
        <v>2.2000000000000002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187</v>
      </c>
      <c r="B16" s="123">
        <v>36.9</v>
      </c>
      <c r="C16" s="123">
        <v>62.2</v>
      </c>
      <c r="D16" s="123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188</v>
      </c>
      <c r="B18" s="122">
        <v>0.4</v>
      </c>
      <c r="C18" s="122">
        <v>0.7</v>
      </c>
      <c r="D18" s="122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189</v>
      </c>
      <c r="B19" s="122">
        <v>-7</v>
      </c>
      <c r="C19" s="122">
        <v>-6</v>
      </c>
      <c r="D19" s="122"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190</v>
      </c>
      <c r="B20" s="122" t="s">
        <v>85</v>
      </c>
      <c r="C20" s="122" t="s">
        <v>85</v>
      </c>
      <c r="D20" s="122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191</v>
      </c>
      <c r="B21" s="122">
        <v>-29.4</v>
      </c>
      <c r="C21" s="122">
        <v>-111.8</v>
      </c>
      <c r="D21" s="122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192</v>
      </c>
      <c r="B22" s="122" t="s">
        <v>85</v>
      </c>
      <c r="C22" s="122" t="s">
        <v>85</v>
      </c>
      <c r="D22" s="122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193</v>
      </c>
      <c r="B23" s="122">
        <v>-745</v>
      </c>
      <c r="C23" s="122">
        <v>-1078</v>
      </c>
      <c r="D23" s="122">
        <v>-791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194</v>
      </c>
      <c r="B24" s="123">
        <v>29.7</v>
      </c>
      <c r="C24" s="123">
        <v>112.5</v>
      </c>
      <c r="D24" s="123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/>
      <c r="B25" s="108"/>
      <c r="C25" s="108"/>
      <c r="D25" s="10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195</v>
      </c>
      <c r="B26" s="122" t="s">
        <v>85</v>
      </c>
      <c r="C26" s="122" t="s">
        <v>85</v>
      </c>
      <c r="D26" s="122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196</v>
      </c>
      <c r="B27" s="122">
        <v>6969</v>
      </c>
      <c r="C27" s="122">
        <v>6963</v>
      </c>
      <c r="D27" s="122">
        <v>16091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197</v>
      </c>
      <c r="B28" s="123">
        <v>6969</v>
      </c>
      <c r="C28" s="123">
        <v>6963</v>
      </c>
      <c r="D28" s="123">
        <v>16091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198</v>
      </c>
      <c r="B29" s="122">
        <v>-37</v>
      </c>
      <c r="C29" s="122">
        <v>-5977</v>
      </c>
      <c r="D29" s="122">
        <v>-963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199</v>
      </c>
      <c r="B30" s="122">
        <v>-6500</v>
      </c>
      <c r="C30" s="122">
        <v>-8805</v>
      </c>
      <c r="D30" s="122">
        <v>-12629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6" t="s">
        <v>200</v>
      </c>
      <c r="B31" s="123">
        <v>6537</v>
      </c>
      <c r="C31" s="123">
        <v>14782</v>
      </c>
      <c r="D31" s="123">
        <v>13592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/>
      <c r="B32" s="108"/>
      <c r="C32" s="108"/>
      <c r="D32" s="10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201</v>
      </c>
      <c r="B33" s="122">
        <v>669</v>
      </c>
      <c r="C33" s="122">
        <v>781</v>
      </c>
      <c r="D33" s="122">
        <v>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202</v>
      </c>
      <c r="B34" s="122">
        <v>-75265</v>
      </c>
      <c r="C34" s="122">
        <v>-69714</v>
      </c>
      <c r="D34" s="122">
        <v>-75992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/>
      <c r="B35" s="108"/>
      <c r="C35" s="108"/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 t="s">
        <v>203</v>
      </c>
      <c r="B36" s="122">
        <v>-13712</v>
      </c>
      <c r="C36" s="122">
        <v>-14119</v>
      </c>
      <c r="D36" s="122">
        <v>-14081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6" t="s">
        <v>204</v>
      </c>
      <c r="B37" s="123">
        <v>-13712</v>
      </c>
      <c r="C37" s="123">
        <v>-14119</v>
      </c>
      <c r="D37" s="123">
        <v>-14081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/>
      <c r="B38" s="108"/>
      <c r="C38" s="108"/>
      <c r="D38" s="10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205</v>
      </c>
      <c r="B39" s="122" t="s">
        <v>85</v>
      </c>
      <c r="C39" s="122" t="s">
        <v>85</v>
      </c>
      <c r="D39" s="122" t="s">
        <v>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206</v>
      </c>
      <c r="B40" s="122" t="s">
        <v>85</v>
      </c>
      <c r="C40" s="122">
        <v>-105</v>
      </c>
      <c r="D40" s="122">
        <v>-126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6" t="s">
        <v>207</v>
      </c>
      <c r="B41" s="123">
        <v>0.2</v>
      </c>
      <c r="C41" s="123">
        <v>70.2</v>
      </c>
      <c r="D41" s="123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/>
      <c r="B42" s="108"/>
      <c r="C42" s="108"/>
      <c r="D42" s="10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208</v>
      </c>
      <c r="B43" s="124">
        <v>7.1</v>
      </c>
      <c r="C43" s="124">
        <v>20</v>
      </c>
      <c r="D43" s="124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8"/>
      <c r="C44" s="108"/>
      <c r="D44" s="10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5" customWidth="1"/>
    <col min="2" max="4" width="13.83203125" customWidth="1"/>
    <col min="5" max="26" width="11.5" customWidth="1"/>
  </cols>
  <sheetData>
    <row r="1" spans="1:26" ht="15.75" customHeight="1">
      <c r="A1" s="100" t="s">
        <v>75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210</v>
      </c>
      <c r="B5" s="122">
        <v>81801</v>
      </c>
      <c r="C5" s="122">
        <v>76477</v>
      </c>
      <c r="D5" s="122">
        <v>77344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211</v>
      </c>
      <c r="B6" s="122">
        <v>70898</v>
      </c>
      <c r="C6" s="122">
        <v>63930</v>
      </c>
      <c r="D6" s="122">
        <v>66288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212</v>
      </c>
      <c r="B7" s="122">
        <v>70898</v>
      </c>
      <c r="C7" s="122">
        <v>63930</v>
      </c>
      <c r="D7" s="122">
        <v>66288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213</v>
      </c>
      <c r="B8" s="122">
        <v>83001</v>
      </c>
      <c r="C8" s="122">
        <v>77777</v>
      </c>
      <c r="D8" s="122">
        <v>88144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214</v>
      </c>
      <c r="B9" s="122">
        <v>265595</v>
      </c>
      <c r="C9" s="122">
        <v>260174</v>
      </c>
      <c r="D9" s="122">
        <v>274515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215</v>
      </c>
      <c r="B10" s="125">
        <v>0.183421</v>
      </c>
      <c r="C10" s="125">
        <v>0.159438</v>
      </c>
      <c r="D10" s="125">
        <v>0.14428099999999999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216</v>
      </c>
      <c r="B11" s="122">
        <v>41976</v>
      </c>
      <c r="C11" s="122">
        <v>6859</v>
      </c>
      <c r="D11" s="122">
        <v>6761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217</v>
      </c>
      <c r="B12" s="122">
        <v>3986</v>
      </c>
      <c r="C12" s="122">
        <v>3962</v>
      </c>
      <c r="D12" s="122">
        <v>3134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218</v>
      </c>
      <c r="B13" s="122">
        <v>45962</v>
      </c>
      <c r="C13" s="122">
        <v>10821</v>
      </c>
      <c r="D13" s="122">
        <v>9895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219</v>
      </c>
      <c r="B14" s="122">
        <v>-33771</v>
      </c>
      <c r="C14" s="122">
        <v>-3006</v>
      </c>
      <c r="D14" s="122">
        <v>-3598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220</v>
      </c>
      <c r="B15" s="122">
        <v>1181</v>
      </c>
      <c r="C15" s="122">
        <v>2666</v>
      </c>
      <c r="D15" s="122">
        <v>3383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 t="s">
        <v>221</v>
      </c>
      <c r="B16" s="122">
        <v>-32590</v>
      </c>
      <c r="C16" s="122">
        <v>-340</v>
      </c>
      <c r="D16" s="122">
        <v>-215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222</v>
      </c>
      <c r="B18" s="122">
        <v>45564.375</v>
      </c>
      <c r="C18" s="122">
        <v>41105</v>
      </c>
      <c r="D18" s="122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223</v>
      </c>
      <c r="B19" s="122">
        <v>3000</v>
      </c>
      <c r="C19" s="122">
        <v>3200</v>
      </c>
      <c r="D19" s="122">
        <v>2800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224</v>
      </c>
      <c r="B20" s="126">
        <v>44134</v>
      </c>
      <c r="C20" s="126">
        <v>44134</v>
      </c>
      <c r="D20" s="126">
        <v>44134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225</v>
      </c>
      <c r="B21" s="127" t="s">
        <v>226</v>
      </c>
      <c r="C21" s="127" t="s">
        <v>226</v>
      </c>
      <c r="D21" s="127" t="s">
        <v>227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228</v>
      </c>
      <c r="B22" s="127" t="s">
        <v>229</v>
      </c>
      <c r="C22" s="127" t="s">
        <v>229</v>
      </c>
      <c r="D22" s="127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/>
      <c r="B23" s="108"/>
      <c r="C23" s="108"/>
      <c r="D23" s="10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230</v>
      </c>
      <c r="B24" s="108"/>
      <c r="C24" s="108"/>
      <c r="D24" s="10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231</v>
      </c>
      <c r="B25" s="122">
        <v>14236</v>
      </c>
      <c r="C25" s="122">
        <v>16217</v>
      </c>
      <c r="D25" s="122">
        <v>18752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232</v>
      </c>
      <c r="B26" s="122">
        <v>1200</v>
      </c>
      <c r="C26" s="122">
        <v>1300</v>
      </c>
      <c r="D26" s="122">
        <v>10800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233</v>
      </c>
      <c r="B27" s="122">
        <v>270.2688</v>
      </c>
      <c r="C27" s="122">
        <v>334.24560000000002</v>
      </c>
      <c r="D27" s="122">
        <v>2155.4207999999999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 t="s">
        <v>234</v>
      </c>
      <c r="B28" s="122">
        <v>929.73119999999994</v>
      </c>
      <c r="C28" s="122">
        <v>965.75440000000003</v>
      </c>
      <c r="D28" s="122">
        <v>8644.5792000000001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/>
      <c r="B29" s="108"/>
      <c r="C29" s="108"/>
      <c r="D29" s="10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235</v>
      </c>
      <c r="B30" s="122" t="s">
        <v>85</v>
      </c>
      <c r="C30" s="122" t="s">
        <v>85</v>
      </c>
      <c r="D30" s="122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236</v>
      </c>
      <c r="B31" s="122" t="s">
        <v>85</v>
      </c>
      <c r="C31" s="122" t="s">
        <v>85</v>
      </c>
      <c r="D31" s="122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237</v>
      </c>
      <c r="B32" s="122" t="s">
        <v>85</v>
      </c>
      <c r="C32" s="122" t="s">
        <v>85</v>
      </c>
      <c r="D32" s="122" t="s">
        <v>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238</v>
      </c>
      <c r="B33" s="122">
        <v>5340</v>
      </c>
      <c r="C33" s="122">
        <v>6068</v>
      </c>
      <c r="D33" s="122">
        <v>6829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6" t="s">
        <v>239</v>
      </c>
      <c r="B34" s="121">
        <v>5340</v>
      </c>
      <c r="C34" s="121">
        <v>6068</v>
      </c>
      <c r="D34" s="121">
        <v>6829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3.6640625" customWidth="1"/>
    <col min="2" max="4" width="18.5" customWidth="1"/>
    <col min="5" max="26" width="11.5" customWidth="1"/>
  </cols>
  <sheetData>
    <row r="1" spans="1:26" ht="13.5" customHeight="1">
      <c r="A1" s="100" t="s">
        <v>128</v>
      </c>
      <c r="B1" s="100"/>
      <c r="C1" s="100"/>
      <c r="D1" s="100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3.5" customHeight="1">
      <c r="A2" s="102" t="s">
        <v>129</v>
      </c>
      <c r="B2" s="119" t="s">
        <v>130</v>
      </c>
      <c r="C2" s="119" t="s">
        <v>131</v>
      </c>
      <c r="D2" s="119" t="s">
        <v>132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3.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3.5" customHeight="1">
      <c r="A4" s="106" t="s">
        <v>209</v>
      </c>
      <c r="B4" s="108"/>
      <c r="C4" s="108"/>
      <c r="D4" s="10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3.5" customHeight="1">
      <c r="A5" s="108" t="s">
        <v>240</v>
      </c>
      <c r="B5" s="122">
        <v>18981.592000000001</v>
      </c>
      <c r="C5" s="122">
        <v>17773.060000000001</v>
      </c>
      <c r="D5" s="122">
        <v>17001.802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3.5" customHeight="1">
      <c r="A6" s="108" t="s">
        <v>241</v>
      </c>
      <c r="B6" s="122">
        <v>19019.944</v>
      </c>
      <c r="C6" s="122">
        <v>17772.944</v>
      </c>
      <c r="D6" s="122">
        <v>16976.762999999999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3.5" customHeight="1">
      <c r="A7" s="108" t="s">
        <v>242</v>
      </c>
      <c r="B7" s="129">
        <v>5.63</v>
      </c>
      <c r="C7" s="129">
        <v>5.09</v>
      </c>
      <c r="D7" s="129">
        <v>3.85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3.5" customHeight="1">
      <c r="A8" s="108" t="s">
        <v>243</v>
      </c>
      <c r="B8" s="122">
        <v>107147</v>
      </c>
      <c r="C8" s="122">
        <v>90488</v>
      </c>
      <c r="D8" s="122">
        <v>65339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3.5" customHeight="1">
      <c r="A9" s="108" t="s">
        <v>244</v>
      </c>
      <c r="B9" s="129">
        <v>5.63</v>
      </c>
      <c r="C9" s="129">
        <v>5.09</v>
      </c>
      <c r="D9" s="129">
        <v>3.85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3.5" customHeight="1">
      <c r="A10" s="108" t="s">
        <v>245</v>
      </c>
      <c r="B10" s="122">
        <v>114483</v>
      </c>
      <c r="C10" s="122">
        <v>108047</v>
      </c>
      <c r="D10" s="122">
        <v>122278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3.5" customHeight="1">
      <c r="A11" s="108" t="s">
        <v>246</v>
      </c>
      <c r="B11" s="122">
        <v>-122617</v>
      </c>
      <c r="C11" s="122">
        <v>-97851</v>
      </c>
      <c r="D11" s="122">
        <v>-69552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3.5" customHeight="1">
      <c r="A12" s="108" t="s">
        <v>247</v>
      </c>
      <c r="B12" s="122">
        <v>9600</v>
      </c>
      <c r="C12" s="122">
        <v>10400</v>
      </c>
      <c r="D12" s="122">
        <v>86400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3.5" customHeight="1">
      <c r="A13" s="108" t="s">
        <v>248</v>
      </c>
      <c r="B13" s="127" t="s">
        <v>249</v>
      </c>
      <c r="C13" s="127" t="s">
        <v>249</v>
      </c>
      <c r="D13" s="127" t="s">
        <v>249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3.5" customHeight="1">
      <c r="A14" s="108" t="s">
        <v>250</v>
      </c>
      <c r="B14" s="122">
        <v>16216</v>
      </c>
      <c r="C14" s="122">
        <v>17085</v>
      </c>
      <c r="D14" s="122">
        <v>17952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3.5" customHeight="1">
      <c r="A15" s="108" t="s">
        <v>251</v>
      </c>
      <c r="B15" s="122">
        <v>65982</v>
      </c>
      <c r="C15" s="122">
        <v>69797</v>
      </c>
      <c r="D15" s="122">
        <v>75291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3.5" customHeight="1">
      <c r="A16" s="108" t="s">
        <v>252</v>
      </c>
      <c r="B16" s="122">
        <v>8205</v>
      </c>
      <c r="C16" s="122">
        <v>9075</v>
      </c>
      <c r="D16" s="122">
        <v>10283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3.5" customHeight="1">
      <c r="A17" s="108" t="s">
        <v>253</v>
      </c>
      <c r="B17" s="130">
        <v>132000</v>
      </c>
      <c r="C17" s="130">
        <v>137000</v>
      </c>
      <c r="D17" s="130">
        <v>147000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3.5" customHeight="1">
      <c r="A18" s="108" t="s">
        <v>254</v>
      </c>
      <c r="B18" s="122" t="s">
        <v>255</v>
      </c>
      <c r="C18" s="122" t="s">
        <v>255</v>
      </c>
      <c r="D18" s="122" t="s">
        <v>255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3.5" customHeight="1">
      <c r="A19" s="108" t="s">
        <v>224</v>
      </c>
      <c r="B19" s="126">
        <v>44134</v>
      </c>
      <c r="C19" s="126">
        <v>44134</v>
      </c>
      <c r="D19" s="126">
        <v>44134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3.5" customHeight="1">
      <c r="A20" s="108" t="s">
        <v>225</v>
      </c>
      <c r="B20" s="127" t="s">
        <v>256</v>
      </c>
      <c r="C20" s="127" t="s">
        <v>226</v>
      </c>
      <c r="D20" s="127" t="s">
        <v>227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3.5" customHeight="1">
      <c r="A21" s="108" t="s">
        <v>228</v>
      </c>
      <c r="B21" s="127" t="s">
        <v>257</v>
      </c>
      <c r="C21" s="127" t="s">
        <v>229</v>
      </c>
      <c r="D21" s="127" t="s">
        <v>229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3.5" customHeight="1">
      <c r="A22" s="1" t="s">
        <v>258</v>
      </c>
      <c r="B22" s="89">
        <v>14966000000</v>
      </c>
      <c r="C22" s="89"/>
      <c r="D22" s="1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3.5" customHeight="1">
      <c r="A23" s="1" t="s">
        <v>259</v>
      </c>
      <c r="B23" s="89">
        <v>-406000000</v>
      </c>
      <c r="C23" s="89"/>
      <c r="D23" s="1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3.5" customHeight="1">
      <c r="A24" s="1" t="s">
        <v>260</v>
      </c>
      <c r="B24" s="1"/>
      <c r="C24" s="1"/>
      <c r="D24" s="1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3.5" customHeight="1">
      <c r="A25" s="1" t="s">
        <v>261</v>
      </c>
      <c r="B25" s="1"/>
      <c r="C25" s="1"/>
      <c r="D25" s="1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3.5" customHeight="1">
      <c r="A26" s="1" t="s">
        <v>262</v>
      </c>
      <c r="B26" s="1"/>
      <c r="C26" s="1"/>
      <c r="D26" s="1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3.5" customHeight="1">
      <c r="A27" s="1" t="s">
        <v>263</v>
      </c>
      <c r="B27" s="89">
        <v>164006000000</v>
      </c>
      <c r="C27" s="89"/>
      <c r="D27" s="1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3.5" customHeight="1">
      <c r="A28" s="1" t="s">
        <v>264</v>
      </c>
      <c r="B28" s="1"/>
      <c r="C28" s="1"/>
      <c r="D28" s="1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3.5" customHeight="1">
      <c r="A29" s="1" t="s">
        <v>265</v>
      </c>
      <c r="B29" s="89">
        <v>65339000000</v>
      </c>
      <c r="C29" s="89"/>
      <c r="D29" s="1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3.5" customHeight="1">
      <c r="A30" s="1" t="s">
        <v>266</v>
      </c>
      <c r="B30" s="89">
        <v>65339000000</v>
      </c>
      <c r="C30" s="89"/>
      <c r="D30" s="1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3.5" customHeight="1">
      <c r="A31" s="1" t="s">
        <v>267</v>
      </c>
      <c r="B31" s="89">
        <v>38321000000</v>
      </c>
      <c r="C31" s="89"/>
      <c r="D31" s="1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3.5" customHeight="1">
      <c r="A32" s="1" t="s">
        <v>268</v>
      </c>
      <c r="B32" s="89">
        <v>177775000000</v>
      </c>
      <c r="C32" s="89"/>
      <c r="D32" s="1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3.5" customHeight="1">
      <c r="A33" s="1" t="s">
        <v>269</v>
      </c>
      <c r="B33" s="89">
        <v>65339000000</v>
      </c>
      <c r="C33" s="89"/>
      <c r="D33" s="1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3.5" customHeight="1">
      <c r="A34" s="1" t="s">
        <v>270</v>
      </c>
      <c r="B34" s="89">
        <v>112436000000</v>
      </c>
      <c r="C34" s="89"/>
      <c r="D34" s="1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3.5" customHeight="1">
      <c r="A35" s="1" t="s">
        <v>271</v>
      </c>
      <c r="B35" s="89">
        <v>74420000000</v>
      </c>
      <c r="C35" s="89"/>
      <c r="D35" s="1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3.5" customHeight="1">
      <c r="A36" s="1" t="s">
        <v>272</v>
      </c>
      <c r="B36" s="89">
        <v>16976763000</v>
      </c>
      <c r="C36" s="89"/>
      <c r="D36" s="1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3.5" customHeight="1">
      <c r="A37" s="1" t="s">
        <v>273</v>
      </c>
      <c r="B37" s="89">
        <v>16976763000</v>
      </c>
      <c r="C37" s="89"/>
      <c r="D37" s="1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pageMargins left="0.7" right="0.7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32.5" customWidth="1"/>
    <col min="2" max="4" width="13.83203125" customWidth="1"/>
    <col min="5" max="26" width="11.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274</v>
      </c>
      <c r="B5" s="122">
        <v>3022</v>
      </c>
      <c r="C5" s="122">
        <v>3423</v>
      </c>
      <c r="D5" s="122">
        <v>3002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275</v>
      </c>
      <c r="B6" s="122">
        <v>10417</v>
      </c>
      <c r="C6" s="122">
        <v>15263</v>
      </c>
      <c r="D6" s="122">
        <v>9501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276</v>
      </c>
      <c r="B7" s="122">
        <v>47482.25</v>
      </c>
      <c r="C7" s="122">
        <v>42914.25</v>
      </c>
      <c r="D7" s="122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277</v>
      </c>
      <c r="B8" s="122">
        <v>49507.25</v>
      </c>
      <c r="C8" s="122">
        <v>45149.25</v>
      </c>
      <c r="D8" s="122">
        <v>62183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278</v>
      </c>
      <c r="B9" s="122">
        <v>-2266</v>
      </c>
      <c r="C9" s="122">
        <v>2927</v>
      </c>
      <c r="D9" s="122">
        <v>-10177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279</v>
      </c>
      <c r="B10" s="122">
        <v>432</v>
      </c>
      <c r="C10" s="122">
        <v>-7819</v>
      </c>
      <c r="D10" s="122">
        <v>2499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224</v>
      </c>
      <c r="B11" s="126">
        <v>44134</v>
      </c>
      <c r="C11" s="126">
        <v>44134</v>
      </c>
      <c r="D11" s="126">
        <v>44134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225</v>
      </c>
      <c r="B12" s="127" t="s">
        <v>226</v>
      </c>
      <c r="C12" s="127" t="s">
        <v>226</v>
      </c>
      <c r="D12" s="127" t="s">
        <v>227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228</v>
      </c>
      <c r="B13" s="127" t="s">
        <v>229</v>
      </c>
      <c r="C13" s="127" t="s">
        <v>229</v>
      </c>
      <c r="D13" s="127" t="s">
        <v>229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Ratios </vt:lpstr>
      <vt:lpstr>DCF (Timur)</vt:lpstr>
      <vt:lpstr>Income Statement </vt:lpstr>
      <vt:lpstr>Balance Sheet</vt:lpstr>
      <vt:lpstr>Statement of Cashflow</vt:lpstr>
      <vt:lpstr>Supplemental Items (IS)</vt:lpstr>
      <vt:lpstr>Supplemental Items (BS)</vt:lpstr>
      <vt:lpstr>Supplemental Items (CF)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2023-01-16T18:46:11Z</dcterms:modified>
</cp:coreProperties>
</file>