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5.xml" ContentType="application/vnd.openxmlformats-officedocument.spreadsheetml.comments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omments6.xml" ContentType="application/vnd.openxmlformats-officedocument.spreadsheetml.comments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evin\Dropbox\Administracion\2025\FINANZAS G&amp;E 2025\"/>
    </mc:Choice>
  </mc:AlternateContent>
  <xr:revisionPtr revIDLastSave="0" documentId="13_ncr:1_{8EE981F8-88F7-4B77-A86A-EE5D868A18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LTADOS" sheetId="2" r:id="rId1"/>
    <sheet name="AGRIC_S23-C24" sheetId="8" state="hidden" r:id="rId2"/>
    <sheet name="AGRC" sheetId="23" state="hidden" r:id="rId3"/>
    <sheet name="MARGENES AGRO" sheetId="21" r:id="rId4"/>
    <sheet name="GAND" sheetId="26" state="hidden" r:id="rId5"/>
    <sheet name="MARGENES GAN" sheetId="25" r:id="rId6"/>
    <sheet name="MB LOTE 5" sheetId="24" state="hidden" r:id="rId7"/>
    <sheet name="MB SOJA 24" sheetId="17" state="hidden" r:id="rId8"/>
    <sheet name="AGRIC_S22-C23" sheetId="18" state="hidden" r:id="rId9"/>
    <sheet name="AGRIC_S24-C25 " sheetId="5" state="hidden" r:id="rId10"/>
    <sheet name="GND_22-23" sheetId="15" state="hidden" r:id="rId11"/>
    <sheet name="GND_23-24" sheetId="9" state="hidden" r:id="rId12"/>
    <sheet name="GND_24-25 " sheetId="12" state="hidden" r:id="rId13"/>
    <sheet name="MB Soja 25" sheetId="11" state="hidden" r:id="rId14"/>
    <sheet name="MB Maiz 25" sheetId="10" state="hidden" r:id="rId15"/>
  </sheets>
  <externalReferences>
    <externalReference r:id="rId16"/>
  </externalReferences>
  <definedNames>
    <definedName name="ACT" localSheetId="2">#REF!</definedName>
    <definedName name="ACT">#REF!</definedName>
    <definedName name="ACTIVIDAD" localSheetId="3">#REF!</definedName>
    <definedName name="ACTIVIDAD" localSheetId="6">[1]LISTAS!$A$3:$A$17</definedName>
    <definedName name="ACTIVIDAD">#REF!</definedName>
    <definedName name="ADMINISTRACION" localSheetId="3">#REF!</definedName>
    <definedName name="ADMINISTRACION" localSheetId="6">#REF!</definedName>
    <definedName name="ADMINISTRACION">#REF!</definedName>
    <definedName name="AGRICULTURA" localSheetId="6">#REF!</definedName>
    <definedName name="AGRICULTURA">#REF!</definedName>
    <definedName name="_xlnm.Print_Area" localSheetId="1">'AGRIC_S23-C24'!$A$1:$AA$178</definedName>
    <definedName name="_xlnm.Print_Area" localSheetId="6">'MB LOTE 5'!$B$2:$K$56</definedName>
    <definedName name="_xlnm.Print_Area" localSheetId="14">'MB Maiz 25'!$B$2:$J$49</definedName>
    <definedName name="_xlnm.Print_Area" localSheetId="7">'MB SOJA 24'!$B$2:$K$52</definedName>
    <definedName name="_xlnm.Print_Area" localSheetId="13">'MB Soja 25'!$B$2:$H$51</definedName>
    <definedName name="_xlnm.Print_Area" localSheetId="0">RESULTADOS!$B$1:$M$99</definedName>
    <definedName name="BASEDATOS" localSheetId="2">#REF!</definedName>
    <definedName name="BASEDATOS">#REF!</definedName>
    <definedName name="BOVINOS" localSheetId="3">#REF!</definedName>
    <definedName name="BOVINOS" localSheetId="6">#REF!</definedName>
    <definedName name="BOVINOS">#REF!</definedName>
    <definedName name="CAPRINOS" localSheetId="3">#REF!</definedName>
    <definedName name="CAPRINOS" localSheetId="6">#REF!</definedName>
    <definedName name="CAPRINOS">#REF!</definedName>
    <definedName name="COMBUSTIBLE" localSheetId="3">#REF!</definedName>
    <definedName name="COMBUSTIBLE" localSheetId="6">#REF!</definedName>
    <definedName name="COMBUSTIBLE">#REF!</definedName>
    <definedName name="EST">#REF!</definedName>
    <definedName name="ESTADO" localSheetId="6">[1]LISTAS!$O$3:$O$6</definedName>
    <definedName name="ESTADO">#REF!</definedName>
    <definedName name="ESTRUCTURA" localSheetId="6">#REF!</definedName>
    <definedName name="ESTRUCTURA">#REF!</definedName>
    <definedName name="FORRAJE" localSheetId="6">#REF!</definedName>
    <definedName name="FORRAJE">#REF!</definedName>
    <definedName name="FR">#REF!</definedName>
    <definedName name="GANADERIA" localSheetId="6">#REF!</definedName>
    <definedName name="GANADERIA">#REF!</definedName>
    <definedName name="GENERAL" localSheetId="6">#REF!</definedName>
    <definedName name="GENERAL">#REF!</definedName>
    <definedName name="IMPUESTOS" localSheetId="6">#REF!</definedName>
    <definedName name="IMPUESTOS">#REF!</definedName>
    <definedName name="INTERESES" localSheetId="6">#REF!</definedName>
    <definedName name="INTERESES">#REF!</definedName>
    <definedName name="MAQUINARIA" localSheetId="6">#REF!</definedName>
    <definedName name="MAQUINARIA">#REF!</definedName>
    <definedName name="OVINO" localSheetId="6">#REF!</definedName>
    <definedName name="OVINO">#REF!</definedName>
    <definedName name="PORCINOS" localSheetId="6">#REF!</definedName>
    <definedName name="PORCINOS">#REF!</definedName>
    <definedName name="SEGUROS" localSheetId="6">#REF!</definedName>
    <definedName name="SEGUROS">#REF!</definedName>
    <definedName name="SEMILLAS">#REF!</definedName>
    <definedName name="SOCIOS" localSheetId="6">#REF!</definedName>
    <definedName name="SOCIOS">#REF!</definedName>
    <definedName name="SUELDOS" localSheetId="6">#REF!</definedName>
    <definedName name="SUELDOS">#REF!</definedName>
    <definedName name="TIPO_FACT" localSheetId="6">[1]LISTAS!$S$3:$S$7</definedName>
    <definedName name="TIPO_FACT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4" i="25" l="1"/>
  <c r="B26" i="25"/>
  <c r="C26" i="25"/>
  <c r="C27" i="25"/>
  <c r="C29" i="25"/>
  <c r="B33" i="25"/>
  <c r="B35" i="25"/>
  <c r="B32" i="25"/>
  <c r="B31" i="25"/>
  <c r="K9" i="2"/>
  <c r="J6" i="2"/>
  <c r="J4" i="2" s="1"/>
  <c r="K7" i="2"/>
  <c r="J53" i="2"/>
  <c r="O3" i="2" l="1"/>
  <c r="K6" i="2"/>
  <c r="K4" i="2" s="1"/>
  <c r="K3" i="2" s="1"/>
  <c r="K31" i="2" l="1"/>
  <c r="K42" i="2"/>
  <c r="M87" i="2" l="1"/>
  <c r="K55" i="2" l="1"/>
  <c r="K56" i="2"/>
  <c r="K54" i="2"/>
  <c r="K53" i="2" s="1"/>
  <c r="E24" i="25" l="1"/>
  <c r="C24" i="25"/>
  <c r="F6" i="25"/>
  <c r="F5" i="25"/>
  <c r="L46" i="2"/>
  <c r="L51" i="2"/>
  <c r="L50" i="2"/>
  <c r="L49" i="2"/>
  <c r="L48" i="2"/>
  <c r="L47" i="2"/>
  <c r="L45" i="2"/>
  <c r="L44" i="2"/>
  <c r="L42" i="2"/>
  <c r="L36" i="2"/>
  <c r="L33" i="2"/>
  <c r="L31" i="2"/>
  <c r="M66" i="2"/>
  <c r="K24" i="2"/>
  <c r="K25" i="2"/>
  <c r="K26" i="2"/>
  <c r="K27" i="2"/>
  <c r="K28" i="2"/>
  <c r="K23" i="2"/>
  <c r="K22" i="2"/>
  <c r="K21" i="2" l="1"/>
  <c r="L43" i="2"/>
  <c r="L40" i="2" s="1"/>
  <c r="J72" i="2"/>
  <c r="J70" i="2" s="1"/>
  <c r="H72" i="2"/>
  <c r="M26" i="2" l="1"/>
  <c r="M27" i="2"/>
  <c r="M28" i="2"/>
  <c r="M23" i="2"/>
  <c r="M22" i="2"/>
  <c r="M86" i="2"/>
  <c r="K45" i="2"/>
  <c r="K33" i="2" l="1"/>
  <c r="K44" i="2" l="1"/>
  <c r="K49" i="2"/>
  <c r="K34" i="2" l="1"/>
  <c r="K35" i="2"/>
  <c r="K37" i="2"/>
  <c r="K38" i="2"/>
  <c r="M94" i="2"/>
  <c r="M95" i="2"/>
  <c r="M96" i="2"/>
  <c r="M93" i="2"/>
  <c r="C5" i="25"/>
  <c r="D5" i="25"/>
  <c r="E5" i="25"/>
  <c r="H43" i="2"/>
  <c r="H40" i="2" s="1"/>
  <c r="H70" i="2"/>
  <c r="H67" i="2"/>
  <c r="H65" i="2"/>
  <c r="B14" i="25"/>
  <c r="G7" i="25"/>
  <c r="G8" i="25"/>
  <c r="G9" i="25"/>
  <c r="G10" i="25"/>
  <c r="G11" i="25"/>
  <c r="G12" i="25"/>
  <c r="G13" i="25"/>
  <c r="G14" i="25"/>
  <c r="G15" i="25"/>
  <c r="G16" i="25"/>
  <c r="G17" i="25"/>
  <c r="G18" i="25"/>
  <c r="G19" i="25"/>
  <c r="G20" i="25"/>
  <c r="G21" i="25"/>
  <c r="G22" i="25"/>
  <c r="G6" i="25"/>
  <c r="F7" i="25"/>
  <c r="F8" i="25"/>
  <c r="F9" i="25"/>
  <c r="F10" i="25"/>
  <c r="F11" i="25"/>
  <c r="F12" i="25"/>
  <c r="F13" i="25"/>
  <c r="F14" i="25"/>
  <c r="F15" i="25"/>
  <c r="F16" i="25"/>
  <c r="F17" i="25"/>
  <c r="F18" i="25"/>
  <c r="F19" i="25"/>
  <c r="F20" i="25"/>
  <c r="F21" i="25"/>
  <c r="F22" i="25"/>
  <c r="E1" i="26"/>
  <c r="F1" i="26" s="1"/>
  <c r="D1" i="26"/>
  <c r="H64" i="2" l="1"/>
  <c r="G5" i="25"/>
  <c r="B5" i="25"/>
  <c r="X5" i="9"/>
  <c r="H32" i="2"/>
  <c r="I32" i="2" s="1"/>
  <c r="AF50" i="24"/>
  <c r="AC50" i="24"/>
  <c r="Z50" i="24"/>
  <c r="W50" i="24"/>
  <c r="T50" i="24"/>
  <c r="Q50" i="24"/>
  <c r="N50" i="24"/>
  <c r="K50" i="24"/>
  <c r="AE49" i="24"/>
  <c r="AF49" i="24" s="1"/>
  <c r="AC49" i="24"/>
  <c r="AB49" i="24"/>
  <c r="Y49" i="24"/>
  <c r="Z49" i="24" s="1"/>
  <c r="W49" i="24"/>
  <c r="V49" i="24"/>
  <c r="S49" i="24"/>
  <c r="T49" i="24" s="1"/>
  <c r="N49" i="24"/>
  <c r="M49" i="24"/>
  <c r="AE47" i="24"/>
  <c r="AF47" i="24" s="1"/>
  <c r="Y47" i="24"/>
  <c r="Z47" i="24" s="1"/>
  <c r="S47" i="24"/>
  <c r="T47" i="24" s="1"/>
  <c r="P47" i="24"/>
  <c r="Q47" i="24" s="1"/>
  <c r="V47" i="24" s="1"/>
  <c r="W47" i="24" s="1"/>
  <c r="AB47" i="24" s="1"/>
  <c r="AC47" i="24" s="1"/>
  <c r="M47" i="24"/>
  <c r="N47" i="24" s="1"/>
  <c r="AF46" i="24"/>
  <c r="AE46" i="24"/>
  <c r="AC46" i="24"/>
  <c r="Z46" i="24"/>
  <c r="Y46" i="24"/>
  <c r="V46" i="24"/>
  <c r="W46" i="24" s="1"/>
  <c r="T46" i="24"/>
  <c r="Q46" i="24"/>
  <c r="P46" i="24"/>
  <c r="N46" i="24"/>
  <c r="AG44" i="24"/>
  <c r="AF44" i="24"/>
  <c r="AC44" i="24"/>
  <c r="Z44" i="24"/>
  <c r="W44" i="24"/>
  <c r="T44" i="24"/>
  <c r="Q44" i="24"/>
  <c r="N44" i="24"/>
  <c r="J44" i="24"/>
  <c r="E44" i="24"/>
  <c r="F44" i="24" s="1"/>
  <c r="K44" i="24" s="1"/>
  <c r="J42" i="24"/>
  <c r="J41" i="24"/>
  <c r="AG41" i="24" s="1"/>
  <c r="F41" i="24"/>
  <c r="E41" i="24"/>
  <c r="AB40" i="24"/>
  <c r="AC40" i="24" s="1"/>
  <c r="V40" i="24"/>
  <c r="W40" i="24" s="1"/>
  <c r="S40" i="24"/>
  <c r="T40" i="24" s="1"/>
  <c r="P40" i="24"/>
  <c r="Q40" i="24" s="1"/>
  <c r="J40" i="24"/>
  <c r="F40" i="24"/>
  <c r="E40" i="24"/>
  <c r="T39" i="24"/>
  <c r="S39" i="24"/>
  <c r="J39" i="24"/>
  <c r="K39" i="24" s="1"/>
  <c r="F39" i="24"/>
  <c r="E39" i="24"/>
  <c r="J38" i="24"/>
  <c r="F38" i="24"/>
  <c r="E38" i="24"/>
  <c r="AG37" i="24"/>
  <c r="K37" i="24"/>
  <c r="J37" i="24"/>
  <c r="F37" i="24"/>
  <c r="E37" i="24"/>
  <c r="AG36" i="24"/>
  <c r="K36" i="24"/>
  <c r="J36" i="24"/>
  <c r="F36" i="24"/>
  <c r="E36" i="24"/>
  <c r="AG35" i="24"/>
  <c r="J35" i="24"/>
  <c r="F35" i="24"/>
  <c r="E35" i="24"/>
  <c r="S34" i="24"/>
  <c r="J34" i="24"/>
  <c r="F34" i="24"/>
  <c r="E34" i="24"/>
  <c r="AG33" i="24"/>
  <c r="S33" i="24"/>
  <c r="K33" i="24"/>
  <c r="J33" i="24"/>
  <c r="F33" i="24"/>
  <c r="E33" i="24"/>
  <c r="S32" i="24"/>
  <c r="J32" i="24"/>
  <c r="F32" i="24"/>
  <c r="E32" i="24"/>
  <c r="AG31" i="24"/>
  <c r="S31" i="24"/>
  <c r="J31" i="24"/>
  <c r="F31" i="24"/>
  <c r="E31" i="24"/>
  <c r="AG30" i="24"/>
  <c r="V30" i="24"/>
  <c r="W30" i="24" s="1"/>
  <c r="AB30" i="24" s="1"/>
  <c r="AC30" i="24" s="1"/>
  <c r="S30" i="24"/>
  <c r="T30" i="24" s="1"/>
  <c r="P30" i="24"/>
  <c r="Q30" i="24" s="1"/>
  <c r="J30" i="24"/>
  <c r="K30" i="24" s="1"/>
  <c r="F30" i="24"/>
  <c r="E30" i="24"/>
  <c r="AE29" i="24"/>
  <c r="AF29" i="24" s="1"/>
  <c r="AC29" i="24"/>
  <c r="Y29" i="24"/>
  <c r="Z29" i="24" s="1"/>
  <c r="W29" i="24"/>
  <c r="AB29" i="24" s="1"/>
  <c r="V29" i="24"/>
  <c r="S29" i="24"/>
  <c r="T29" i="24" s="1"/>
  <c r="Q29" i="24"/>
  <c r="P29" i="24"/>
  <c r="M29" i="24"/>
  <c r="N29" i="24" s="1"/>
  <c r="K29" i="24"/>
  <c r="J29" i="24"/>
  <c r="AG29" i="24" s="1"/>
  <c r="F29" i="24"/>
  <c r="E29" i="24"/>
  <c r="AG28" i="24"/>
  <c r="J28" i="24"/>
  <c r="S27" i="24"/>
  <c r="T27" i="24" s="1"/>
  <c r="K27" i="24"/>
  <c r="J27" i="24"/>
  <c r="AG27" i="24" s="1"/>
  <c r="F27" i="24"/>
  <c r="E27" i="24"/>
  <c r="W26" i="24"/>
  <c r="AB26" i="24" s="1"/>
  <c r="AC26" i="24" s="1"/>
  <c r="V26" i="24"/>
  <c r="S26" i="24"/>
  <c r="T26" i="24" s="1"/>
  <c r="K26" i="24"/>
  <c r="J26" i="24"/>
  <c r="AG26" i="24" s="1"/>
  <c r="F26" i="24"/>
  <c r="E26" i="24"/>
  <c r="V25" i="24"/>
  <c r="W25" i="24" s="1"/>
  <c r="AB25" i="24" s="1"/>
  <c r="AC25" i="24" s="1"/>
  <c r="T25" i="24"/>
  <c r="S25" i="24"/>
  <c r="P25" i="24"/>
  <c r="Q25" i="24" s="1"/>
  <c r="K25" i="24"/>
  <c r="J25" i="24"/>
  <c r="F25" i="24"/>
  <c r="E25" i="24"/>
  <c r="J24" i="24"/>
  <c r="F24" i="24"/>
  <c r="E24" i="24"/>
  <c r="AE23" i="24"/>
  <c r="AF23" i="24" s="1"/>
  <c r="Y23" i="24"/>
  <c r="Z23" i="24" s="1"/>
  <c r="V23" i="24"/>
  <c r="W23" i="24" s="1"/>
  <c r="AB23" i="24" s="1"/>
  <c r="AC23" i="24" s="1"/>
  <c r="S23" i="24"/>
  <c r="T23" i="24" s="1"/>
  <c r="P23" i="24"/>
  <c r="Q23" i="24" s="1"/>
  <c r="M23" i="24"/>
  <c r="N23" i="24" s="1"/>
  <c r="J23" i="24"/>
  <c r="K23" i="24" s="1"/>
  <c r="F23" i="24"/>
  <c r="E23" i="24"/>
  <c r="AE22" i="24"/>
  <c r="AE43" i="24" s="1"/>
  <c r="AE51" i="24" s="1"/>
  <c r="Y22" i="24"/>
  <c r="V22" i="24"/>
  <c r="S22" i="24"/>
  <c r="P22" i="24"/>
  <c r="M22" i="24"/>
  <c r="J22" i="24"/>
  <c r="F22" i="24"/>
  <c r="E22" i="24"/>
  <c r="T18" i="24"/>
  <c r="T14" i="24"/>
  <c r="E13" i="24"/>
  <c r="F13" i="24" s="1"/>
  <c r="V12" i="24"/>
  <c r="S12" i="24"/>
  <c r="T12" i="24" s="1"/>
  <c r="P12" i="24"/>
  <c r="M12" i="24"/>
  <c r="N12" i="24" s="1"/>
  <c r="K12" i="24"/>
  <c r="J12" i="24"/>
  <c r="E12" i="24"/>
  <c r="Q10" i="24"/>
  <c r="J10" i="24"/>
  <c r="AE8" i="24"/>
  <c r="AB8" i="24"/>
  <c r="Y8" i="24"/>
  <c r="W8" i="24"/>
  <c r="V8" i="24"/>
  <c r="S8" i="24"/>
  <c r="Q8" i="24"/>
  <c r="P8" i="24"/>
  <c r="M8" i="24"/>
  <c r="K8" i="24"/>
  <c r="K10" i="24" s="1"/>
  <c r="T17" i="24" s="1"/>
  <c r="J8" i="24"/>
  <c r="AF7" i="24"/>
  <c r="AF8" i="24" s="1"/>
  <c r="AC7" i="24"/>
  <c r="AC8" i="24" s="1"/>
  <c r="AC10" i="24" s="1"/>
  <c r="AC11" i="24" s="1"/>
  <c r="Z7" i="24"/>
  <c r="Z8" i="24" s="1"/>
  <c r="W7" i="24"/>
  <c r="T7" i="24"/>
  <c r="T8" i="24" s="1"/>
  <c r="T10" i="24" s="1"/>
  <c r="T11" i="24" s="1"/>
  <c r="Q7" i="24"/>
  <c r="N7" i="24"/>
  <c r="N8" i="24" s="1"/>
  <c r="K7" i="24"/>
  <c r="AE6" i="24"/>
  <c r="AC6" i="24"/>
  <c r="AB6" i="24"/>
  <c r="AB10" i="24" s="1"/>
  <c r="Y6" i="24"/>
  <c r="W6" i="24"/>
  <c r="V6" i="24"/>
  <c r="V10" i="24" s="1"/>
  <c r="T6" i="24"/>
  <c r="S6" i="24"/>
  <c r="S10" i="24" s="1"/>
  <c r="Q6" i="24"/>
  <c r="P6" i="24"/>
  <c r="P10" i="24" s="1"/>
  <c r="M6" i="24"/>
  <c r="M10" i="24" s="1"/>
  <c r="K6" i="24"/>
  <c r="AF5" i="24"/>
  <c r="AC5" i="24"/>
  <c r="Z5" i="24"/>
  <c r="W5" i="24"/>
  <c r="T5" i="24"/>
  <c r="Q5" i="24"/>
  <c r="N5" i="24"/>
  <c r="N6" i="24" s="1"/>
  <c r="K5" i="24"/>
  <c r="AF4" i="24"/>
  <c r="AC4" i="24"/>
  <c r="Z4" i="24"/>
  <c r="W4" i="24"/>
  <c r="T4" i="24"/>
  <c r="Q4" i="24"/>
  <c r="N4" i="24"/>
  <c r="K4" i="24"/>
  <c r="B4" i="24"/>
  <c r="AF2" i="24"/>
  <c r="AC2" i="24"/>
  <c r="Z2" i="24"/>
  <c r="W2" i="24"/>
  <c r="T2" i="24"/>
  <c r="Q2" i="24"/>
  <c r="N2" i="24"/>
  <c r="K2" i="24"/>
  <c r="S21" i="24" l="1"/>
  <c r="S19" i="24"/>
  <c r="S20" i="24" s="1"/>
  <c r="Q19" i="24"/>
  <c r="Q18" i="24"/>
  <c r="Q17" i="24"/>
  <c r="Q16" i="24"/>
  <c r="Q15" i="24"/>
  <c r="Q14" i="24"/>
  <c r="Q11" i="24"/>
  <c r="T16" i="24"/>
  <c r="AE12" i="24"/>
  <c r="AF6" i="24"/>
  <c r="AE10" i="24"/>
  <c r="AF10" i="24"/>
  <c r="AF11" i="24" s="1"/>
  <c r="W10" i="24"/>
  <c r="W11" i="24" s="1"/>
  <c r="M19" i="24"/>
  <c r="M20" i="24" s="1"/>
  <c r="M21" i="24"/>
  <c r="W19" i="24"/>
  <c r="K19" i="24"/>
  <c r="K11" i="24"/>
  <c r="W18" i="24"/>
  <c r="K18" i="24"/>
  <c r="W17" i="24"/>
  <c r="K17" i="24"/>
  <c r="W16" i="24"/>
  <c r="K16" i="24"/>
  <c r="W15" i="24"/>
  <c r="K15" i="24"/>
  <c r="W14" i="24"/>
  <c r="K14" i="24"/>
  <c r="K20" i="24" s="1"/>
  <c r="T19" i="24"/>
  <c r="AC18" i="24"/>
  <c r="AC17" i="24"/>
  <c r="AC16" i="24"/>
  <c r="AC15" i="24"/>
  <c r="AC14" i="24"/>
  <c r="T15" i="24"/>
  <c r="T20" i="24" s="1"/>
  <c r="T21" i="24" s="1"/>
  <c r="Q22" i="24"/>
  <c r="Q43" i="24" s="1"/>
  <c r="Q51" i="24" s="1"/>
  <c r="P43" i="24"/>
  <c r="P51" i="24" s="1"/>
  <c r="AG32" i="24"/>
  <c r="K32" i="24"/>
  <c r="AG38" i="24"/>
  <c r="K38" i="24"/>
  <c r="AG40" i="24"/>
  <c r="K40" i="24"/>
  <c r="Y12" i="24"/>
  <c r="Z6" i="24"/>
  <c r="S43" i="24"/>
  <c r="S51" i="24" s="1"/>
  <c r="N10" i="24"/>
  <c r="Z10" i="24"/>
  <c r="Z11" i="24" s="1"/>
  <c r="W12" i="24"/>
  <c r="K22" i="24"/>
  <c r="J43" i="24"/>
  <c r="J51" i="24" s="1"/>
  <c r="W22" i="24"/>
  <c r="V43" i="24"/>
  <c r="V51" i="24" s="1"/>
  <c r="AG34" i="24"/>
  <c r="K34" i="24"/>
  <c r="P19" i="24"/>
  <c r="P20" i="24" s="1"/>
  <c r="P21" i="24" s="1"/>
  <c r="P52" i="24" s="1"/>
  <c r="P53" i="24" s="1"/>
  <c r="V19" i="24"/>
  <c r="V20" i="24" s="1"/>
  <c r="V21" i="24" s="1"/>
  <c r="Y10" i="24"/>
  <c r="J20" i="24"/>
  <c r="J21" i="24" s="1"/>
  <c r="Q12" i="24"/>
  <c r="M43" i="24"/>
  <c r="M51" i="24" s="1"/>
  <c r="Y43" i="24"/>
  <c r="Y51" i="24" s="1"/>
  <c r="AG39" i="24"/>
  <c r="J19" i="24"/>
  <c r="K41" i="24"/>
  <c r="N22" i="24"/>
  <c r="N43" i="24" s="1"/>
  <c r="N51" i="24" s="1"/>
  <c r="T22" i="24"/>
  <c r="T43" i="24" s="1"/>
  <c r="T51" i="24" s="1"/>
  <c r="Z22" i="24"/>
  <c r="Z43" i="24" s="1"/>
  <c r="Z51" i="24" s="1"/>
  <c r="AF22" i="24"/>
  <c r="AF43" i="24" s="1"/>
  <c r="AF51" i="24" s="1"/>
  <c r="V52" i="24" l="1"/>
  <c r="V53" i="24" s="1"/>
  <c r="V55" i="24"/>
  <c r="V56" i="24" s="1"/>
  <c r="J55" i="24"/>
  <c r="J52" i="24"/>
  <c r="J53" i="24" s="1"/>
  <c r="T55" i="24"/>
  <c r="T52" i="24"/>
  <c r="T53" i="24" s="1"/>
  <c r="M56" i="24"/>
  <c r="J56" i="24"/>
  <c r="Z12" i="24"/>
  <c r="Y20" i="24"/>
  <c r="K21" i="24"/>
  <c r="M55" i="24"/>
  <c r="M52" i="24"/>
  <c r="M53" i="24" s="1"/>
  <c r="AF12" i="24"/>
  <c r="Q20" i="24"/>
  <c r="Q56" i="24" s="1"/>
  <c r="K43" i="24"/>
  <c r="K51" i="24" s="1"/>
  <c r="Z18" i="24"/>
  <c r="N18" i="24"/>
  <c r="Z17" i="24"/>
  <c r="N17" i="24"/>
  <c r="Z16" i="24"/>
  <c r="N16" i="24"/>
  <c r="Z15" i="24"/>
  <c r="N15" i="24"/>
  <c r="Z14" i="24"/>
  <c r="N14" i="24"/>
  <c r="AF19" i="24"/>
  <c r="AF18" i="24"/>
  <c r="AF17" i="24"/>
  <c r="AF16" i="24"/>
  <c r="AF15" i="24"/>
  <c r="AF14" i="24"/>
  <c r="N11" i="24"/>
  <c r="Z19" i="24"/>
  <c r="N19" i="24"/>
  <c r="T56" i="24"/>
  <c r="W20" i="24"/>
  <c r="W21" i="24" s="1"/>
  <c r="AB12" i="24"/>
  <c r="AE19" i="24"/>
  <c r="AE20" i="24" s="1"/>
  <c r="AE21" i="24" s="1"/>
  <c r="Q21" i="24"/>
  <c r="Q52" i="24" s="1"/>
  <c r="Q53" i="24" s="1"/>
  <c r="S55" i="24"/>
  <c r="S52" i="24"/>
  <c r="S53" i="24" s="1"/>
  <c r="Y19" i="24"/>
  <c r="Y21" i="24"/>
  <c r="W43" i="24"/>
  <c r="W51" i="24" s="1"/>
  <c r="AB22" i="24"/>
  <c r="S56" i="24"/>
  <c r="P56" i="24"/>
  <c r="AE55" i="24" l="1"/>
  <c r="AE56" i="24" s="1"/>
  <c r="AE52" i="24"/>
  <c r="AE53" i="24" s="1"/>
  <c r="W52" i="24"/>
  <c r="W53" i="24" s="1"/>
  <c r="W55" i="24"/>
  <c r="AB43" i="24"/>
  <c r="AB51" i="24" s="1"/>
  <c r="AC22" i="24"/>
  <c r="AC43" i="24" s="1"/>
  <c r="AC51" i="24" s="1"/>
  <c r="N20" i="24"/>
  <c r="W56" i="24"/>
  <c r="N21" i="24"/>
  <c r="Z20" i="24"/>
  <c r="Z21" i="24" s="1"/>
  <c r="Y55" i="24"/>
  <c r="Y56" i="24" s="1"/>
  <c r="Y52" i="24"/>
  <c r="Y53" i="24" s="1"/>
  <c r="K56" i="24"/>
  <c r="AF20" i="24"/>
  <c r="AF21" i="24" s="1"/>
  <c r="K55" i="24"/>
  <c r="K52" i="24"/>
  <c r="K53" i="24" s="1"/>
  <c r="AB19" i="24"/>
  <c r="AB20" i="24" s="1"/>
  <c r="AB21" i="24" s="1"/>
  <c r="AC19" i="24"/>
  <c r="AC12" i="24"/>
  <c r="AB52" i="24" l="1"/>
  <c r="AB53" i="24" s="1"/>
  <c r="AB55" i="24"/>
  <c r="AB56" i="24" s="1"/>
  <c r="AC20" i="24"/>
  <c r="AC21" i="24" s="1"/>
  <c r="AF55" i="24"/>
  <c r="AF56" i="24" s="1"/>
  <c r="AF52" i="24"/>
  <c r="AF53" i="24" s="1"/>
  <c r="Z55" i="24"/>
  <c r="Z56" i="24" s="1"/>
  <c r="Z52" i="24"/>
  <c r="Z53" i="24" s="1"/>
  <c r="N55" i="24"/>
  <c r="N56" i="24" s="1"/>
  <c r="N52" i="24"/>
  <c r="N53" i="24" s="1"/>
  <c r="AC52" i="24" l="1"/>
  <c r="AC53" i="24" s="1"/>
  <c r="AC55" i="24"/>
  <c r="AC56" i="24" s="1"/>
  <c r="F6" i="21" l="1"/>
  <c r="D28" i="21" l="1"/>
  <c r="E28" i="21"/>
  <c r="C28" i="21"/>
  <c r="F15" i="21" l="1"/>
  <c r="E4" i="21" l="1"/>
  <c r="D4" i="21"/>
  <c r="F34" i="21"/>
  <c r="B34" i="21"/>
  <c r="B28" i="21" s="1"/>
  <c r="G29" i="21"/>
  <c r="G30" i="21"/>
  <c r="G31" i="21"/>
  <c r="G32" i="21"/>
  <c r="G33" i="21"/>
  <c r="G34" i="21"/>
  <c r="G35" i="21"/>
  <c r="G36" i="21"/>
  <c r="G37" i="21"/>
  <c r="G38" i="21"/>
  <c r="G39" i="21"/>
  <c r="G40" i="21"/>
  <c r="G41" i="21"/>
  <c r="G42" i="21"/>
  <c r="F40" i="21"/>
  <c r="F41" i="21"/>
  <c r="F42" i="21"/>
  <c r="F30" i="21"/>
  <c r="F31" i="21"/>
  <c r="F32" i="21"/>
  <c r="F33" i="21"/>
  <c r="F35" i="21"/>
  <c r="F36" i="21"/>
  <c r="F37" i="21"/>
  <c r="F38" i="21"/>
  <c r="F39" i="21"/>
  <c r="F29" i="21"/>
  <c r="G6" i="21"/>
  <c r="G5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F20" i="21"/>
  <c r="F21" i="21"/>
  <c r="F22" i="21"/>
  <c r="F23" i="21"/>
  <c r="F7" i="21"/>
  <c r="F8" i="21"/>
  <c r="F9" i="21"/>
  <c r="F10" i="21"/>
  <c r="F11" i="21"/>
  <c r="F12" i="21"/>
  <c r="F13" i="21"/>
  <c r="F14" i="21"/>
  <c r="F16" i="21"/>
  <c r="F17" i="21"/>
  <c r="F18" i="21"/>
  <c r="F19" i="21"/>
  <c r="F5" i="21"/>
  <c r="X42" i="8"/>
  <c r="X43" i="8"/>
  <c r="V42" i="8"/>
  <c r="J78" i="2"/>
  <c r="H78" i="2"/>
  <c r="F78" i="2"/>
  <c r="H58" i="2"/>
  <c r="H53" i="2"/>
  <c r="H83" i="2"/>
  <c r="G28" i="21" l="1"/>
  <c r="F28" i="21"/>
  <c r="E25" i="21"/>
  <c r="H63" i="2"/>
  <c r="F83" i="2"/>
  <c r="F32" i="2"/>
  <c r="F43" i="2"/>
  <c r="H52" i="2"/>
  <c r="H57" i="2"/>
  <c r="H16" i="2"/>
  <c r="H24" i="2"/>
  <c r="F70" i="2"/>
  <c r="F14" i="2"/>
  <c r="F6" i="2"/>
  <c r="F4" i="2" s="1"/>
  <c r="H21" i="2" l="1"/>
  <c r="M24" i="2"/>
  <c r="G44" i="21"/>
  <c r="F4" i="21" l="1"/>
  <c r="C4" i="21"/>
  <c r="B4" i="21"/>
  <c r="M41" i="2"/>
  <c r="M15" i="2"/>
  <c r="M9" i="2"/>
  <c r="M7" i="2"/>
  <c r="J14" i="2"/>
  <c r="M97" i="2"/>
  <c r="M92" i="2"/>
  <c r="M91" i="2"/>
  <c r="M90" i="2"/>
  <c r="M85" i="2"/>
  <c r="J84" i="2"/>
  <c r="J83" i="2" s="1"/>
  <c r="M77" i="2"/>
  <c r="M76" i="2"/>
  <c r="M75" i="2"/>
  <c r="M74" i="2"/>
  <c r="M72" i="2"/>
  <c r="M71" i="2"/>
  <c r="M69" i="2"/>
  <c r="M68" i="2"/>
  <c r="M62" i="2"/>
  <c r="M61" i="2"/>
  <c r="M60" i="2"/>
  <c r="M54" i="2"/>
  <c r="M49" i="2"/>
  <c r="L38" i="2"/>
  <c r="L37" i="2"/>
  <c r="L35" i="2"/>
  <c r="L34" i="2"/>
  <c r="L87" i="2" l="1"/>
  <c r="L54" i="2"/>
  <c r="L53" i="2"/>
  <c r="L55" i="2"/>
  <c r="L56" i="2"/>
  <c r="L76" i="2"/>
  <c r="L68" i="2"/>
  <c r="L85" i="2"/>
  <c r="L73" i="2"/>
  <c r="L77" i="2"/>
  <c r="L66" i="2"/>
  <c r="L65" i="2" s="1"/>
  <c r="L86" i="2"/>
  <c r="L74" i="2"/>
  <c r="L71" i="2"/>
  <c r="L75" i="2"/>
  <c r="L69" i="2"/>
  <c r="L72" i="2"/>
  <c r="L84" i="2"/>
  <c r="K48" i="2"/>
  <c r="K46" i="2"/>
  <c r="M50" i="2"/>
  <c r="K50" i="2"/>
  <c r="K36" i="2"/>
  <c r="L39" i="2"/>
  <c r="L32" i="2" s="1"/>
  <c r="K39" i="2"/>
  <c r="K47" i="2"/>
  <c r="M51" i="2"/>
  <c r="K51" i="2"/>
  <c r="E44" i="21"/>
  <c r="M84" i="2"/>
  <c r="M83" i="2" s="1"/>
  <c r="M44" i="2"/>
  <c r="J43" i="2"/>
  <c r="J40" i="2" s="1"/>
  <c r="J67" i="2"/>
  <c r="G4" i="21"/>
  <c r="G25" i="21" s="1"/>
  <c r="M42" i="2"/>
  <c r="M48" i="2"/>
  <c r="M33" i="2"/>
  <c r="M37" i="2"/>
  <c r="M46" i="2"/>
  <c r="M47" i="2"/>
  <c r="M34" i="2"/>
  <c r="M38" i="2"/>
  <c r="M31" i="2"/>
  <c r="M35" i="2"/>
  <c r="M39" i="2"/>
  <c r="M36" i="2"/>
  <c r="M45" i="2"/>
  <c r="K30" i="2" l="1"/>
  <c r="K41" i="2"/>
  <c r="L67" i="2"/>
  <c r="K29" i="2"/>
  <c r="L70" i="2"/>
  <c r="G21" i="2"/>
  <c r="J21" i="2"/>
  <c r="M67" i="2"/>
  <c r="M43" i="2"/>
  <c r="I42" i="2"/>
  <c r="I41" i="2"/>
  <c r="I49" i="2"/>
  <c r="I46" i="2"/>
  <c r="I47" i="2"/>
  <c r="I48" i="2"/>
  <c r="I50" i="2"/>
  <c r="I51" i="2"/>
  <c r="I44" i="2"/>
  <c r="I45" i="2"/>
  <c r="H6" i="2"/>
  <c r="H4" i="2" s="1"/>
  <c r="I31" i="2"/>
  <c r="I30" i="2" s="1"/>
  <c r="I33" i="2"/>
  <c r="I34" i="2"/>
  <c r="I35" i="2"/>
  <c r="I36" i="2"/>
  <c r="I37" i="2"/>
  <c r="I38" i="2"/>
  <c r="I39" i="2"/>
  <c r="V49" i="8"/>
  <c r="J151" i="8"/>
  <c r="K40" i="2" l="1"/>
  <c r="K20" i="2" s="1"/>
  <c r="L64" i="2"/>
  <c r="L63" i="2" s="1"/>
  <c r="I11" i="2"/>
  <c r="I12" i="2"/>
  <c r="M21" i="2"/>
  <c r="I43" i="2"/>
  <c r="I40" i="2" s="1"/>
  <c r="I9" i="2"/>
  <c r="F30" i="2"/>
  <c r="J30" i="2"/>
  <c r="H30" i="2"/>
  <c r="H29" i="2" s="1"/>
  <c r="H20" i="2" s="1"/>
  <c r="M70" i="2"/>
  <c r="F67" i="2"/>
  <c r="J65" i="2"/>
  <c r="F65" i="2"/>
  <c r="J58" i="2"/>
  <c r="F58" i="2"/>
  <c r="F57" i="2" s="1"/>
  <c r="J52" i="2"/>
  <c r="M52" i="2" s="1"/>
  <c r="F53" i="2"/>
  <c r="F52" i="2" s="1"/>
  <c r="F40" i="2"/>
  <c r="J32" i="2"/>
  <c r="F21" i="2"/>
  <c r="J16" i="2"/>
  <c r="J3" i="2" s="1"/>
  <c r="F16" i="2"/>
  <c r="F3" i="2" s="1"/>
  <c r="M6" i="2"/>
  <c r="H14" i="2"/>
  <c r="J5" i="8"/>
  <c r="F12" i="8"/>
  <c r="M65" i="2" l="1"/>
  <c r="J64" i="2"/>
  <c r="J63" i="2" s="1"/>
  <c r="I72" i="2"/>
  <c r="I76" i="2"/>
  <c r="I68" i="2"/>
  <c r="I74" i="2"/>
  <c r="I69" i="2"/>
  <c r="I66" i="2"/>
  <c r="I65" i="2" s="1"/>
  <c r="I73" i="2"/>
  <c r="I77" i="2"/>
  <c r="I71" i="2"/>
  <c r="I75" i="2"/>
  <c r="H3" i="2"/>
  <c r="H81" i="2" s="1"/>
  <c r="H89" i="2" s="1"/>
  <c r="H98" i="2" s="1"/>
  <c r="M14" i="2"/>
  <c r="M53" i="2"/>
  <c r="L30" i="2"/>
  <c r="L29" i="2" s="1"/>
  <c r="M30" i="2"/>
  <c r="J57" i="2"/>
  <c r="M57" i="2" s="1"/>
  <c r="M58" i="2"/>
  <c r="M32" i="2"/>
  <c r="I84" i="2"/>
  <c r="I85" i="2"/>
  <c r="I29" i="2"/>
  <c r="I7" i="2"/>
  <c r="I6" i="2" s="1"/>
  <c r="F64" i="2"/>
  <c r="F63" i="2" s="1"/>
  <c r="F29" i="2"/>
  <c r="J29" i="2"/>
  <c r="W5" i="8"/>
  <c r="N13" i="8"/>
  <c r="Q13" i="8" s="1"/>
  <c r="V13" i="8" s="1"/>
  <c r="X13" i="8" s="1"/>
  <c r="F13" i="8"/>
  <c r="R5" i="8"/>
  <c r="T5" i="8"/>
  <c r="U5" i="8"/>
  <c r="G5" i="8"/>
  <c r="H5" i="8"/>
  <c r="I5" i="8"/>
  <c r="N12" i="8"/>
  <c r="Q12" i="8" s="1"/>
  <c r="V12" i="8" s="1"/>
  <c r="J52" i="8"/>
  <c r="K52" i="8"/>
  <c r="L52" i="8"/>
  <c r="M52" i="8"/>
  <c r="V132" i="9"/>
  <c r="S132" i="9"/>
  <c r="R132" i="9"/>
  <c r="Q132" i="9"/>
  <c r="P132" i="9"/>
  <c r="M132" i="9"/>
  <c r="X17" i="9"/>
  <c r="X16" i="9" s="1"/>
  <c r="M97" i="9"/>
  <c r="M88" i="9"/>
  <c r="N189" i="8"/>
  <c r="M96" i="9"/>
  <c r="M198" i="8"/>
  <c r="V44" i="9"/>
  <c r="V83" i="9"/>
  <c r="V108" i="9"/>
  <c r="M99" i="9"/>
  <c r="I67" i="2" l="1"/>
  <c r="I70" i="2"/>
  <c r="I64" i="2" s="1"/>
  <c r="I63" i="2" s="1"/>
  <c r="H99" i="2"/>
  <c r="F20" i="2"/>
  <c r="J20" i="2"/>
  <c r="Y13" i="8"/>
  <c r="X12" i="8"/>
  <c r="Y12" i="8" s="1"/>
  <c r="R88" i="9"/>
  <c r="S88" i="9" s="1"/>
  <c r="Q96" i="9"/>
  <c r="S96" i="9" s="1"/>
  <c r="X96" i="9" s="1"/>
  <c r="Q97" i="9"/>
  <c r="S97" i="9" s="1"/>
  <c r="X97" i="9" s="1"/>
  <c r="Q99" i="9"/>
  <c r="S99" i="9" s="1"/>
  <c r="T99" i="9" s="1"/>
  <c r="X99" i="9" s="1"/>
  <c r="W97" i="9" l="1"/>
  <c r="X95" i="9"/>
  <c r="T88" i="9"/>
  <c r="X88" i="9" s="1"/>
  <c r="W88" i="9" s="1"/>
  <c r="W84" i="9" s="1"/>
  <c r="W96" i="9"/>
  <c r="U151" i="8"/>
  <c r="J97" i="8"/>
  <c r="J102" i="8"/>
  <c r="N169" i="8"/>
  <c r="N167" i="8"/>
  <c r="P167" i="8" s="1"/>
  <c r="Q167" i="8" s="1"/>
  <c r="V167" i="8" s="1"/>
  <c r="X167" i="8" s="1"/>
  <c r="Y167" i="8" s="1"/>
  <c r="N168" i="8"/>
  <c r="P168" i="8" s="1"/>
  <c r="Q168" i="8" s="1"/>
  <c r="V168" i="8" s="1"/>
  <c r="J92" i="8" l="1"/>
  <c r="W95" i="9"/>
  <c r="P169" i="8"/>
  <c r="Q169" i="8" s="1"/>
  <c r="V169" i="8" s="1"/>
  <c r="X169" i="8" s="1"/>
  <c r="Y169" i="8" s="1"/>
  <c r="N104" i="8"/>
  <c r="N105" i="8"/>
  <c r="O105" i="8" s="1"/>
  <c r="N106" i="8"/>
  <c r="O106" i="8" s="1"/>
  <c r="N107" i="8"/>
  <c r="O107" i="8" s="1"/>
  <c r="N108" i="8"/>
  <c r="O108" i="8" s="1"/>
  <c r="F104" i="8"/>
  <c r="F105" i="8"/>
  <c r="F106" i="8"/>
  <c r="F107" i="8"/>
  <c r="F108" i="8"/>
  <c r="L158" i="8"/>
  <c r="N70" i="8"/>
  <c r="P70" i="8" s="1"/>
  <c r="Q70" i="8" s="1"/>
  <c r="V70" i="8" s="1"/>
  <c r="X70" i="8" s="1"/>
  <c r="Y70" i="8" s="1"/>
  <c r="N71" i="8"/>
  <c r="P71" i="8" s="1"/>
  <c r="N74" i="8"/>
  <c r="P74" i="8" s="1"/>
  <c r="N73" i="8"/>
  <c r="P73" i="8" s="1"/>
  <c r="O52" i="8"/>
  <c r="R52" i="8"/>
  <c r="S52" i="8"/>
  <c r="T52" i="8"/>
  <c r="U52" i="8"/>
  <c r="N72" i="8"/>
  <c r="P72" i="8" s="1"/>
  <c r="N166" i="8"/>
  <c r="P166" i="8" s="1"/>
  <c r="N165" i="8"/>
  <c r="P165" i="8" s="1"/>
  <c r="F97" i="8"/>
  <c r="N97" i="8"/>
  <c r="O97" i="8" s="1"/>
  <c r="N69" i="8"/>
  <c r="P69" i="8" s="1"/>
  <c r="Q108" i="8" l="1"/>
  <c r="V108" i="8" s="1"/>
  <c r="X108" i="8" s="1"/>
  <c r="Y108" i="8" s="1"/>
  <c r="Q107" i="8"/>
  <c r="V107" i="8" s="1"/>
  <c r="X107" i="8" s="1"/>
  <c r="Y107" i="8" s="1"/>
  <c r="O104" i="8"/>
  <c r="Q104" i="8" s="1"/>
  <c r="V104" i="8" s="1"/>
  <c r="X104" i="8" s="1"/>
  <c r="Y104" i="8" s="1"/>
  <c r="Q106" i="8"/>
  <c r="V106" i="8" s="1"/>
  <c r="X106" i="8" s="1"/>
  <c r="Y106" i="8" s="1"/>
  <c r="Q105" i="8"/>
  <c r="V105" i="8" s="1"/>
  <c r="X105" i="8" s="1"/>
  <c r="Y105" i="8" s="1"/>
  <c r="Q71" i="8"/>
  <c r="V71" i="8" s="1"/>
  <c r="X71" i="8" s="1"/>
  <c r="Y71" i="8" s="1"/>
  <c r="Q74" i="8"/>
  <c r="V74" i="8" s="1"/>
  <c r="X74" i="8" s="1"/>
  <c r="Y74" i="8" s="1"/>
  <c r="Q73" i="8"/>
  <c r="V73" i="8" s="1"/>
  <c r="Q165" i="8"/>
  <c r="V165" i="8" s="1"/>
  <c r="X165" i="8" s="1"/>
  <c r="Y165" i="8" s="1"/>
  <c r="Q72" i="8"/>
  <c r="V72" i="8" s="1"/>
  <c r="X72" i="8" s="1"/>
  <c r="Y72" i="8" s="1"/>
  <c r="Q166" i="8"/>
  <c r="V166" i="8" s="1"/>
  <c r="X166" i="8" s="1"/>
  <c r="Y166" i="8" s="1"/>
  <c r="Q97" i="8"/>
  <c r="V97" i="8" s="1"/>
  <c r="X97" i="8" s="1"/>
  <c r="Y97" i="8" s="1"/>
  <c r="Q69" i="8"/>
  <c r="V69" i="8" s="1"/>
  <c r="X69" i="8" s="1"/>
  <c r="Y69" i="8" s="1"/>
  <c r="Y27" i="8"/>
  <c r="N164" i="8"/>
  <c r="P164" i="8" s="1"/>
  <c r="Q164" i="8" s="1"/>
  <c r="V164" i="8" s="1"/>
  <c r="X164" i="8" s="1"/>
  <c r="Y164" i="8" s="1"/>
  <c r="T80" i="9"/>
  <c r="U44" i="9"/>
  <c r="W44" i="9"/>
  <c r="U41" i="9"/>
  <c r="U132" i="9" s="1"/>
  <c r="W41" i="9"/>
  <c r="U34" i="9"/>
  <c r="W34" i="9"/>
  <c r="U30" i="9"/>
  <c r="W30" i="9"/>
  <c r="U25" i="9"/>
  <c r="W25" i="9"/>
  <c r="U108" i="9"/>
  <c r="W108" i="9"/>
  <c r="S3" i="9"/>
  <c r="T5" i="9"/>
  <c r="T43" i="9"/>
  <c r="X43" i="9" s="1"/>
  <c r="K33" i="9"/>
  <c r="M33" i="9" s="1"/>
  <c r="S33" i="9" s="1"/>
  <c r="K32" i="9"/>
  <c r="M32" i="9" s="1"/>
  <c r="S32" i="9" s="1"/>
  <c r="K31" i="9"/>
  <c r="M31" i="9" s="1"/>
  <c r="S31" i="9" s="1"/>
  <c r="T29" i="9"/>
  <c r="M42" i="9"/>
  <c r="R42" i="9" s="1"/>
  <c r="T42" i="9" s="1"/>
  <c r="V24" i="9" l="1"/>
  <c r="U24" i="9"/>
  <c r="T41" i="9"/>
  <c r="T132" i="9" s="1"/>
  <c r="X42" i="9"/>
  <c r="X41" i="9" s="1"/>
  <c r="X73" i="8"/>
  <c r="T33" i="9"/>
  <c r="X33" i="9" s="1"/>
  <c r="T32" i="9"/>
  <c r="X32" i="9" s="1"/>
  <c r="T31" i="9"/>
  <c r="S42" i="9"/>
  <c r="X31" i="9" l="1"/>
  <c r="X30" i="9" s="1"/>
  <c r="T30" i="9"/>
  <c r="Y73" i="8"/>
  <c r="E35" i="9"/>
  <c r="M35" i="9" s="1"/>
  <c r="R35" i="9" s="1"/>
  <c r="M36" i="9"/>
  <c r="M37" i="9"/>
  <c r="M38" i="9"/>
  <c r="R38" i="9" s="1"/>
  <c r="T38" i="9" s="1"/>
  <c r="X38" i="9" s="1"/>
  <c r="M39" i="9"/>
  <c r="R39" i="9" s="1"/>
  <c r="T39" i="9" s="1"/>
  <c r="X39" i="9" s="1"/>
  <c r="M40" i="9"/>
  <c r="R40" i="9" s="1"/>
  <c r="T40" i="9" s="1"/>
  <c r="X40" i="9" s="1"/>
  <c r="R36" i="9" l="1"/>
  <c r="T36" i="9" s="1"/>
  <c r="X36" i="9" s="1"/>
  <c r="S35" i="9"/>
  <c r="T35" i="9"/>
  <c r="S40" i="9"/>
  <c r="S39" i="9"/>
  <c r="S38" i="9"/>
  <c r="R37" i="9"/>
  <c r="X35" i="9" l="1"/>
  <c r="S37" i="9"/>
  <c r="T37" i="9"/>
  <c r="S36" i="9"/>
  <c r="N102" i="8"/>
  <c r="O102" i="8" s="1"/>
  <c r="N103" i="8"/>
  <c r="O103" i="8" s="1"/>
  <c r="F102" i="8"/>
  <c r="F103" i="8"/>
  <c r="N163" i="8"/>
  <c r="P163" i="8" s="1"/>
  <c r="Q163" i="8" s="1"/>
  <c r="V163" i="8" s="1"/>
  <c r="X163" i="8" s="1"/>
  <c r="Y163" i="8" s="1"/>
  <c r="O117" i="8"/>
  <c r="Q117" i="8"/>
  <c r="R117" i="8"/>
  <c r="S117" i="8"/>
  <c r="T117" i="8"/>
  <c r="U117" i="8"/>
  <c r="P120" i="8"/>
  <c r="R120" i="8"/>
  <c r="S120" i="8"/>
  <c r="T120" i="8"/>
  <c r="U120" i="8"/>
  <c r="P123" i="8"/>
  <c r="R123" i="8"/>
  <c r="S123" i="8"/>
  <c r="T123" i="8"/>
  <c r="U123" i="8"/>
  <c r="N144" i="8"/>
  <c r="O144" i="8"/>
  <c r="P144" i="8"/>
  <c r="Q144" i="8"/>
  <c r="R144" i="8"/>
  <c r="S144" i="8"/>
  <c r="T144" i="8"/>
  <c r="U144" i="8"/>
  <c r="V144" i="8"/>
  <c r="P171" i="8"/>
  <c r="R171" i="8"/>
  <c r="S171" i="8"/>
  <c r="T171" i="8"/>
  <c r="U171" i="8"/>
  <c r="P148" i="8"/>
  <c r="R148" i="8"/>
  <c r="S148" i="8"/>
  <c r="T148" i="8"/>
  <c r="U148" i="8"/>
  <c r="O151" i="8"/>
  <c r="R151" i="8"/>
  <c r="S151" i="8"/>
  <c r="T151" i="8"/>
  <c r="N161" i="8"/>
  <c r="P161" i="8" s="1"/>
  <c r="N162" i="8"/>
  <c r="P162" i="8" s="1"/>
  <c r="Q162" i="8" s="1"/>
  <c r="V162" i="8" s="1"/>
  <c r="X162" i="8" s="1"/>
  <c r="Y162" i="8" s="1"/>
  <c r="L161" i="8"/>
  <c r="L162" i="8"/>
  <c r="N160" i="8"/>
  <c r="N155" i="8"/>
  <c r="N156" i="8"/>
  <c r="N157" i="8"/>
  <c r="P157" i="8" s="1"/>
  <c r="N158" i="8"/>
  <c r="N159" i="8"/>
  <c r="P159" i="8" s="1"/>
  <c r="N154" i="8"/>
  <c r="P154" i="8" s="1"/>
  <c r="N153" i="8"/>
  <c r="L155" i="8"/>
  <c r="L156" i="8"/>
  <c r="L157" i="8"/>
  <c r="L159" i="8"/>
  <c r="L160" i="8"/>
  <c r="L154" i="8"/>
  <c r="X113" i="8"/>
  <c r="Y113" i="8" s="1"/>
  <c r="X37" i="9" l="1"/>
  <c r="T34" i="9"/>
  <c r="Q103" i="8"/>
  <c r="V103" i="8" s="1"/>
  <c r="X103" i="8" s="1"/>
  <c r="Y103" i="8" s="1"/>
  <c r="Q102" i="8"/>
  <c r="V102" i="8" s="1"/>
  <c r="X102" i="8" s="1"/>
  <c r="Q161" i="8"/>
  <c r="V161" i="8" s="1"/>
  <c r="X161" i="8" s="1"/>
  <c r="Y161" i="8" s="1"/>
  <c r="U116" i="8"/>
  <c r="T116" i="8"/>
  <c r="S116" i="8"/>
  <c r="R116" i="8"/>
  <c r="P158" i="8"/>
  <c r="Q158" i="8" s="1"/>
  <c r="V158" i="8" s="1"/>
  <c r="X158" i="8" s="1"/>
  <c r="Y158" i="8" s="1"/>
  <c r="Q157" i="8"/>
  <c r="V157" i="8" s="1"/>
  <c r="X157" i="8" s="1"/>
  <c r="Y157" i="8" s="1"/>
  <c r="P160" i="8"/>
  <c r="Q160" i="8" s="1"/>
  <c r="V160" i="8" s="1"/>
  <c r="X160" i="8" s="1"/>
  <c r="Y160" i="8" s="1"/>
  <c r="Q159" i="8"/>
  <c r="V159" i="8" s="1"/>
  <c r="X159" i="8" s="1"/>
  <c r="Y159" i="8" s="1"/>
  <c r="Q154" i="8"/>
  <c r="V154" i="8" s="1"/>
  <c r="M101" i="8"/>
  <c r="N101" i="8" s="1"/>
  <c r="M100" i="8"/>
  <c r="N100" i="8" s="1"/>
  <c r="O100" i="8" s="1"/>
  <c r="F100" i="8"/>
  <c r="F101" i="8"/>
  <c r="N28" i="8"/>
  <c r="X34" i="9" l="1"/>
  <c r="Y102" i="8"/>
  <c r="O101" i="8"/>
  <c r="Q101" i="8" s="1"/>
  <c r="V101" i="8" s="1"/>
  <c r="X101" i="8" s="1"/>
  <c r="Y101" i="8" s="1"/>
  <c r="Q100" i="8"/>
  <c r="V100" i="8" s="1"/>
  <c r="X100" i="8" s="1"/>
  <c r="Y100" i="8" s="1"/>
  <c r="J38" i="8"/>
  <c r="N38" i="8" s="1"/>
  <c r="J39" i="8"/>
  <c r="J40" i="8"/>
  <c r="N33" i="8" l="1"/>
  <c r="N34" i="8"/>
  <c r="N35" i="8"/>
  <c r="N36" i="8"/>
  <c r="N37" i="8"/>
  <c r="N39" i="8"/>
  <c r="N40" i="8"/>
  <c r="N29" i="8"/>
  <c r="Q29" i="8" s="1"/>
  <c r="N30" i="8"/>
  <c r="N31" i="8"/>
  <c r="N32" i="8"/>
  <c r="X117" i="8"/>
  <c r="Q76" i="8"/>
  <c r="R76" i="8"/>
  <c r="S76" i="8"/>
  <c r="T76" i="8"/>
  <c r="U76" i="8"/>
  <c r="Q16" i="8"/>
  <c r="Q21" i="8"/>
  <c r="R21" i="8"/>
  <c r="S21" i="8"/>
  <c r="T21" i="8"/>
  <c r="U21" i="8"/>
  <c r="R24" i="8"/>
  <c r="S24" i="8"/>
  <c r="T24" i="8"/>
  <c r="U24" i="8"/>
  <c r="R42" i="8"/>
  <c r="S42" i="8"/>
  <c r="T42" i="8"/>
  <c r="U42" i="8"/>
  <c r="R16" i="8"/>
  <c r="S16" i="8"/>
  <c r="T16" i="8"/>
  <c r="U16" i="8"/>
  <c r="R27" i="8"/>
  <c r="S27" i="8"/>
  <c r="T27" i="8"/>
  <c r="U27" i="8"/>
  <c r="V21" i="8"/>
  <c r="W76" i="8"/>
  <c r="V76" i="8"/>
  <c r="X76" i="8"/>
  <c r="N98" i="8"/>
  <c r="O98" i="8" s="1"/>
  <c r="N99" i="8"/>
  <c r="F98" i="8"/>
  <c r="F99" i="8"/>
  <c r="Q156" i="8"/>
  <c r="V156" i="8" s="1"/>
  <c r="X156" i="8" s="1"/>
  <c r="Y156" i="8" s="1"/>
  <c r="Q155" i="8"/>
  <c r="V155" i="8" s="1"/>
  <c r="X155" i="8" s="1"/>
  <c r="Y155" i="8" s="1"/>
  <c r="X154" i="8"/>
  <c r="Y154" i="8" s="1"/>
  <c r="Y117" i="8" l="1"/>
  <c r="U20" i="8"/>
  <c r="T20" i="8"/>
  <c r="S20" i="8"/>
  <c r="R20" i="8"/>
  <c r="O99" i="8"/>
  <c r="Q99" i="8" s="1"/>
  <c r="V99" i="8" s="1"/>
  <c r="X99" i="8" s="1"/>
  <c r="Y99" i="8" s="1"/>
  <c r="Q98" i="8"/>
  <c r="V98" i="8" s="1"/>
  <c r="X98" i="8" s="1"/>
  <c r="Y98" i="8" s="1"/>
  <c r="V119" i="8"/>
  <c r="V118" i="8"/>
  <c r="X145" i="8"/>
  <c r="X146" i="8"/>
  <c r="Y146" i="8" s="1"/>
  <c r="V117" i="8" l="1"/>
  <c r="X144" i="8"/>
  <c r="Y145" i="8"/>
  <c r="Y144" i="8" s="1"/>
  <c r="N45" i="18"/>
  <c r="E5" i="9" l="1"/>
  <c r="S7" i="9"/>
  <c r="X7" i="9" s="1"/>
  <c r="S8" i="9"/>
  <c r="X8" i="9" s="1"/>
  <c r="S9" i="9"/>
  <c r="X9" i="9" s="1"/>
  <c r="S10" i="9"/>
  <c r="X10" i="9" s="1"/>
  <c r="S11" i="9"/>
  <c r="X11" i="9" s="1"/>
  <c r="S12" i="9"/>
  <c r="X12" i="9" s="1"/>
  <c r="N96" i="8" l="1"/>
  <c r="N110" i="8"/>
  <c r="N139" i="8"/>
  <c r="Q139" i="8" s="1"/>
  <c r="V139" i="8" s="1"/>
  <c r="X139" i="8" s="1"/>
  <c r="Y139" i="8" s="1"/>
  <c r="N134" i="8"/>
  <c r="Q134" i="8" s="1"/>
  <c r="V134" i="8" s="1"/>
  <c r="X134" i="8" s="1"/>
  <c r="Y134" i="8" s="1"/>
  <c r="N135" i="8"/>
  <c r="Q135" i="8" s="1"/>
  <c r="V135" i="8" s="1"/>
  <c r="X135" i="8" s="1"/>
  <c r="Y135" i="8" s="1"/>
  <c r="N136" i="8"/>
  <c r="Q136" i="8" s="1"/>
  <c r="V136" i="8" s="1"/>
  <c r="X136" i="8" s="1"/>
  <c r="Y136" i="8" s="1"/>
  <c r="N137" i="8"/>
  <c r="Q137" i="8" s="1"/>
  <c r="V137" i="8" s="1"/>
  <c r="X137" i="8" s="1"/>
  <c r="Y137" i="8" s="1"/>
  <c r="N138" i="8"/>
  <c r="N131" i="8"/>
  <c r="Q131" i="8" s="1"/>
  <c r="V131" i="8" s="1"/>
  <c r="X131" i="8" s="1"/>
  <c r="Y131" i="8" s="1"/>
  <c r="N132" i="8"/>
  <c r="Q132" i="8" s="1"/>
  <c r="V132" i="8" s="1"/>
  <c r="X132" i="8" s="1"/>
  <c r="Y132" i="8" s="1"/>
  <c r="N133" i="8"/>
  <c r="N127" i="8"/>
  <c r="N128" i="8"/>
  <c r="N129" i="8"/>
  <c r="N130" i="8"/>
  <c r="N126" i="8"/>
  <c r="N125" i="8"/>
  <c r="Q125" i="8" s="1"/>
  <c r="V125" i="8" s="1"/>
  <c r="X125" i="8" s="1"/>
  <c r="Y125" i="8" s="1"/>
  <c r="N124" i="8"/>
  <c r="Q124" i="8" l="1"/>
  <c r="V124" i="8" s="1"/>
  <c r="Q138" i="8"/>
  <c r="V138" i="8" s="1"/>
  <c r="X138" i="8" s="1"/>
  <c r="Y138" i="8" s="1"/>
  <c r="Q133" i="8"/>
  <c r="V133" i="8" s="1"/>
  <c r="X133" i="8" s="1"/>
  <c r="Y133" i="8" s="1"/>
  <c r="Q130" i="8"/>
  <c r="V130" i="8" s="1"/>
  <c r="X130" i="8" s="1"/>
  <c r="Y130" i="8" s="1"/>
  <c r="Q129" i="8"/>
  <c r="V129" i="8" s="1"/>
  <c r="X129" i="8" s="1"/>
  <c r="Y129" i="8" s="1"/>
  <c r="Q128" i="8"/>
  <c r="V128" i="8" s="1"/>
  <c r="X128" i="8" s="1"/>
  <c r="Y128" i="8" s="1"/>
  <c r="Q126" i="8"/>
  <c r="V126" i="8" s="1"/>
  <c r="X126" i="8" s="1"/>
  <c r="Q127" i="8"/>
  <c r="V127" i="8" s="1"/>
  <c r="X127" i="8" s="1"/>
  <c r="Y127" i="8" s="1"/>
  <c r="Y126" i="8" l="1"/>
  <c r="X124" i="8"/>
  <c r="AA51" i="18"/>
  <c r="F7" i="18"/>
  <c r="N7" i="18"/>
  <c r="O7" i="18" s="1"/>
  <c r="F8" i="18"/>
  <c r="N8" i="18"/>
  <c r="O8" i="18" s="1"/>
  <c r="Q8" i="18" s="1"/>
  <c r="X8" i="18" s="1"/>
  <c r="Z8" i="18" s="1"/>
  <c r="F9" i="18"/>
  <c r="N9" i="18"/>
  <c r="O9" i="18" s="1"/>
  <c r="Q9" i="18" s="1"/>
  <c r="X9" i="18" s="1"/>
  <c r="Z9" i="18" s="1"/>
  <c r="F10" i="18"/>
  <c r="N10" i="18"/>
  <c r="O10" i="18" s="1"/>
  <c r="F11" i="18"/>
  <c r="N11" i="18"/>
  <c r="O11" i="18" s="1"/>
  <c r="F12" i="18"/>
  <c r="N12" i="18"/>
  <c r="F13" i="18"/>
  <c r="N13" i="18"/>
  <c r="O13" i="18" s="1"/>
  <c r="Q13" i="18" s="1"/>
  <c r="X13" i="18" s="1"/>
  <c r="Z13" i="18" s="1"/>
  <c r="X19" i="18"/>
  <c r="Z19" i="18" s="1"/>
  <c r="N24" i="18"/>
  <c r="P24" i="18"/>
  <c r="N26" i="18"/>
  <c r="P26" i="18" s="1"/>
  <c r="O47" i="18"/>
  <c r="Q47" i="18" s="1"/>
  <c r="X47" i="18" s="1"/>
  <c r="Z47" i="18" s="1"/>
  <c r="AA47" i="18" s="1"/>
  <c r="Q48" i="18"/>
  <c r="X48" i="18" s="1"/>
  <c r="Q49" i="18"/>
  <c r="X49" i="18" s="1"/>
  <c r="N50" i="18"/>
  <c r="O50" i="18" s="1"/>
  <c r="AA50" i="18"/>
  <c r="X52" i="18"/>
  <c r="N53" i="18"/>
  <c r="Q53" i="18" s="1"/>
  <c r="X53" i="18" s="1"/>
  <c r="Z53" i="18" s="1"/>
  <c r="F66" i="18"/>
  <c r="N66" i="18"/>
  <c r="O66" i="18" s="1"/>
  <c r="F67" i="18"/>
  <c r="N67" i="18"/>
  <c r="O67" i="18" s="1"/>
  <c r="F68" i="18"/>
  <c r="N68" i="18"/>
  <c r="O68" i="18" s="1"/>
  <c r="Q68" i="18" s="1"/>
  <c r="X68" i="18" s="1"/>
  <c r="Z68" i="18" s="1"/>
  <c r="F69" i="18"/>
  <c r="N69" i="18"/>
  <c r="O69" i="18" s="1"/>
  <c r="F70" i="18"/>
  <c r="N70" i="18"/>
  <c r="O70" i="18" s="1"/>
  <c r="F71" i="18"/>
  <c r="N71" i="18"/>
  <c r="O71" i="18" s="1"/>
  <c r="Q71" i="18" s="1"/>
  <c r="X71" i="18" s="1"/>
  <c r="Z71" i="18" s="1"/>
  <c r="U71" i="18"/>
  <c r="F72" i="18"/>
  <c r="N72" i="18"/>
  <c r="O72" i="18" s="1"/>
  <c r="F73" i="18"/>
  <c r="N73" i="18"/>
  <c r="O73" i="18" s="1"/>
  <c r="Q73" i="18" s="1"/>
  <c r="X73" i="18" s="1"/>
  <c r="Z73" i="18" s="1"/>
  <c r="F74" i="18"/>
  <c r="N74" i="18"/>
  <c r="O74" i="18" s="1"/>
  <c r="Z80" i="18"/>
  <c r="AA80" i="18" s="1"/>
  <c r="Y81" i="18"/>
  <c r="AA81" i="18"/>
  <c r="X82" i="18"/>
  <c r="AA82" i="18"/>
  <c r="N86" i="18"/>
  <c r="P86" i="18" s="1"/>
  <c r="X86" i="18"/>
  <c r="AA86" i="18"/>
  <c r="N89" i="18"/>
  <c r="O90" i="18"/>
  <c r="Q90" i="18" s="1"/>
  <c r="X90" i="18" s="1"/>
  <c r="AA90" i="18"/>
  <c r="N100" i="18"/>
  <c r="O100" i="18" s="1"/>
  <c r="N101" i="18"/>
  <c r="O101" i="18" s="1"/>
  <c r="Q102" i="18"/>
  <c r="N103" i="18"/>
  <c r="O103" i="18" s="1"/>
  <c r="AA103" i="18"/>
  <c r="X104" i="18"/>
  <c r="X105" i="18"/>
  <c r="N106" i="18"/>
  <c r="Q106" i="18" s="1"/>
  <c r="X106" i="18" s="1"/>
  <c r="Z106" i="18" s="1"/>
  <c r="AA106" i="18" s="1"/>
  <c r="K107" i="18"/>
  <c r="N107" i="18" s="1"/>
  <c r="Q107" i="18" s="1"/>
  <c r="X107" i="18" s="1"/>
  <c r="Z107" i="18" s="1"/>
  <c r="AA107" i="18" s="1"/>
  <c r="X114" i="18"/>
  <c r="Z114" i="18"/>
  <c r="AA114" i="18"/>
  <c r="N120" i="18"/>
  <c r="P120" i="18" s="1"/>
  <c r="N121" i="18"/>
  <c r="O121" i="18" s="1"/>
  <c r="X125" i="18"/>
  <c r="X124" i="18" s="1"/>
  <c r="Z125" i="18"/>
  <c r="AA125" i="18"/>
  <c r="AA124" i="18" s="1"/>
  <c r="X128" i="18"/>
  <c r="Z128" i="18"/>
  <c r="Z124" i="18" s="1"/>
  <c r="AA128" i="18"/>
  <c r="Q31" i="8"/>
  <c r="V31" i="8" s="1"/>
  <c r="X31" i="8" s="1"/>
  <c r="Q32" i="8"/>
  <c r="V32" i="8" s="1"/>
  <c r="X32" i="8" s="1"/>
  <c r="Q35" i="8"/>
  <c r="V35" i="8" s="1"/>
  <c r="X35" i="8" s="1"/>
  <c r="Q36" i="8"/>
  <c r="V36" i="8" s="1"/>
  <c r="X36" i="8" s="1"/>
  <c r="Q39" i="8"/>
  <c r="V39" i="8" s="1"/>
  <c r="X39" i="8" s="1"/>
  <c r="Q40" i="8"/>
  <c r="V40" i="8" s="1"/>
  <c r="X40" i="8" s="1"/>
  <c r="J22" i="17"/>
  <c r="J23" i="17"/>
  <c r="J24" i="17"/>
  <c r="AF46" i="17"/>
  <c r="AC46" i="17"/>
  <c r="Z46" i="17"/>
  <c r="W46" i="17"/>
  <c r="T46" i="17"/>
  <c r="Q46" i="17"/>
  <c r="N46" i="17"/>
  <c r="K46" i="17"/>
  <c r="AE45" i="17"/>
  <c r="AF45" i="17" s="1"/>
  <c r="AB45" i="17"/>
  <c r="AC45" i="17" s="1"/>
  <c r="Y45" i="17"/>
  <c r="Z45" i="17" s="1"/>
  <c r="V45" i="17"/>
  <c r="W45" i="17" s="1"/>
  <c r="T45" i="17"/>
  <c r="S45" i="17"/>
  <c r="M45" i="17"/>
  <c r="N45" i="17" s="1"/>
  <c r="AE43" i="17"/>
  <c r="AF43" i="17" s="1"/>
  <c r="Y43" i="17"/>
  <c r="Z43" i="17" s="1"/>
  <c r="S43" i="17"/>
  <c r="T43" i="17" s="1"/>
  <c r="P43" i="17"/>
  <c r="Q43" i="17" s="1"/>
  <c r="V43" i="17" s="1"/>
  <c r="W43" i="17" s="1"/>
  <c r="AB43" i="17" s="1"/>
  <c r="AC43" i="17" s="1"/>
  <c r="M43" i="17"/>
  <c r="N43" i="17" s="1"/>
  <c r="AE42" i="17"/>
  <c r="AF42" i="17" s="1"/>
  <c r="AC42" i="17"/>
  <c r="Y42" i="17"/>
  <c r="Z42" i="17" s="1"/>
  <c r="V42" i="17"/>
  <c r="W42" i="17" s="1"/>
  <c r="T42" i="17"/>
  <c r="P42" i="17"/>
  <c r="Q42" i="17" s="1"/>
  <c r="N42" i="17"/>
  <c r="AG40" i="17"/>
  <c r="AF40" i="17"/>
  <c r="AC40" i="17"/>
  <c r="Z40" i="17"/>
  <c r="W40" i="17"/>
  <c r="T40" i="17"/>
  <c r="Q40" i="17"/>
  <c r="N40" i="17"/>
  <c r="E40" i="17"/>
  <c r="F40" i="17" s="1"/>
  <c r="K40" i="17" s="1"/>
  <c r="J38" i="17"/>
  <c r="J37" i="17"/>
  <c r="J36" i="17"/>
  <c r="K36" i="17" s="1"/>
  <c r="F36" i="17"/>
  <c r="E36" i="17"/>
  <c r="V35" i="17"/>
  <c r="W35" i="17" s="1"/>
  <c r="AB35" i="17" s="1"/>
  <c r="AC35" i="17" s="1"/>
  <c r="S35" i="17"/>
  <c r="T35" i="17" s="1"/>
  <c r="Q35" i="17"/>
  <c r="P35" i="17"/>
  <c r="J35" i="17"/>
  <c r="K35" i="17" s="1"/>
  <c r="F35" i="17"/>
  <c r="E35" i="17"/>
  <c r="S34" i="17"/>
  <c r="T34" i="17" s="1"/>
  <c r="J34" i="17"/>
  <c r="K34" i="17" s="1"/>
  <c r="F34" i="17"/>
  <c r="E34" i="17"/>
  <c r="J33" i="17"/>
  <c r="K33" i="17" s="1"/>
  <c r="F33" i="17"/>
  <c r="E33" i="17"/>
  <c r="J32" i="17"/>
  <c r="K32" i="17" s="1"/>
  <c r="F32" i="17"/>
  <c r="E32" i="17"/>
  <c r="J31" i="17"/>
  <c r="K31" i="17" s="1"/>
  <c r="F31" i="17"/>
  <c r="E31" i="17"/>
  <c r="J30" i="17"/>
  <c r="F30" i="17"/>
  <c r="E30" i="17"/>
  <c r="S29" i="17"/>
  <c r="J29" i="17"/>
  <c r="K29" i="17" s="1"/>
  <c r="F29" i="17"/>
  <c r="E29" i="17"/>
  <c r="S28" i="17"/>
  <c r="J28" i="17"/>
  <c r="F28" i="17"/>
  <c r="E28" i="17"/>
  <c r="V27" i="17"/>
  <c r="W27" i="17" s="1"/>
  <c r="AB27" i="17" s="1"/>
  <c r="AC27" i="17" s="1"/>
  <c r="S27" i="17"/>
  <c r="T27" i="17" s="1"/>
  <c r="P27" i="17"/>
  <c r="Q27" i="17" s="1"/>
  <c r="J27" i="17"/>
  <c r="K27" i="17" s="1"/>
  <c r="F27" i="17"/>
  <c r="E27" i="17"/>
  <c r="W26" i="17"/>
  <c r="AB26" i="17" s="1"/>
  <c r="AC26" i="17" s="1"/>
  <c r="V26" i="17"/>
  <c r="S26" i="17"/>
  <c r="T26" i="17" s="1"/>
  <c r="J26" i="17"/>
  <c r="K26" i="17" s="1"/>
  <c r="F26" i="17"/>
  <c r="E26" i="17"/>
  <c r="V25" i="17"/>
  <c r="W25" i="17" s="1"/>
  <c r="AB25" i="17" s="1"/>
  <c r="AC25" i="17" s="1"/>
  <c r="S25" i="17"/>
  <c r="T25" i="17" s="1"/>
  <c r="P25" i="17"/>
  <c r="Q25" i="17" s="1"/>
  <c r="J25" i="17"/>
  <c r="K25" i="17" s="1"/>
  <c r="F25" i="17"/>
  <c r="E25" i="17"/>
  <c r="F24" i="17"/>
  <c r="E24" i="17"/>
  <c r="AE23" i="17"/>
  <c r="AF23" i="17" s="1"/>
  <c r="Y23" i="17"/>
  <c r="Z23" i="17" s="1"/>
  <c r="V23" i="17"/>
  <c r="W23" i="17" s="1"/>
  <c r="AB23" i="17" s="1"/>
  <c r="S23" i="17"/>
  <c r="T23" i="17" s="1"/>
  <c r="P23" i="17"/>
  <c r="Q23" i="17" s="1"/>
  <c r="N23" i="17"/>
  <c r="M23" i="17"/>
  <c r="K23" i="17"/>
  <c r="F23" i="17"/>
  <c r="E23" i="17"/>
  <c r="AE22" i="17"/>
  <c r="AF22" i="17" s="1"/>
  <c r="Y22" i="17"/>
  <c r="V22" i="17"/>
  <c r="V39" i="17" s="1"/>
  <c r="S22" i="17"/>
  <c r="T22" i="17" s="1"/>
  <c r="P22" i="17"/>
  <c r="M22" i="17"/>
  <c r="M39" i="17" s="1"/>
  <c r="K22" i="17"/>
  <c r="F22" i="17"/>
  <c r="E22" i="17"/>
  <c r="E13" i="17"/>
  <c r="F13" i="17" s="1"/>
  <c r="S12" i="17"/>
  <c r="P12" i="17"/>
  <c r="Q12" i="17" s="1"/>
  <c r="M12" i="17"/>
  <c r="N12" i="17" s="1"/>
  <c r="E12" i="17"/>
  <c r="P10" i="17"/>
  <c r="J10" i="17"/>
  <c r="J19" i="17" s="1"/>
  <c r="AE8" i="17"/>
  <c r="AB8" i="17"/>
  <c r="Z8" i="17"/>
  <c r="Y8" i="17"/>
  <c r="V8" i="17"/>
  <c r="S8" i="17"/>
  <c r="P8" i="17"/>
  <c r="M8" i="17"/>
  <c r="J8" i="17"/>
  <c r="AF7" i="17"/>
  <c r="AF8" i="17" s="1"/>
  <c r="AC7" i="17"/>
  <c r="AC8" i="17" s="1"/>
  <c r="Z7" i="17"/>
  <c r="W7" i="17"/>
  <c r="W8" i="17" s="1"/>
  <c r="T7" i="17"/>
  <c r="T8" i="17" s="1"/>
  <c r="Q7" i="17"/>
  <c r="Q8" i="17" s="1"/>
  <c r="N7" i="17"/>
  <c r="N8" i="17" s="1"/>
  <c r="K7" i="17"/>
  <c r="K8" i="17" s="1"/>
  <c r="AE6" i="17"/>
  <c r="AE10" i="17" s="1"/>
  <c r="AB6" i="17"/>
  <c r="AB10" i="17" s="1"/>
  <c r="Y6" i="17"/>
  <c r="Y10" i="17" s="1"/>
  <c r="V6" i="17"/>
  <c r="T6" i="17"/>
  <c r="S6" i="17"/>
  <c r="S10" i="17" s="1"/>
  <c r="P6" i="17"/>
  <c r="M6" i="17"/>
  <c r="M10" i="17" s="1"/>
  <c r="J6" i="17"/>
  <c r="AF5" i="17"/>
  <c r="AC5" i="17"/>
  <c r="AC6" i="17" s="1"/>
  <c r="Z5" i="17"/>
  <c r="W5" i="17"/>
  <c r="T5" i="17"/>
  <c r="Q5" i="17"/>
  <c r="Q6" i="17" s="1"/>
  <c r="N5" i="17"/>
  <c r="N6" i="17" s="1"/>
  <c r="K5" i="17"/>
  <c r="AF4" i="17"/>
  <c r="AC4" i="17"/>
  <c r="Z4" i="17"/>
  <c r="W4" i="17"/>
  <c r="T4" i="17"/>
  <c r="Q4" i="17"/>
  <c r="N4" i="17"/>
  <c r="K4" i="17"/>
  <c r="B4" i="17"/>
  <c r="AF2" i="17"/>
  <c r="AC2" i="17"/>
  <c r="Z2" i="17"/>
  <c r="W2" i="17"/>
  <c r="T2" i="17"/>
  <c r="Q2" i="17"/>
  <c r="N2" i="17"/>
  <c r="K2" i="17"/>
  <c r="X50" i="8"/>
  <c r="X45" i="8"/>
  <c r="Y45" i="8" s="1"/>
  <c r="Y124" i="8" l="1"/>
  <c r="X49" i="8"/>
  <c r="AA8" i="18"/>
  <c r="AA9" i="18"/>
  <c r="AA73" i="18"/>
  <c r="AA68" i="18"/>
  <c r="O12" i="18"/>
  <c r="Q12" i="18" s="1"/>
  <c r="X12" i="18" s="1"/>
  <c r="Z12" i="18" s="1"/>
  <c r="AA12" i="18" s="1"/>
  <c r="Q24" i="18"/>
  <c r="X24" i="18" s="1"/>
  <c r="Z24" i="18" s="1"/>
  <c r="Q100" i="18"/>
  <c r="X100" i="18" s="1"/>
  <c r="Z100" i="18" s="1"/>
  <c r="Q72" i="18"/>
  <c r="X72" i="18" s="1"/>
  <c r="Z72" i="18" s="1"/>
  <c r="AA72" i="18" s="1"/>
  <c r="Q67" i="18"/>
  <c r="X67" i="18" s="1"/>
  <c r="Z67" i="18" s="1"/>
  <c r="AA67" i="18" s="1"/>
  <c r="Q103" i="18"/>
  <c r="X103" i="18" s="1"/>
  <c r="AA71" i="18"/>
  <c r="Q66" i="18"/>
  <c r="X66" i="18" s="1"/>
  <c r="Z66" i="18" s="1"/>
  <c r="AA66" i="18" s="1"/>
  <c r="Q7" i="18"/>
  <c r="X7" i="18" s="1"/>
  <c r="Z7" i="18" s="1"/>
  <c r="AA7" i="18" s="1"/>
  <c r="Q120" i="18"/>
  <c r="X120" i="18" s="1"/>
  <c r="Z120" i="18" s="1"/>
  <c r="Q70" i="18"/>
  <c r="X70" i="18" s="1"/>
  <c r="Z70" i="18" s="1"/>
  <c r="AA70" i="18" s="1"/>
  <c r="Q11" i="18"/>
  <c r="X11" i="18" s="1"/>
  <c r="Z11" i="18" s="1"/>
  <c r="AA11" i="18" s="1"/>
  <c r="F4" i="18"/>
  <c r="AA79" i="18"/>
  <c r="F65" i="18"/>
  <c r="Q50" i="18"/>
  <c r="X50" i="18" s="1"/>
  <c r="AA13" i="18"/>
  <c r="AA100" i="18"/>
  <c r="AA24" i="18"/>
  <c r="Z18" i="18"/>
  <c r="AA19" i="18"/>
  <c r="AA18" i="18" s="1"/>
  <c r="Q121" i="18"/>
  <c r="X121" i="18" s="1"/>
  <c r="Z121" i="18" s="1"/>
  <c r="AA121" i="18" s="1"/>
  <c r="Q101" i="18"/>
  <c r="X101" i="18" s="1"/>
  <c r="Z101" i="18" s="1"/>
  <c r="AA101" i="18" s="1"/>
  <c r="Q86" i="18"/>
  <c r="Z79" i="18"/>
  <c r="Q74" i="18"/>
  <c r="X74" i="18" s="1"/>
  <c r="Z74" i="18" s="1"/>
  <c r="AA74" i="18" s="1"/>
  <c r="Q69" i="18"/>
  <c r="X69" i="18" s="1"/>
  <c r="Z69" i="18" s="1"/>
  <c r="AA69" i="18" s="1"/>
  <c r="Q26" i="18"/>
  <c r="X26" i="18" s="1"/>
  <c r="Z26" i="18" s="1"/>
  <c r="AA26" i="18" s="1"/>
  <c r="Q10" i="18"/>
  <c r="X10" i="18" s="1"/>
  <c r="Z10" i="18" s="1"/>
  <c r="AA10" i="18" s="1"/>
  <c r="Q34" i="8"/>
  <c r="V34" i="8" s="1"/>
  <c r="X34" i="8" s="1"/>
  <c r="Q28" i="8"/>
  <c r="Q37" i="8"/>
  <c r="V37" i="8" s="1"/>
  <c r="X37" i="8" s="1"/>
  <c r="Q33" i="8"/>
  <c r="V33" i="8" s="1"/>
  <c r="X33" i="8" s="1"/>
  <c r="V29" i="8"/>
  <c r="X29" i="8" s="1"/>
  <c r="Q38" i="8"/>
  <c r="V38" i="8" s="1"/>
  <c r="X38" i="8" s="1"/>
  <c r="Q30" i="8"/>
  <c r="V30" i="8" s="1"/>
  <c r="X30" i="8" s="1"/>
  <c r="AG38" i="17"/>
  <c r="Y12" i="17"/>
  <c r="M47" i="17"/>
  <c r="Z6" i="17"/>
  <c r="Z10" i="17" s="1"/>
  <c r="Z11" i="17" s="1"/>
  <c r="AE12" i="17"/>
  <c r="AF12" i="17" s="1"/>
  <c r="P39" i="17"/>
  <c r="P47" i="17" s="1"/>
  <c r="N10" i="17"/>
  <c r="N17" i="17" s="1"/>
  <c r="Q22" i="17"/>
  <c r="Q39" i="17" s="1"/>
  <c r="Q47" i="17" s="1"/>
  <c r="Y39" i="17"/>
  <c r="Y47" i="17" s="1"/>
  <c r="AE39" i="17"/>
  <c r="AE47" i="17" s="1"/>
  <c r="AC23" i="17"/>
  <c r="W22" i="17"/>
  <c r="W39" i="17" s="1"/>
  <c r="W47" i="17" s="1"/>
  <c r="AF6" i="17"/>
  <c r="AF10" i="17"/>
  <c r="AF11" i="17" s="1"/>
  <c r="AF39" i="17"/>
  <c r="M19" i="17"/>
  <c r="M20" i="17" s="1"/>
  <c r="M21" i="17" s="1"/>
  <c r="T10" i="17"/>
  <c r="T11" i="17" s="1"/>
  <c r="T39" i="17"/>
  <c r="T47" i="17" s="1"/>
  <c r="AF47" i="17"/>
  <c r="AE19" i="17"/>
  <c r="AE20" i="17" s="1"/>
  <c r="AE21" i="17" s="1"/>
  <c r="AC10" i="17"/>
  <c r="AC11" i="17" s="1"/>
  <c r="N15" i="17"/>
  <c r="N22" i="17"/>
  <c r="N39" i="17" s="1"/>
  <c r="N47" i="17" s="1"/>
  <c r="Z22" i="17"/>
  <c r="Z39" i="17" s="1"/>
  <c r="Z47" i="17" s="1"/>
  <c r="S39" i="17"/>
  <c r="S47" i="17" s="1"/>
  <c r="AF19" i="17"/>
  <c r="AF18" i="17"/>
  <c r="AF17" i="17"/>
  <c r="AF14" i="17"/>
  <c r="N11" i="17"/>
  <c r="V12" i="17"/>
  <c r="W6" i="17"/>
  <c r="Q10" i="17"/>
  <c r="T12" i="17"/>
  <c r="N16" i="17"/>
  <c r="N18" i="17"/>
  <c r="Y19" i="17"/>
  <c r="AB19" i="17" s="1"/>
  <c r="P19" i="17"/>
  <c r="P20" i="17" s="1"/>
  <c r="P52" i="17" s="1"/>
  <c r="J39" i="17"/>
  <c r="J47" i="17" s="1"/>
  <c r="V47" i="17"/>
  <c r="J12" i="17"/>
  <c r="K6" i="17"/>
  <c r="K10" i="17" s="1"/>
  <c r="S19" i="17"/>
  <c r="S20" i="17" s="1"/>
  <c r="S21" i="17" s="1"/>
  <c r="W10" i="17"/>
  <c r="W11" i="17" s="1"/>
  <c r="V10" i="17"/>
  <c r="Z12" i="17"/>
  <c r="Z14" i="17"/>
  <c r="Z15" i="17"/>
  <c r="Z18" i="17"/>
  <c r="K39" i="17"/>
  <c r="K47" i="17" s="1"/>
  <c r="V114" i="8"/>
  <c r="Y114" i="8"/>
  <c r="V17" i="8"/>
  <c r="V16" i="8" s="1"/>
  <c r="Y17" i="8"/>
  <c r="V28" i="8" l="1"/>
  <c r="Q27" i="8"/>
  <c r="AA83" i="18"/>
  <c r="Z83" i="18"/>
  <c r="AA5" i="18"/>
  <c r="X119" i="18"/>
  <c r="X113" i="18" s="1"/>
  <c r="AA120" i="18"/>
  <c r="AA119" i="18" s="1"/>
  <c r="AA113" i="18" s="1"/>
  <c r="Z119" i="18"/>
  <c r="Z113" i="18" s="1"/>
  <c r="Z5" i="18"/>
  <c r="Z65" i="18"/>
  <c r="AB22" i="17"/>
  <c r="N14" i="17"/>
  <c r="AF15" i="17"/>
  <c r="N19" i="17"/>
  <c r="N20" i="17" s="1"/>
  <c r="N21" i="17" s="1"/>
  <c r="P21" i="17"/>
  <c r="P48" i="17" s="1"/>
  <c r="P49" i="17" s="1"/>
  <c r="Z17" i="17"/>
  <c r="Z16" i="17"/>
  <c r="Z20" i="17" s="1"/>
  <c r="Z21" i="17" s="1"/>
  <c r="AF16" i="17"/>
  <c r="Z19" i="17"/>
  <c r="AF20" i="17"/>
  <c r="AF21" i="17" s="1"/>
  <c r="AF48" i="17" s="1"/>
  <c r="AF49" i="17" s="1"/>
  <c r="M51" i="17"/>
  <c r="M52" i="17" s="1"/>
  <c r="M48" i="17"/>
  <c r="M49" i="17" s="1"/>
  <c r="S51" i="17"/>
  <c r="S48" i="17"/>
  <c r="S49" i="17" s="1"/>
  <c r="T19" i="17"/>
  <c r="T18" i="17"/>
  <c r="T17" i="17"/>
  <c r="T16" i="17"/>
  <c r="T15" i="17"/>
  <c r="T14" i="17"/>
  <c r="AC18" i="17"/>
  <c r="AC17" i="17"/>
  <c r="AC16" i="17"/>
  <c r="AC15" i="17"/>
  <c r="AC14" i="17"/>
  <c r="AC19" i="17"/>
  <c r="K11" i="17"/>
  <c r="W17" i="17"/>
  <c r="W16" i="17"/>
  <c r="W15" i="17"/>
  <c r="W14" i="17"/>
  <c r="K19" i="17"/>
  <c r="K17" i="17"/>
  <c r="K15" i="17"/>
  <c r="W18" i="17"/>
  <c r="W19" i="17"/>
  <c r="K18" i="17"/>
  <c r="K16" i="17"/>
  <c r="K14" i="17"/>
  <c r="AF51" i="17"/>
  <c r="AF52" i="17" s="1"/>
  <c r="W12" i="17"/>
  <c r="V19" i="17"/>
  <c r="V20" i="17" s="1"/>
  <c r="V21" i="17" s="1"/>
  <c r="S52" i="17"/>
  <c r="AE51" i="17"/>
  <c r="AE52" i="17" s="1"/>
  <c r="AE48" i="17"/>
  <c r="AE49" i="17" s="1"/>
  <c r="Q11" i="17"/>
  <c r="Q18" i="17"/>
  <c r="Q17" i="17"/>
  <c r="Q16" i="17"/>
  <c r="Q15" i="17"/>
  <c r="Q14" i="17"/>
  <c r="Q19" i="17"/>
  <c r="AC22" i="17"/>
  <c r="AC39" i="17" s="1"/>
  <c r="AC47" i="17" s="1"/>
  <c r="AB39" i="17"/>
  <c r="AB47" i="17" s="1"/>
  <c r="K12" i="17"/>
  <c r="J20" i="17"/>
  <c r="J21" i="17" s="1"/>
  <c r="Y20" i="17"/>
  <c r="Y21" i="17" s="1"/>
  <c r="X28" i="8" l="1"/>
  <c r="V27" i="8"/>
  <c r="Z64" i="18"/>
  <c r="AA65" i="18"/>
  <c r="AA64" i="18" s="1"/>
  <c r="Z51" i="17"/>
  <c r="Z52" i="17" s="1"/>
  <c r="Z48" i="17"/>
  <c r="Z49" i="17" s="1"/>
  <c r="T20" i="17"/>
  <c r="T21" i="17" s="1"/>
  <c r="T48" i="17" s="1"/>
  <c r="T49" i="17" s="1"/>
  <c r="T51" i="17"/>
  <c r="T52" i="17" s="1"/>
  <c r="V48" i="17"/>
  <c r="V49" i="17" s="1"/>
  <c r="V51" i="17"/>
  <c r="V52" i="17" s="1"/>
  <c r="Y51" i="17"/>
  <c r="Y52" i="17" s="1"/>
  <c r="Y48" i="17"/>
  <c r="Y49" i="17" s="1"/>
  <c r="AB12" i="17"/>
  <c r="W20" i="17"/>
  <c r="W21" i="17" s="1"/>
  <c r="K20" i="17"/>
  <c r="K21" i="17" s="1"/>
  <c r="N48" i="17"/>
  <c r="N49" i="17" s="1"/>
  <c r="N51" i="17"/>
  <c r="N52" i="17" s="1"/>
  <c r="J51" i="17"/>
  <c r="J52" i="17" s="1"/>
  <c r="J48" i="17"/>
  <c r="J49" i="17" s="1"/>
  <c r="Q20" i="17"/>
  <c r="Q52" i="17" s="1"/>
  <c r="Y118" i="8"/>
  <c r="X27" i="8" l="1"/>
  <c r="K51" i="17"/>
  <c r="K52" i="17" s="1"/>
  <c r="K48" i="17"/>
  <c r="K49" i="17" s="1"/>
  <c r="W48" i="17"/>
  <c r="W49" i="17" s="1"/>
  <c r="W51" i="17"/>
  <c r="W52" i="17" s="1"/>
  <c r="AC12" i="17"/>
  <c r="AC20" i="17" s="1"/>
  <c r="AC21" i="17" s="1"/>
  <c r="AB20" i="17"/>
  <c r="AB21" i="17" s="1"/>
  <c r="Q21" i="17"/>
  <c r="Q48" i="17" s="1"/>
  <c r="Q49" i="17" s="1"/>
  <c r="X22" i="8"/>
  <c r="X21" i="8" s="1"/>
  <c r="Y22" i="8" l="1"/>
  <c r="Y21" i="8" s="1"/>
  <c r="AB48" i="17"/>
  <c r="AB49" i="17" s="1"/>
  <c r="AB51" i="17"/>
  <c r="AB52" i="17" s="1"/>
  <c r="AC48" i="17"/>
  <c r="AC49" i="17" s="1"/>
  <c r="AC51" i="17"/>
  <c r="AC52" i="17" s="1"/>
  <c r="F96" i="8"/>
  <c r="F110" i="8"/>
  <c r="F111" i="8"/>
  <c r="N111" i="8"/>
  <c r="O111" i="8" s="1"/>
  <c r="Q111" i="8" s="1"/>
  <c r="V111" i="8" s="1"/>
  <c r="X111" i="8" s="1"/>
  <c r="I59" i="8"/>
  <c r="I60" i="8"/>
  <c r="I61" i="8"/>
  <c r="I62" i="8"/>
  <c r="I63" i="8"/>
  <c r="I64" i="8"/>
  <c r="I65" i="8"/>
  <c r="I66" i="8"/>
  <c r="I67" i="8"/>
  <c r="I68" i="8"/>
  <c r="I58" i="8"/>
  <c r="Y111" i="8" l="1"/>
  <c r="N66" i="8"/>
  <c r="P66" i="8" s="1"/>
  <c r="N67" i="8"/>
  <c r="P67" i="8" s="1"/>
  <c r="Q67" i="8" s="1"/>
  <c r="V67" i="8" s="1"/>
  <c r="X67" i="8" s="1"/>
  <c r="Y67" i="8" s="1"/>
  <c r="N68" i="8"/>
  <c r="P68" i="8" s="1"/>
  <c r="Q68" i="8" s="1"/>
  <c r="V68" i="8" s="1"/>
  <c r="X68" i="8" s="1"/>
  <c r="Y68" i="8" s="1"/>
  <c r="N62" i="8"/>
  <c r="N63" i="8"/>
  <c r="N64" i="8"/>
  <c r="P64" i="8" s="1"/>
  <c r="N65" i="8"/>
  <c r="P65" i="8" s="1"/>
  <c r="W26" i="15" l="1"/>
  <c r="P63" i="8" l="1"/>
  <c r="W24" i="9" l="1"/>
  <c r="T8" i="15" l="1"/>
  <c r="W8" i="15" s="1"/>
  <c r="T9" i="15"/>
  <c r="W9" i="15" s="1"/>
  <c r="M15" i="15"/>
  <c r="Q15" i="15" s="1"/>
  <c r="T15" i="15" s="1"/>
  <c r="W15" i="15" s="1"/>
  <c r="E7" i="15"/>
  <c r="O14" i="15"/>
  <c r="M14" i="15"/>
  <c r="Q14" i="15" s="1"/>
  <c r="T14" i="15" s="1"/>
  <c r="W14" i="15" s="1"/>
  <c r="O13" i="15"/>
  <c r="M13" i="15"/>
  <c r="O12" i="15"/>
  <c r="M12" i="15"/>
  <c r="O11" i="15"/>
  <c r="M11" i="15"/>
  <c r="Q11" i="15" s="1"/>
  <c r="T11" i="15" s="1"/>
  <c r="W11" i="15" s="1"/>
  <c r="U7" i="15"/>
  <c r="O10" i="15"/>
  <c r="N7" i="15"/>
  <c r="P7" i="15"/>
  <c r="R7" i="15"/>
  <c r="S7" i="15"/>
  <c r="P3" i="15"/>
  <c r="R3" i="15"/>
  <c r="M10" i="15"/>
  <c r="S6" i="15"/>
  <c r="N6" i="15"/>
  <c r="M6" i="15"/>
  <c r="E3" i="15"/>
  <c r="S5" i="15"/>
  <c r="S3" i="15" s="1"/>
  <c r="N5" i="15"/>
  <c r="N3" i="15" s="1"/>
  <c r="K5" i="15"/>
  <c r="M5" i="15" s="1"/>
  <c r="U3" i="15"/>
  <c r="U66" i="15" s="1"/>
  <c r="O4" i="15"/>
  <c r="O3" i="15" s="1"/>
  <c r="M4" i="15"/>
  <c r="M62" i="15" s="1"/>
  <c r="M61" i="15" s="1"/>
  <c r="W61" i="15"/>
  <c r="U61" i="15"/>
  <c r="T61" i="15"/>
  <c r="S61" i="15"/>
  <c r="R61" i="15"/>
  <c r="Q61" i="15"/>
  <c r="P61" i="15"/>
  <c r="T50" i="15"/>
  <c r="W50" i="15" s="1"/>
  <c r="M48" i="15"/>
  <c r="M47" i="15" s="1"/>
  <c r="T47" i="15" s="1"/>
  <c r="S47" i="15"/>
  <c r="Q47" i="15"/>
  <c r="P47" i="15"/>
  <c r="M31" i="15"/>
  <c r="P20" i="15"/>
  <c r="E18" i="15" l="1"/>
  <c r="Q13" i="15"/>
  <c r="T13" i="15" s="1"/>
  <c r="W13" i="15" s="1"/>
  <c r="Q12" i="15"/>
  <c r="T12" i="15" s="1"/>
  <c r="W12" i="15" s="1"/>
  <c r="S18" i="15"/>
  <c r="O7" i="15"/>
  <c r="O18" i="15" s="1"/>
  <c r="M7" i="15"/>
  <c r="N18" i="15"/>
  <c r="R18" i="15"/>
  <c r="P18" i="15"/>
  <c r="P66" i="15" s="1"/>
  <c r="Q4" i="15"/>
  <c r="T4" i="15" s="1"/>
  <c r="Q10" i="15"/>
  <c r="Q7" i="15" s="1"/>
  <c r="Q5" i="15"/>
  <c r="T5" i="15" s="1"/>
  <c r="W5" i="15" s="1"/>
  <c r="M3" i="15"/>
  <c r="Q6" i="15"/>
  <c r="T6" i="15" s="1"/>
  <c r="W6" i="15" s="1"/>
  <c r="M20" i="15"/>
  <c r="M64" i="15" s="1"/>
  <c r="R31" i="15"/>
  <c r="T31" i="15" s="1"/>
  <c r="T48" i="15"/>
  <c r="W48" i="15" s="1"/>
  <c r="W47" i="15" s="1"/>
  <c r="Q150" i="8"/>
  <c r="V150" i="8" s="1"/>
  <c r="O149" i="8"/>
  <c r="O148" i="8" s="1"/>
  <c r="N105" i="5"/>
  <c r="L105" i="5" s="1"/>
  <c r="N122" i="8"/>
  <c r="M18" i="15" l="1"/>
  <c r="M66" i="15" s="1"/>
  <c r="T3" i="15"/>
  <c r="T10" i="15"/>
  <c r="Q3" i="15"/>
  <c r="Q18" i="15" s="1"/>
  <c r="Q66" i="15" s="1"/>
  <c r="S66" i="15"/>
  <c r="W4" i="15"/>
  <c r="W54" i="15"/>
  <c r="T64" i="15"/>
  <c r="R64" i="15"/>
  <c r="R66" i="15" s="1"/>
  <c r="Q149" i="8"/>
  <c r="O122" i="8"/>
  <c r="Q122" i="8" s="1"/>
  <c r="P105" i="5"/>
  <c r="R105" i="5" s="1"/>
  <c r="U105" i="5" s="1"/>
  <c r="Y105" i="5" s="1"/>
  <c r="Z105" i="5" s="1"/>
  <c r="X105" i="5" s="1"/>
  <c r="Z107" i="5"/>
  <c r="X107" i="5" s="1"/>
  <c r="X183" i="8"/>
  <c r="Y183" i="8"/>
  <c r="V183" i="8"/>
  <c r="V149" i="8" l="1"/>
  <c r="Q148" i="8"/>
  <c r="T7" i="15"/>
  <c r="T18" i="15" s="1"/>
  <c r="W10" i="15"/>
  <c r="W64" i="15"/>
  <c r="W3" i="15"/>
  <c r="X149" i="8" l="1"/>
  <c r="V148" i="8"/>
  <c r="W7" i="15"/>
  <c r="W66" i="15"/>
  <c r="T66" i="15"/>
  <c r="N196" i="8"/>
  <c r="O196" i="8" s="1"/>
  <c r="Q196" i="8" s="1"/>
  <c r="V196" i="8" s="1"/>
  <c r="T3" i="12"/>
  <c r="U3" i="12"/>
  <c r="V3" i="12"/>
  <c r="W3" i="12"/>
  <c r="P3" i="12"/>
  <c r="Q3" i="12"/>
  <c r="R3" i="12"/>
  <c r="Z3" i="12"/>
  <c r="Z11" i="12" s="1"/>
  <c r="Z69" i="12" s="1"/>
  <c r="O5" i="12"/>
  <c r="O4" i="12"/>
  <c r="O65" i="12" s="1"/>
  <c r="O64" i="12" s="1"/>
  <c r="G5" i="12"/>
  <c r="G4" i="12"/>
  <c r="O38" i="12"/>
  <c r="X38" i="12" s="1"/>
  <c r="AB38" i="12" s="1"/>
  <c r="O37" i="12"/>
  <c r="X37" i="12" s="1"/>
  <c r="AB37" i="12" s="1"/>
  <c r="O39" i="12"/>
  <c r="S39" i="12" s="1"/>
  <c r="O36" i="12"/>
  <c r="X36" i="12" s="1"/>
  <c r="AB36" i="12" s="1"/>
  <c r="O35" i="12"/>
  <c r="X35" i="12" s="1"/>
  <c r="AB35" i="12" s="1"/>
  <c r="O25" i="12"/>
  <c r="T25" i="12" s="1"/>
  <c r="AB64" i="12"/>
  <c r="Z64" i="12"/>
  <c r="Y64" i="12"/>
  <c r="X64" i="12"/>
  <c r="U64" i="12"/>
  <c r="T64" i="12"/>
  <c r="S64" i="12"/>
  <c r="R64" i="12"/>
  <c r="X49" i="12"/>
  <c r="X47" i="12"/>
  <c r="U46" i="12"/>
  <c r="S46" i="12"/>
  <c r="R46" i="12"/>
  <c r="O46" i="12"/>
  <c r="X46" i="12" s="1"/>
  <c r="Y13" i="12"/>
  <c r="U13" i="12"/>
  <c r="S13" i="12"/>
  <c r="R13" i="12"/>
  <c r="AC11" i="12"/>
  <c r="AA11" i="12"/>
  <c r="Y11" i="12"/>
  <c r="Y69" i="12" s="1"/>
  <c r="O7" i="12"/>
  <c r="AB7" i="12"/>
  <c r="X7" i="12"/>
  <c r="U7" i="12"/>
  <c r="T7" i="12"/>
  <c r="S7" i="12"/>
  <c r="R7" i="12"/>
  <c r="Q7" i="12"/>
  <c r="P7" i="12"/>
  <c r="H43" i="11"/>
  <c r="H39" i="11"/>
  <c r="I39" i="11" s="1"/>
  <c r="E39" i="11"/>
  <c r="F39" i="11" s="1"/>
  <c r="H37" i="11"/>
  <c r="F37" i="11"/>
  <c r="E37" i="11"/>
  <c r="H36" i="11"/>
  <c r="F36" i="11"/>
  <c r="E36" i="11"/>
  <c r="H35" i="11"/>
  <c r="F35" i="11"/>
  <c r="E35" i="11"/>
  <c r="H34" i="11"/>
  <c r="F34" i="11"/>
  <c r="E34" i="11"/>
  <c r="H33" i="11"/>
  <c r="F33" i="11"/>
  <c r="E33" i="11"/>
  <c r="H32" i="11"/>
  <c r="F32" i="11"/>
  <c r="E32" i="11"/>
  <c r="H31" i="11"/>
  <c r="F31" i="11"/>
  <c r="E31" i="11"/>
  <c r="H30" i="11"/>
  <c r="F30" i="11"/>
  <c r="E30" i="11"/>
  <c r="H29" i="11"/>
  <c r="F29" i="11"/>
  <c r="E29" i="11"/>
  <c r="H28" i="11"/>
  <c r="I37" i="11" s="1"/>
  <c r="F28" i="11"/>
  <c r="E28" i="11"/>
  <c r="H27" i="11"/>
  <c r="H38" i="11" s="1"/>
  <c r="H46" i="11" s="1"/>
  <c r="F27" i="11"/>
  <c r="E27" i="11"/>
  <c r="H26" i="11"/>
  <c r="F26" i="11"/>
  <c r="E26" i="11"/>
  <c r="H25" i="11"/>
  <c r="H24" i="11"/>
  <c r="F24" i="11"/>
  <c r="E24" i="11"/>
  <c r="H23" i="11"/>
  <c r="F23" i="11"/>
  <c r="E23" i="11"/>
  <c r="I22" i="11"/>
  <c r="H22" i="11"/>
  <c r="F22" i="11"/>
  <c r="E22" i="11"/>
  <c r="H19" i="11"/>
  <c r="E13" i="11"/>
  <c r="F13" i="11" s="1"/>
  <c r="H12" i="11"/>
  <c r="H20" i="11" s="1"/>
  <c r="E12" i="11"/>
  <c r="H10" i="11"/>
  <c r="H8" i="11"/>
  <c r="B4" i="11"/>
  <c r="J52" i="10"/>
  <c r="J42" i="10"/>
  <c r="J39" i="10"/>
  <c r="J37" i="10"/>
  <c r="F37" i="10"/>
  <c r="E37" i="10"/>
  <c r="J36" i="10"/>
  <c r="F36" i="10"/>
  <c r="E36" i="10"/>
  <c r="J35" i="10"/>
  <c r="F35" i="10"/>
  <c r="E35" i="10"/>
  <c r="J34" i="10"/>
  <c r="F34" i="10"/>
  <c r="E34" i="10"/>
  <c r="J33" i="10"/>
  <c r="F33" i="10"/>
  <c r="E33" i="10"/>
  <c r="J32" i="10"/>
  <c r="F32" i="10"/>
  <c r="E32" i="10"/>
  <c r="J31" i="10"/>
  <c r="F31" i="10"/>
  <c r="E31" i="10"/>
  <c r="J30" i="10"/>
  <c r="F30" i="10"/>
  <c r="E30" i="10"/>
  <c r="J29" i="10"/>
  <c r="F29" i="10"/>
  <c r="E29" i="10"/>
  <c r="J28" i="10"/>
  <c r="F28" i="10"/>
  <c r="E28" i="10"/>
  <c r="J27" i="10"/>
  <c r="F27" i="10"/>
  <c r="E27" i="10"/>
  <c r="J26" i="10"/>
  <c r="F26" i="10"/>
  <c r="E26" i="10"/>
  <c r="J25" i="10"/>
  <c r="J24" i="10"/>
  <c r="J44" i="10" s="1"/>
  <c r="F24" i="10"/>
  <c r="E24" i="10"/>
  <c r="J23" i="10"/>
  <c r="F23" i="10"/>
  <c r="E23" i="10"/>
  <c r="J22" i="10"/>
  <c r="F22" i="10"/>
  <c r="E22" i="10"/>
  <c r="E13" i="10"/>
  <c r="F13" i="10" s="1"/>
  <c r="J12" i="10"/>
  <c r="H12" i="10"/>
  <c r="E12" i="10"/>
  <c r="J10" i="10"/>
  <c r="J8" i="10"/>
  <c r="B4" i="10"/>
  <c r="P62" i="8"/>
  <c r="Q62" i="8" s="1"/>
  <c r="V62" i="8" s="1"/>
  <c r="N61" i="8"/>
  <c r="P61" i="8" s="1"/>
  <c r="Q61" i="8" s="1"/>
  <c r="V61" i="8" s="1"/>
  <c r="X148" i="8" l="1"/>
  <c r="Y149" i="8"/>
  <c r="Y148" i="8" s="1"/>
  <c r="X196" i="8"/>
  <c r="Y196" i="8" s="1"/>
  <c r="O3" i="12"/>
  <c r="S4" i="12"/>
  <c r="S5" i="12"/>
  <c r="X5" i="12" s="1"/>
  <c r="X39" i="12"/>
  <c r="AB39" i="12" s="1"/>
  <c r="U11" i="12"/>
  <c r="U69" i="12" s="1"/>
  <c r="X25" i="12"/>
  <c r="R11" i="12"/>
  <c r="R69" i="12" s="1"/>
  <c r="P11" i="12"/>
  <c r="AB46" i="12"/>
  <c r="Q11" i="12"/>
  <c r="T11" i="12"/>
  <c r="O13" i="12"/>
  <c r="O67" i="12" s="1"/>
  <c r="O11" i="12"/>
  <c r="AD7" i="12"/>
  <c r="I20" i="11"/>
  <c r="J20" i="11" s="1"/>
  <c r="I7" i="11" s="1"/>
  <c r="H21" i="11"/>
  <c r="J19" i="10"/>
  <c r="J20" i="10" s="1"/>
  <c r="Q63" i="8"/>
  <c r="V63" i="8" s="1"/>
  <c r="X63" i="8" s="1"/>
  <c r="Y63" i="8" s="1"/>
  <c r="Q64" i="8"/>
  <c r="V64" i="8" s="1"/>
  <c r="X64" i="8" s="1"/>
  <c r="Y64" i="8" s="1"/>
  <c r="Q65" i="8"/>
  <c r="V65" i="8" s="1"/>
  <c r="X65" i="8" s="1"/>
  <c r="Y65" i="8" s="1"/>
  <c r="Q66" i="8"/>
  <c r="V66" i="8" s="1"/>
  <c r="X66" i="8" s="1"/>
  <c r="Y66" i="8" s="1"/>
  <c r="X61" i="8"/>
  <c r="Y61" i="8" s="1"/>
  <c r="X62" i="8"/>
  <c r="Y62" i="8" s="1"/>
  <c r="X4" i="12" l="1" a="1"/>
  <c r="X4" i="12" s="1"/>
  <c r="X3" i="12" s="1"/>
  <c r="S3" i="12"/>
  <c r="S11" i="12" s="1"/>
  <c r="S69" i="12" s="1"/>
  <c r="AB5" i="12"/>
  <c r="AD5" i="12"/>
  <c r="AB55" i="12"/>
  <c r="T13" i="12"/>
  <c r="T67" i="12" s="1"/>
  <c r="T69" i="12" s="1"/>
  <c r="O69" i="12"/>
  <c r="AB13" i="12"/>
  <c r="H50" i="11"/>
  <c r="H51" i="11" s="1"/>
  <c r="H47" i="11"/>
  <c r="H48" i="11" s="1"/>
  <c r="K20" i="10"/>
  <c r="L20" i="10" s="1"/>
  <c r="K7" i="10" s="1"/>
  <c r="J21" i="10"/>
  <c r="Y122" i="8"/>
  <c r="N25" i="8"/>
  <c r="O25" i="8" s="1"/>
  <c r="F10" i="8"/>
  <c r="N10" i="8"/>
  <c r="O10" i="8" s="1"/>
  <c r="N11" i="8"/>
  <c r="F11" i="8"/>
  <c r="N5" i="9"/>
  <c r="O5" i="9"/>
  <c r="P5" i="9"/>
  <c r="Q5" i="9"/>
  <c r="R5" i="9"/>
  <c r="N3" i="9"/>
  <c r="P3" i="9"/>
  <c r="R3" i="9"/>
  <c r="O4" i="9"/>
  <c r="O3" i="9" s="1"/>
  <c r="M4" i="9"/>
  <c r="M3" i="9" s="1"/>
  <c r="L25" i="2" l="1"/>
  <c r="L27" i="2"/>
  <c r="L26" i="2"/>
  <c r="L23" i="2"/>
  <c r="L28" i="2"/>
  <c r="L24" i="2"/>
  <c r="L22" i="2"/>
  <c r="F89" i="2"/>
  <c r="F98" i="2" s="1"/>
  <c r="F99" i="2" s="1"/>
  <c r="F81" i="2"/>
  <c r="F5" i="8"/>
  <c r="R13" i="9"/>
  <c r="J81" i="2"/>
  <c r="Q4" i="9"/>
  <c r="Q3" i="9" s="1"/>
  <c r="Q13" i="9" s="1"/>
  <c r="N13" i="9"/>
  <c r="AB4" i="12"/>
  <c r="AD4" i="12"/>
  <c r="AD3" i="12" s="1"/>
  <c r="AB67" i="12"/>
  <c r="AD13" i="12"/>
  <c r="X13" i="12"/>
  <c r="X67" i="12" s="1"/>
  <c r="J48" i="10"/>
  <c r="J49" i="10" s="1"/>
  <c r="J51" i="10" s="1"/>
  <c r="J53" i="10" s="1"/>
  <c r="J45" i="10"/>
  <c r="J46" i="10" s="1"/>
  <c r="Q25" i="8"/>
  <c r="O110" i="8"/>
  <c r="Q110" i="8" s="1"/>
  <c r="V110" i="8" s="1"/>
  <c r="X110" i="8" s="1"/>
  <c r="Q10" i="8"/>
  <c r="V10" i="8" s="1"/>
  <c r="X10" i="8" s="1"/>
  <c r="Y10" i="8" s="1"/>
  <c r="O11" i="8"/>
  <c r="Q11" i="8" s="1"/>
  <c r="V11" i="8" s="1"/>
  <c r="X11" i="8" s="1"/>
  <c r="Y11" i="8" s="1"/>
  <c r="P13" i="9"/>
  <c r="O13" i="9"/>
  <c r="L21" i="2" l="1"/>
  <c r="L97" i="2"/>
  <c r="L94" i="2"/>
  <c r="L91" i="2"/>
  <c r="L95" i="2"/>
  <c r="L92" i="2"/>
  <c r="L96" i="2"/>
  <c r="L93" i="2"/>
  <c r="L90" i="2"/>
  <c r="M81" i="2"/>
  <c r="Q24" i="8"/>
  <c r="T4" i="9"/>
  <c r="T3" i="9" s="1"/>
  <c r="T13" i="9" s="1"/>
  <c r="Y110" i="8"/>
  <c r="AB3" i="12"/>
  <c r="AB11" i="12" s="1"/>
  <c r="AB69" i="12" s="1"/>
  <c r="AD11" i="12"/>
  <c r="X11" i="12"/>
  <c r="X69" i="12" s="1"/>
  <c r="X129" i="9"/>
  <c r="M124" i="9"/>
  <c r="R124" i="9" s="1"/>
  <c r="M125" i="9"/>
  <c r="M126" i="9"/>
  <c r="M127" i="9"/>
  <c r="R127" i="9" s="1"/>
  <c r="M121" i="9"/>
  <c r="R121" i="9" s="1"/>
  <c r="M122" i="9"/>
  <c r="M123" i="9"/>
  <c r="M110" i="9"/>
  <c r="R110" i="9" s="1"/>
  <c r="M111" i="9"/>
  <c r="R111" i="9" s="1"/>
  <c r="M112" i="9"/>
  <c r="R112" i="9" s="1"/>
  <c r="M78" i="9"/>
  <c r="R78" i="9" s="1"/>
  <c r="M113" i="9"/>
  <c r="R113" i="9" s="1"/>
  <c r="M114" i="9"/>
  <c r="R114" i="9" s="1"/>
  <c r="M115" i="9"/>
  <c r="R115" i="9" s="1"/>
  <c r="M116" i="9"/>
  <c r="R116" i="9" s="1"/>
  <c r="M117" i="9"/>
  <c r="R117" i="9" s="1"/>
  <c r="M118" i="9"/>
  <c r="R118" i="9" s="1"/>
  <c r="M119" i="9"/>
  <c r="M120" i="9"/>
  <c r="M109" i="9"/>
  <c r="R109" i="9" s="1"/>
  <c r="M72" i="9"/>
  <c r="M73" i="9"/>
  <c r="R73" i="9" s="1"/>
  <c r="M74" i="9"/>
  <c r="R74" i="9" s="1"/>
  <c r="T74" i="9" s="1"/>
  <c r="X74" i="9" s="1"/>
  <c r="M75" i="9"/>
  <c r="M76" i="9"/>
  <c r="M77" i="9"/>
  <c r="M65" i="9"/>
  <c r="R65" i="9" s="1"/>
  <c r="T65" i="9" s="1"/>
  <c r="X65" i="9" s="1"/>
  <c r="M66" i="9"/>
  <c r="R66" i="9" s="1"/>
  <c r="T66" i="9" s="1"/>
  <c r="X66" i="9" s="1"/>
  <c r="M67" i="9"/>
  <c r="R67" i="9" s="1"/>
  <c r="M68" i="9"/>
  <c r="R68" i="9" s="1"/>
  <c r="M69" i="9"/>
  <c r="R69" i="9" s="1"/>
  <c r="M70" i="9"/>
  <c r="R70" i="9" s="1"/>
  <c r="M71" i="9"/>
  <c r="R71" i="9" s="1"/>
  <c r="T71" i="9" s="1"/>
  <c r="X71" i="9" s="1"/>
  <c r="M61" i="9"/>
  <c r="R61" i="9" s="1"/>
  <c r="M62" i="9"/>
  <c r="R62" i="9" s="1"/>
  <c r="T62" i="9" s="1"/>
  <c r="X62" i="9" s="1"/>
  <c r="M63" i="9"/>
  <c r="R63" i="9" s="1"/>
  <c r="M64" i="9"/>
  <c r="M54" i="9"/>
  <c r="M55" i="9"/>
  <c r="R55" i="9" s="1"/>
  <c r="T55" i="9" s="1"/>
  <c r="X55" i="9" s="1"/>
  <c r="M56" i="9"/>
  <c r="R56" i="9" s="1"/>
  <c r="T56" i="9" s="1"/>
  <c r="X56" i="9" s="1"/>
  <c r="M57" i="9"/>
  <c r="R57" i="9" s="1"/>
  <c r="M58" i="9"/>
  <c r="M59" i="9"/>
  <c r="R59" i="9" s="1"/>
  <c r="T59" i="9" s="1"/>
  <c r="X59" i="9" s="1"/>
  <c r="M60" i="9"/>
  <c r="R60" i="9" s="1"/>
  <c r="T60" i="9" s="1"/>
  <c r="X60" i="9" s="1"/>
  <c r="M49" i="9"/>
  <c r="M50" i="9"/>
  <c r="M51" i="9"/>
  <c r="R51" i="9" s="1"/>
  <c r="T51" i="9" s="1"/>
  <c r="X51" i="9" s="1"/>
  <c r="M52" i="9"/>
  <c r="R52" i="9" s="1"/>
  <c r="M53" i="9"/>
  <c r="M44" i="9"/>
  <c r="R44" i="9" s="1"/>
  <c r="M45" i="9"/>
  <c r="R45" i="9" s="1"/>
  <c r="M46" i="9"/>
  <c r="M47" i="9"/>
  <c r="M48" i="9"/>
  <c r="V24" i="8" l="1"/>
  <c r="X25" i="8"/>
  <c r="X24" i="8" s="1"/>
  <c r="T127" i="9"/>
  <c r="X127" i="9" s="1"/>
  <c r="T118" i="9"/>
  <c r="X118" i="9" s="1"/>
  <c r="T111" i="9"/>
  <c r="X111" i="9" s="1"/>
  <c r="T78" i="9"/>
  <c r="X78" i="9" s="1"/>
  <c r="R122" i="9"/>
  <c r="T122" i="9" s="1"/>
  <c r="X122" i="9" s="1"/>
  <c r="T115" i="9"/>
  <c r="X115" i="9" s="1"/>
  <c r="T109" i="9"/>
  <c r="T110" i="9"/>
  <c r="X110" i="9" s="1"/>
  <c r="T114" i="9"/>
  <c r="X114" i="9" s="1"/>
  <c r="T124" i="9"/>
  <c r="X124" i="9" s="1"/>
  <c r="T117" i="9"/>
  <c r="X117" i="9" s="1"/>
  <c r="T113" i="9"/>
  <c r="X113" i="9" s="1"/>
  <c r="T121" i="9"/>
  <c r="X121" i="9" s="1"/>
  <c r="T116" i="9"/>
  <c r="X116" i="9" s="1"/>
  <c r="T112" i="9"/>
  <c r="X112" i="9" s="1"/>
  <c r="R126" i="9"/>
  <c r="T126" i="9" s="1"/>
  <c r="X126" i="9" s="1"/>
  <c r="R123" i="9"/>
  <c r="T123" i="9" s="1"/>
  <c r="X123" i="9" s="1"/>
  <c r="R120" i="9"/>
  <c r="T120" i="9" s="1"/>
  <c r="X120" i="9" s="1"/>
  <c r="R125" i="9"/>
  <c r="T125" i="9" s="1"/>
  <c r="X125" i="9" s="1"/>
  <c r="R119" i="9"/>
  <c r="T119" i="9" s="1"/>
  <c r="X119" i="9" s="1"/>
  <c r="T61" i="9"/>
  <c r="X61" i="9" s="1"/>
  <c r="T68" i="9"/>
  <c r="X68" i="9" s="1"/>
  <c r="R46" i="9"/>
  <c r="T46" i="9" s="1"/>
  <c r="X46" i="9" s="1"/>
  <c r="R47" i="9"/>
  <c r="T47" i="9" s="1"/>
  <c r="X47" i="9" s="1"/>
  <c r="T57" i="9"/>
  <c r="X57" i="9" s="1"/>
  <c r="R50" i="9"/>
  <c r="T50" i="9" s="1"/>
  <c r="X50" i="9" s="1"/>
  <c r="R54" i="9"/>
  <c r="T54" i="9" s="1"/>
  <c r="X54" i="9" s="1"/>
  <c r="T70" i="9"/>
  <c r="X70" i="9" s="1"/>
  <c r="R58" i="9"/>
  <c r="T58" i="9" s="1"/>
  <c r="X58" i="9" s="1"/>
  <c r="R64" i="9"/>
  <c r="T64" i="9" s="1"/>
  <c r="X64" i="9" s="1"/>
  <c r="R48" i="9"/>
  <c r="T48" i="9" s="1"/>
  <c r="X48" i="9" s="1"/>
  <c r="R53" i="9"/>
  <c r="T53" i="9" s="1"/>
  <c r="X53" i="9" s="1"/>
  <c r="R49" i="9"/>
  <c r="T49" i="9" s="1"/>
  <c r="X49" i="9" s="1"/>
  <c r="T69" i="9"/>
  <c r="X69" i="9" s="1"/>
  <c r="T73" i="9"/>
  <c r="X73" i="9" s="1"/>
  <c r="R72" i="9"/>
  <c r="T72" i="9" s="1"/>
  <c r="X72" i="9" s="1"/>
  <c r="R77" i="9"/>
  <c r="T77" i="9" s="1"/>
  <c r="X77" i="9" s="1"/>
  <c r="T45" i="9"/>
  <c r="X45" i="9" s="1"/>
  <c r="T67" i="9"/>
  <c r="X67" i="9" s="1"/>
  <c r="T52" i="9"/>
  <c r="X52" i="9" s="1"/>
  <c r="R76" i="9"/>
  <c r="T76" i="9" s="1"/>
  <c r="X76" i="9" s="1"/>
  <c r="T63" i="9"/>
  <c r="X63" i="9" s="1"/>
  <c r="R75" i="9"/>
  <c r="T75" i="9" s="1"/>
  <c r="X75" i="9" s="1"/>
  <c r="Y25" i="8" l="1"/>
  <c r="Y24" i="8" s="1"/>
  <c r="X44" i="9"/>
  <c r="T44" i="9"/>
  <c r="X109" i="9"/>
  <c r="X108" i="9" s="1"/>
  <c r="X107" i="9" s="1"/>
  <c r="T108" i="9"/>
  <c r="T27" i="9"/>
  <c r="X27" i="9" s="1"/>
  <c r="T28" i="9"/>
  <c r="X28" i="9" s="1"/>
  <c r="X29" i="9"/>
  <c r="X81" i="9"/>
  <c r="X80" i="9" s="1"/>
  <c r="V129" i="9" l="1"/>
  <c r="U129" i="9"/>
  <c r="T129" i="9"/>
  <c r="S129" i="9"/>
  <c r="R129" i="9"/>
  <c r="Q129" i="9"/>
  <c r="P129" i="9"/>
  <c r="T22" i="9"/>
  <c r="X22" i="9" s="1"/>
  <c r="T21" i="9"/>
  <c r="X21" i="9" s="1"/>
  <c r="X20" i="9"/>
  <c r="X19" i="9"/>
  <c r="T18" i="9"/>
  <c r="M16" i="9"/>
  <c r="M15" i="9" s="1"/>
  <c r="S15" i="9"/>
  <c r="Q15" i="9"/>
  <c r="P15" i="9"/>
  <c r="T102" i="9"/>
  <c r="X102" i="9" s="1"/>
  <c r="M100" i="9"/>
  <c r="Q84" i="9"/>
  <c r="T26" i="9"/>
  <c r="R24" i="9"/>
  <c r="P24" i="9"/>
  <c r="W13" i="9"/>
  <c r="V13" i="9"/>
  <c r="V104" i="9" s="1"/>
  <c r="U13" i="9"/>
  <c r="H12" i="9"/>
  <c r="H11" i="9"/>
  <c r="H10" i="9"/>
  <c r="H9" i="9"/>
  <c r="H8" i="9"/>
  <c r="H7" i="9"/>
  <c r="H6" i="9"/>
  <c r="M130" i="9"/>
  <c r="M129" i="9" s="1"/>
  <c r="X18" i="9" l="1"/>
  <c r="X15" i="9" s="1"/>
  <c r="R107" i="9"/>
  <c r="R104" i="9" s="1"/>
  <c r="X26" i="9"/>
  <c r="X25" i="9" s="1"/>
  <c r="T25" i="9"/>
  <c r="M6" i="9"/>
  <c r="S6" i="9" s="1"/>
  <c r="P104" i="9"/>
  <c r="U104" i="9"/>
  <c r="M24" i="9"/>
  <c r="Q24" i="9"/>
  <c r="Q100" i="9"/>
  <c r="T16" i="9"/>
  <c r="S100" i="9" l="1"/>
  <c r="T15" i="9"/>
  <c r="S5" i="9"/>
  <c r="S13" i="9" s="1"/>
  <c r="S104" i="9" s="1"/>
  <c r="X6" i="9"/>
  <c r="M5" i="9"/>
  <c r="M13" i="9" s="1"/>
  <c r="M107" i="9"/>
  <c r="Q104" i="9"/>
  <c r="O96" i="8"/>
  <c r="Q96" i="8" s="1"/>
  <c r="V96" i="8" s="1"/>
  <c r="X96" i="8" s="1"/>
  <c r="J173" i="8"/>
  <c r="F173" i="8" s="1"/>
  <c r="F93" i="8"/>
  <c r="F94" i="8"/>
  <c r="F95" i="8"/>
  <c r="T100" i="9" l="1"/>
  <c r="S24" i="9"/>
  <c r="M104" i="9"/>
  <c r="X4" i="9"/>
  <c r="X3" i="9" s="1"/>
  <c r="X13" i="9" s="1"/>
  <c r="M174" i="8"/>
  <c r="N174" i="8" s="1"/>
  <c r="M173" i="8"/>
  <c r="N94" i="8"/>
  <c r="O94" i="8" s="1"/>
  <c r="Q94" i="8" s="1"/>
  <c r="V94" i="8" s="1"/>
  <c r="X94" i="8" s="1"/>
  <c r="Y94" i="8" s="1"/>
  <c r="N95" i="8"/>
  <c r="O95" i="8" s="1"/>
  <c r="N93" i="8"/>
  <c r="O93" i="8" s="1"/>
  <c r="P153" i="8"/>
  <c r="Q153" i="8" s="1"/>
  <c r="V153" i="8" s="1"/>
  <c r="X153" i="8" s="1"/>
  <c r="Y153" i="8" s="1"/>
  <c r="N142" i="8"/>
  <c r="O142" i="8" s="1"/>
  <c r="Q142" i="8" s="1"/>
  <c r="V142" i="8" s="1"/>
  <c r="X142" i="8" s="1"/>
  <c r="Y142" i="8" s="1"/>
  <c r="N141" i="8"/>
  <c r="N152" i="8"/>
  <c r="N151" i="8" s="1"/>
  <c r="N140" i="8"/>
  <c r="X100" i="9" l="1"/>
  <c r="T24" i="9"/>
  <c r="T107" i="9" s="1"/>
  <c r="T104" i="9" s="1"/>
  <c r="O140" i="8"/>
  <c r="Q140" i="8" s="1"/>
  <c r="N123" i="8"/>
  <c r="N173" i="8"/>
  <c r="O174" i="8"/>
  <c r="Q174" i="8" s="1"/>
  <c r="V174" i="8" s="1"/>
  <c r="X174" i="8" s="1"/>
  <c r="Q93" i="8"/>
  <c r="V93" i="8" s="1"/>
  <c r="Q95" i="8"/>
  <c r="V95" i="8" s="1"/>
  <c r="X95" i="8" s="1"/>
  <c r="Y95" i="8" s="1"/>
  <c r="O141" i="8"/>
  <c r="Q141" i="8" s="1"/>
  <c r="V141" i="8" s="1"/>
  <c r="X141" i="8" s="1"/>
  <c r="Y141" i="8" s="1"/>
  <c r="P152" i="8"/>
  <c r="P151" i="8" s="1"/>
  <c r="O198" i="8"/>
  <c r="V198" i="8" s="1"/>
  <c r="O172" i="8"/>
  <c r="N121" i="8"/>
  <c r="Y119" i="8"/>
  <c r="N119" i="8"/>
  <c r="N118" i="8"/>
  <c r="Y77" i="8"/>
  <c r="Y76" i="8" s="1"/>
  <c r="N60" i="8"/>
  <c r="P60" i="8" s="1"/>
  <c r="Q60" i="8" s="1"/>
  <c r="V60" i="8" s="1"/>
  <c r="X60" i="8" s="1"/>
  <c r="Y60" i="8" s="1"/>
  <c r="N59" i="8"/>
  <c r="N58" i="8"/>
  <c r="P58" i="8" s="1"/>
  <c r="Q58" i="8" s="1"/>
  <c r="V58" i="8" s="1"/>
  <c r="X58" i="8" s="1"/>
  <c r="Y58" i="8" s="1"/>
  <c r="N57" i="8"/>
  <c r="N56" i="8"/>
  <c r="N55" i="8"/>
  <c r="N54" i="8"/>
  <c r="Y53" i="8"/>
  <c r="Y47" i="8"/>
  <c r="M44" i="8"/>
  <c r="N44" i="8"/>
  <c r="X19" i="8"/>
  <c r="X16" i="8" s="1"/>
  <c r="N9" i="8"/>
  <c r="K9" i="8"/>
  <c r="N8" i="8"/>
  <c r="K8" i="8"/>
  <c r="N7" i="8"/>
  <c r="K7" i="8"/>
  <c r="N6" i="8"/>
  <c r="K6" i="8"/>
  <c r="N14" i="8"/>
  <c r="P14" i="8" s="1"/>
  <c r="P5" i="8" s="1"/>
  <c r="K14" i="8"/>
  <c r="V92" i="8" l="1"/>
  <c r="K5" i="8"/>
  <c r="N5" i="8"/>
  <c r="X93" i="8"/>
  <c r="N52" i="8"/>
  <c r="X83" i="9"/>
  <c r="N117" i="8"/>
  <c r="V172" i="8"/>
  <c r="O121" i="8"/>
  <c r="O120" i="8" s="1"/>
  <c r="N120" i="8"/>
  <c r="Q123" i="8"/>
  <c r="O123" i="8"/>
  <c r="P45" i="18"/>
  <c r="P55" i="8"/>
  <c r="Q55" i="8" s="1"/>
  <c r="P119" i="8"/>
  <c r="P118" i="8"/>
  <c r="X198" i="8"/>
  <c r="Y198" i="8" s="1"/>
  <c r="Y194" i="8" s="1"/>
  <c r="Y193" i="8" s="1"/>
  <c r="V194" i="8"/>
  <c r="V193" i="8" s="1"/>
  <c r="Y50" i="8"/>
  <c r="Y49" i="8" s="1"/>
  <c r="Y19" i="8"/>
  <c r="Y16" i="8" s="1"/>
  <c r="O173" i="8"/>
  <c r="Q173" i="8" s="1"/>
  <c r="V173" i="8" s="1"/>
  <c r="X173" i="8" s="1"/>
  <c r="V140" i="8"/>
  <c r="Q152" i="8"/>
  <c r="Q198" i="8"/>
  <c r="Q14" i="8"/>
  <c r="V14" i="8" s="1"/>
  <c r="O44" i="8"/>
  <c r="Q44" i="8" s="1"/>
  <c r="Q42" i="8" s="1"/>
  <c r="P59" i="8"/>
  <c r="Q59" i="8" s="1"/>
  <c r="V59" i="8" s="1"/>
  <c r="X59" i="8" s="1"/>
  <c r="Y59" i="8" s="1"/>
  <c r="P57" i="8"/>
  <c r="Q57" i="8" s="1"/>
  <c r="V57" i="8" s="1"/>
  <c r="X57" i="8" s="1"/>
  <c r="Y57" i="8" s="1"/>
  <c r="P56" i="8"/>
  <c r="Q56" i="8" s="1"/>
  <c r="V56" i="8" s="1"/>
  <c r="X56" i="8" s="1"/>
  <c r="Y56" i="8" s="1"/>
  <c r="O6" i="8"/>
  <c r="Q6" i="8" s="1"/>
  <c r="O7" i="8"/>
  <c r="Q7" i="8" s="1"/>
  <c r="O8" i="8"/>
  <c r="Q8" i="8" s="1"/>
  <c r="O9" i="8"/>
  <c r="Q9" i="8" s="1"/>
  <c r="P54" i="8"/>
  <c r="Q172" i="8"/>
  <c r="P189" i="8"/>
  <c r="Y92" i="8" l="1"/>
  <c r="X92" i="8"/>
  <c r="AD102" i="8"/>
  <c r="X14" i="8"/>
  <c r="Y14" i="8" s="1"/>
  <c r="Y93" i="8"/>
  <c r="O5" i="8"/>
  <c r="N116" i="8"/>
  <c r="X137" i="9"/>
  <c r="X24" i="9"/>
  <c r="X104" i="9" s="1"/>
  <c r="X132" i="9" s="1"/>
  <c r="P52" i="8"/>
  <c r="Q171" i="8"/>
  <c r="Q121" i="8"/>
  <c r="Q120" i="8" s="1"/>
  <c r="P117" i="8"/>
  <c r="P116" i="8" s="1"/>
  <c r="V121" i="8"/>
  <c r="V120" i="8" s="1"/>
  <c r="X140" i="8"/>
  <c r="X123" i="8" s="1"/>
  <c r="V123" i="8"/>
  <c r="O171" i="8"/>
  <c r="O116" i="8" s="1"/>
  <c r="V152" i="8"/>
  <c r="V151" i="8" s="1"/>
  <c r="Q151" i="8"/>
  <c r="X172" i="8"/>
  <c r="Y172" i="8" s="1"/>
  <c r="V171" i="8"/>
  <c r="Q5" i="8"/>
  <c r="Q54" i="8"/>
  <c r="Q52" i="8" s="1"/>
  <c r="Q45" i="18"/>
  <c r="V55" i="8"/>
  <c r="X55" i="8" s="1"/>
  <c r="Y55" i="8" s="1"/>
  <c r="X194" i="8"/>
  <c r="X193" i="8" s="1"/>
  <c r="S7" i="8"/>
  <c r="V7" i="8" s="1"/>
  <c r="X7" i="8" s="1"/>
  <c r="Y7" i="8" s="1"/>
  <c r="S9" i="8"/>
  <c r="V9" i="8" s="1"/>
  <c r="X9" i="8" s="1"/>
  <c r="Y9" i="8" s="1"/>
  <c r="S8" i="8"/>
  <c r="V8" i="8" s="1"/>
  <c r="X8" i="8" s="1"/>
  <c r="Y8" i="8" s="1"/>
  <c r="V44" i="8"/>
  <c r="Q189" i="8"/>
  <c r="V189" i="8" s="1"/>
  <c r="V188" i="8" s="1"/>
  <c r="V182" i="8" s="1"/>
  <c r="X121" i="8" l="1"/>
  <c r="X120" i="8" s="1"/>
  <c r="Y120" i="8" s="1"/>
  <c r="Q116" i="8"/>
  <c r="Y140" i="8"/>
  <c r="X171" i="8"/>
  <c r="X152" i="8"/>
  <c r="X151" i="8" s="1"/>
  <c r="V116" i="8"/>
  <c r="S6" i="8"/>
  <c r="S5" i="8" s="1"/>
  <c r="Y123" i="8"/>
  <c r="V54" i="8"/>
  <c r="V52" i="8" s="1"/>
  <c r="X44" i="8"/>
  <c r="X189" i="8"/>
  <c r="M64" i="2" l="1"/>
  <c r="Y171" i="8"/>
  <c r="Y121" i="8"/>
  <c r="V6" i="8"/>
  <c r="V5" i="8" s="1"/>
  <c r="Y152" i="8"/>
  <c r="Y151" i="8" s="1"/>
  <c r="Y44" i="8"/>
  <c r="Y42" i="8" s="1"/>
  <c r="X45" i="18"/>
  <c r="Z45" i="18"/>
  <c r="Z22" i="18" s="1"/>
  <c r="Z4" i="18" s="1"/>
  <c r="Q20" i="8"/>
  <c r="X54" i="8"/>
  <c r="X52" i="8" s="1"/>
  <c r="V20" i="8"/>
  <c r="Y189" i="8"/>
  <c r="Y188" i="8" s="1"/>
  <c r="Y182" i="8" s="1"/>
  <c r="X188" i="8"/>
  <c r="X182" i="8" s="1"/>
  <c r="M63" i="2" l="1"/>
  <c r="I25" i="2"/>
  <c r="I22" i="2"/>
  <c r="I28" i="2"/>
  <c r="I26" i="2"/>
  <c r="I23" i="2"/>
  <c r="I27" i="2"/>
  <c r="I24" i="2"/>
  <c r="X6" i="8"/>
  <c r="X5" i="8" s="1"/>
  <c r="X116" i="8"/>
  <c r="Y6" i="8"/>
  <c r="Y5" i="8" s="1"/>
  <c r="Y54" i="8"/>
  <c r="Y52" i="8" s="1"/>
  <c r="R104" i="5"/>
  <c r="U104" i="5" s="1"/>
  <c r="Y104" i="5" s="1"/>
  <c r="Z104" i="5" s="1"/>
  <c r="X104" i="5" s="1"/>
  <c r="P104" i="5"/>
  <c r="L104" i="5"/>
  <c r="Y103" i="5"/>
  <c r="Y94" i="5"/>
  <c r="Y92" i="5" s="1"/>
  <c r="L93" i="5"/>
  <c r="Z92" i="5"/>
  <c r="X92" i="5"/>
  <c r="N90" i="5"/>
  <c r="L90" i="5" s="1"/>
  <c r="N56" i="5"/>
  <c r="Q52" i="5"/>
  <c r="Q51" i="5" s="1"/>
  <c r="P51" i="5"/>
  <c r="N51" i="5"/>
  <c r="L38" i="5"/>
  <c r="L37" i="5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P14" i="5"/>
  <c r="V5" i="5"/>
  <c r="V54" i="5" s="1"/>
  <c r="T5" i="5"/>
  <c r="T54" i="5" s="1"/>
  <c r="T4" i="5" s="1"/>
  <c r="S5" i="5"/>
  <c r="S54" i="5" s="1"/>
  <c r="S4" i="5" s="1"/>
  <c r="Q5" i="5"/>
  <c r="O4" i="5"/>
  <c r="O3" i="5" s="1"/>
  <c r="I21" i="2" l="1"/>
  <c r="X176" i="8"/>
  <c r="Y116" i="8"/>
  <c r="Y20" i="8"/>
  <c r="Y80" i="8" s="1"/>
  <c r="AA45" i="18"/>
  <c r="AA22" i="18" s="1"/>
  <c r="AA4" i="18" s="1"/>
  <c r="X20" i="8"/>
  <c r="X80" i="8" s="1"/>
  <c r="N60" i="5"/>
  <c r="R60" i="5" s="1"/>
  <c r="L88" i="5"/>
  <c r="N5" i="5"/>
  <c r="P5" i="5"/>
  <c r="P54" i="5" s="1"/>
  <c r="P4" i="5" s="1"/>
  <c r="P3" i="5" s="1"/>
  <c r="N14" i="5"/>
  <c r="Z88" i="5"/>
  <c r="Y88" i="5"/>
  <c r="R52" i="5"/>
  <c r="R51" i="5" s="1"/>
  <c r="R58" i="5"/>
  <c r="Z58" i="5" s="1"/>
  <c r="N93" i="5"/>
  <c r="M40" i="2" l="1"/>
  <c r="N86" i="5"/>
  <c r="N54" i="5"/>
  <c r="N4" i="5" s="1"/>
  <c r="N88" i="5"/>
  <c r="Q93" i="5"/>
  <c r="R93" i="5" s="1"/>
  <c r="U93" i="5" s="1"/>
  <c r="Y93" i="5" s="1"/>
  <c r="Z93" i="5" s="1"/>
  <c r="Q14" i="5"/>
  <c r="Q54" i="5" s="1"/>
  <c r="Q4" i="5" s="1"/>
  <c r="Q3" i="5" s="1"/>
  <c r="M20" i="2" l="1"/>
  <c r="N3" i="5"/>
  <c r="R14" i="5"/>
  <c r="R5" i="5"/>
  <c r="R54" i="5" s="1"/>
  <c r="R4" i="5" s="1"/>
  <c r="R3" i="5" s="1"/>
  <c r="Y14" i="5" l="1"/>
  <c r="U5" i="5"/>
  <c r="U54" i="5" s="1"/>
  <c r="U4" i="5" s="1"/>
  <c r="Y5" i="5" l="1"/>
  <c r="Y54" i="5" s="1"/>
  <c r="Y4" i="5" s="1"/>
  <c r="Y3" i="5" s="1"/>
  <c r="X14" i="5"/>
  <c r="Z14" i="5"/>
  <c r="X5" i="5" l="1"/>
  <c r="X54" i="5" s="1"/>
  <c r="Z5" i="5"/>
  <c r="Z54" i="5" s="1"/>
  <c r="Z4" i="5" s="1"/>
  <c r="Z3" i="5" s="1"/>
  <c r="Y173" i="8" l="1"/>
  <c r="F174" i="8"/>
  <c r="Y174" i="8" l="1"/>
  <c r="Y176" i="8" s="1"/>
  <c r="M4" i="2" l="1"/>
  <c r="M3" i="2" l="1"/>
  <c r="J89" i="2" l="1"/>
  <c r="M89" i="2" s="1"/>
  <c r="J98" i="2" l="1"/>
  <c r="M98" i="2" s="1"/>
  <c r="J99" i="2" l="1"/>
  <c r="M99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</author>
  </authors>
  <commentList>
    <comment ref="J5" authorId="0" shapeId="0" xr:uid="{132E7773-4154-409A-B459-224380ED1DE6}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son 631 tn en total</t>
        </r>
      </text>
    </comment>
    <comment ref="D99" authorId="0" shapeId="0" xr:uid="{023EAB7D-9FE2-4A0A-B1FF-388B77F2C7BD}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MAIZ ENTREGADO A TODO CAMPO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</author>
  </authors>
  <commentList>
    <comment ref="A25" authorId="0" shapeId="0" xr:uid="{43A39E5A-D9EC-4702-85D5-5D06A168A025}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saldo real a la fecha $17.797.581</t>
        </r>
      </text>
    </comment>
    <comment ref="S89" authorId="0" shapeId="0" xr:uid="{79C9DB97-3B04-4E67-A6E7-7A73FEA74975}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PAGOS REALIZADOS EN INS
</t>
        </r>
      </text>
    </comment>
    <comment ref="B126" authorId="0" shapeId="0" xr:uid="{AF126A14-93EA-4B9D-9C46-C886D6969E87}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SE RETIRO 2M POR CAJERO PARA PAGAR A ANDRE 1,5 Y A DAVI 0,5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</author>
  </authors>
  <commentList>
    <comment ref="B14" authorId="0" shapeId="0" xr:uid="{D4ACD788-15BA-49EB-B73A-24A59FDC8CB6}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ESTA COMPRA SE REALIZO EN EL 2023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</author>
  </authors>
  <commentList>
    <comment ref="J5" authorId="0" shapeId="0" xr:uid="{7B4875F1-FB2F-4991-B5B3-E53C6C6B7024}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164.000 RINDIO 6-6-24
23 HAS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</author>
  </authors>
  <commentList>
    <comment ref="S2" authorId="0" shapeId="0" xr:uid="{D7887808-B8AF-47F5-9B25-A4DF6213B195}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se recuperan $362.232,50 p/ liquidacion final+ la soja sust
</t>
        </r>
      </text>
    </comment>
    <comment ref="W2" authorId="0" shapeId="0" xr:uid="{CB36F723-1721-4D72-BCEB-B2BFC09844B0}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Se descuentan del TOTAL lo que se adelanto en concepto
 de Gasoil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</author>
  </authors>
  <commentList>
    <comment ref="K6" authorId="0" shapeId="0" xr:uid="{D9EBFFCC-4893-4EC1-8D9E-9F9E448A6424}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$2055,28</t>
        </r>
      </text>
    </comment>
    <comment ref="K7" authorId="0" shapeId="0" xr:uid="{8E5B3DD8-B276-4C13-B9D8-9CAB12F5188C}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$2059,52
</t>
        </r>
      </text>
    </comment>
    <comment ref="K8" authorId="0" shapeId="0" xr:uid="{818AE899-C5E7-431C-987D-95E7896F8497}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$2041,86 REAL
</t>
        </r>
      </text>
    </comment>
    <comment ref="K9" authorId="0" shapeId="0" xr:uid="{5FE1A617-4B07-48EC-A6F3-54274EE54727}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EN EL RECIBO FIGURA LIQUIDADO A $1520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<sst xmlns="http://schemas.openxmlformats.org/spreadsheetml/2006/main" count="5579" uniqueCount="1165">
  <si>
    <t>FECHA</t>
  </si>
  <si>
    <t>DESCRIPCION</t>
  </si>
  <si>
    <t>N DE REFERENCIA</t>
  </si>
  <si>
    <t>EGRESOS</t>
  </si>
  <si>
    <t>INGRESOS</t>
  </si>
  <si>
    <t>SALDO</t>
  </si>
  <si>
    <t>TC</t>
  </si>
  <si>
    <t>EGRES USD</t>
  </si>
  <si>
    <t>INGRES USD</t>
  </si>
  <si>
    <t>MONEDA</t>
  </si>
  <si>
    <t>CUENTA</t>
  </si>
  <si>
    <t>BANCO</t>
  </si>
  <si>
    <t>ACTIVIDAD</t>
  </si>
  <si>
    <t>RUBRO</t>
  </si>
  <si>
    <t>CONCEPTO</t>
  </si>
  <si>
    <t>DETALLES</t>
  </si>
  <si>
    <t>PROVEEDOR CLIENTE</t>
  </si>
  <si>
    <t>FACTURA</t>
  </si>
  <si>
    <t>RDS</t>
  </si>
  <si>
    <t>SOCIO</t>
  </si>
  <si>
    <t>CAMPAÑA</t>
  </si>
  <si>
    <t>ARS</t>
  </si>
  <si>
    <t>CC</t>
  </si>
  <si>
    <t>NACION</t>
  </si>
  <si>
    <t>23/24</t>
  </si>
  <si>
    <t>EFECTIVO</t>
  </si>
  <si>
    <t>-</t>
  </si>
  <si>
    <t>GALICIA</t>
  </si>
  <si>
    <t>LUBRICANTES</t>
  </si>
  <si>
    <t>22/23</t>
  </si>
  <si>
    <t>CHEQUE 48 HS</t>
  </si>
  <si>
    <t>GASTOS ADM</t>
  </si>
  <si>
    <t>TASA GRAL</t>
  </si>
  <si>
    <t>MANTENIMIENTO</t>
  </si>
  <si>
    <t>IVA</t>
  </si>
  <si>
    <t>IVA PERCEPCION</t>
  </si>
  <si>
    <t>INTERESES</t>
  </si>
  <si>
    <t>SELLOS</t>
  </si>
  <si>
    <t>AGRICULTURA</t>
  </si>
  <si>
    <t>CULT. COBERTURA</t>
  </si>
  <si>
    <t>ALFALFA</t>
  </si>
  <si>
    <t>ROLLOS</t>
  </si>
  <si>
    <t>LUNA</t>
  </si>
  <si>
    <t>X</t>
  </si>
  <si>
    <t>SIN FACT</t>
  </si>
  <si>
    <t>MACRO</t>
  </si>
  <si>
    <t>COMISIONES</t>
  </si>
  <si>
    <t>GANADERIA</t>
  </si>
  <si>
    <t>COMBUSTIBLE</t>
  </si>
  <si>
    <t>TRF INMED PROVEED</t>
  </si>
  <si>
    <t>HONORARIOS</t>
  </si>
  <si>
    <t>PAMPA</t>
  </si>
  <si>
    <t>INSUMOS</t>
  </si>
  <si>
    <t>N66897507</t>
  </si>
  <si>
    <t>CULT. PRINCIPAL</t>
  </si>
  <si>
    <t>SOJA</t>
  </si>
  <si>
    <t>SIEMBRA</t>
  </si>
  <si>
    <t>ARIEL RODRIGUEZ</t>
  </si>
  <si>
    <t>N0395</t>
  </si>
  <si>
    <t>FACT PAGADAS</t>
  </si>
  <si>
    <t>SEGUROS</t>
  </si>
  <si>
    <t>N66897508</t>
  </si>
  <si>
    <t>LABORATORIO</t>
  </si>
  <si>
    <t>CHEQUE 48 HS.</t>
  </si>
  <si>
    <t>CENTENO 106HAS</t>
  </si>
  <si>
    <t>COSECHA</t>
  </si>
  <si>
    <t>NICOLA EDUARDO M</t>
  </si>
  <si>
    <t>N0128</t>
  </si>
  <si>
    <t>N0002</t>
  </si>
  <si>
    <t>CHEQUE P/CAMARA</t>
  </si>
  <si>
    <t>N46276706</t>
  </si>
  <si>
    <t xml:space="preserve">ASESORAMIENTO </t>
  </si>
  <si>
    <t>CESAR DIAZ</t>
  </si>
  <si>
    <t>N0008</t>
  </si>
  <si>
    <t>CHQ.PAG.P/CAMARA</t>
  </si>
  <si>
    <t>IVA REDUCCION</t>
  </si>
  <si>
    <t>CHEQUE CANJE INTERNO</t>
  </si>
  <si>
    <t>GUIAS</t>
  </si>
  <si>
    <t>TASA MUNICIPAL</t>
  </si>
  <si>
    <t>CAM.FED.DIST.PZA. O/BCOS.</t>
  </si>
  <si>
    <t>SOJA SUSTENTABLE</t>
  </si>
  <si>
    <t>BPAS</t>
  </si>
  <si>
    <t>INSUMOS VETERINARIOS</t>
  </si>
  <si>
    <t xml:space="preserve">VENTA </t>
  </si>
  <si>
    <t>VENTA CON FACT</t>
  </si>
  <si>
    <t>RENTAS</t>
  </si>
  <si>
    <t>N46276705</t>
  </si>
  <si>
    <t>AFIP</t>
  </si>
  <si>
    <t>N49511460</t>
  </si>
  <si>
    <t>VENTILADO</t>
  </si>
  <si>
    <t>PEREYRA</t>
  </si>
  <si>
    <t>DAVID ARMANDO</t>
  </si>
  <si>
    <t>TASAS</t>
  </si>
  <si>
    <t>N0016</t>
  </si>
  <si>
    <t>FLETES</t>
  </si>
  <si>
    <t xml:space="preserve"> TRANSPORTE DE DIOS ARMANDO</t>
  </si>
  <si>
    <t>TRANSF. MACRONLINE E-SET D/T</t>
  </si>
  <si>
    <t>OTROS</t>
  </si>
  <si>
    <t>VARIOS</t>
  </si>
  <si>
    <t>CONSTRUCCION</t>
  </si>
  <si>
    <t>CHEQUE GALICIA</t>
  </si>
  <si>
    <t xml:space="preserve">CHEQUE 48 HS.  </t>
  </si>
  <si>
    <t>N48417738</t>
  </si>
  <si>
    <t>SEMILLAS</t>
  </si>
  <si>
    <t>PALO VERDE</t>
  </si>
  <si>
    <t>N6392</t>
  </si>
  <si>
    <t>TEF DATANET PR LEIVA HERMANOS SA 30710771576</t>
  </si>
  <si>
    <t>VENTA 60TN</t>
  </si>
  <si>
    <t>LEIVA HNOS</t>
  </si>
  <si>
    <t xml:space="preserve">CHEQUE 48 HS. </t>
  </si>
  <si>
    <t>N67318711</t>
  </si>
  <si>
    <t>MAIZ</t>
  </si>
  <si>
    <t>PICADO- ENSILAJE</t>
  </si>
  <si>
    <t>RUIZ NESTOR</t>
  </si>
  <si>
    <t>N0314</t>
  </si>
  <si>
    <t>TEF DATANET PR LEIVA HERMANOS S.A 30710771576</t>
  </si>
  <si>
    <t>CHQUE PRESTADO</t>
  </si>
  <si>
    <t>TRANSP. MDB</t>
  </si>
  <si>
    <t>N48417789</t>
  </si>
  <si>
    <t>N0021</t>
  </si>
  <si>
    <t>ECHEQ ENDOSADOS</t>
  </si>
  <si>
    <t>N146865923</t>
  </si>
  <si>
    <t>ALTINA JOSE</t>
  </si>
  <si>
    <t>N67318706</t>
  </si>
  <si>
    <t>CHEQUES PRESTADOS</t>
  </si>
  <si>
    <t>TRANSP. BIROLO</t>
  </si>
  <si>
    <t>DEPOSTE NOVILLO</t>
  </si>
  <si>
    <t>TEF DATANET PR UNICER SAS</t>
  </si>
  <si>
    <t xml:space="preserve">DEV RETENCIONES </t>
  </si>
  <si>
    <t>CREDICOOP</t>
  </si>
  <si>
    <t>CHEQUE ENDOSADOS</t>
  </si>
  <si>
    <t>FERTILIZANTES</t>
  </si>
  <si>
    <t>YPF CARDINALES</t>
  </si>
  <si>
    <t>INSUMOS 23</t>
  </si>
  <si>
    <t>SENASA</t>
  </si>
  <si>
    <t>COMPRA</t>
  </si>
  <si>
    <t xml:space="preserve">SUPLEMENTACION </t>
  </si>
  <si>
    <t>TEKNAL</t>
  </si>
  <si>
    <t>N48624203</t>
  </si>
  <si>
    <t>N1646</t>
  </si>
  <si>
    <t>N67318707</t>
  </si>
  <si>
    <t>COLOMBO&amp;MAGLIANO</t>
  </si>
  <si>
    <t xml:space="preserve"> N67318676</t>
  </si>
  <si>
    <t>HERBICIDAS</t>
  </si>
  <si>
    <t>TODO CAMPO INS</t>
  </si>
  <si>
    <t>N67318677</t>
  </si>
  <si>
    <t>N4587, N4588, N4645</t>
  </si>
  <si>
    <t>N67318678</t>
  </si>
  <si>
    <t>N67318679</t>
  </si>
  <si>
    <t>N48417821</t>
  </si>
  <si>
    <t>N48624201</t>
  </si>
  <si>
    <t>SALINAS EL NANO</t>
  </si>
  <si>
    <t>N0614</t>
  </si>
  <si>
    <t>N48624204</t>
  </si>
  <si>
    <t>APLICACIONES</t>
  </si>
  <si>
    <t>CLERICI JUAN PABLO</t>
  </si>
  <si>
    <t>N0096</t>
  </si>
  <si>
    <t>55 NOVILLOS</t>
  </si>
  <si>
    <t>ANALISIS DE SUELO</t>
  </si>
  <si>
    <t>MARZARI</t>
  </si>
  <si>
    <t>N0677</t>
  </si>
  <si>
    <t>TRANSFERENCIAS CASH PROVEEDORES</t>
  </si>
  <si>
    <t>N48624205</t>
  </si>
  <si>
    <t>N48624215</t>
  </si>
  <si>
    <t xml:space="preserve"> TRANSPORTE DE DIOS MARISA</t>
  </si>
  <si>
    <t>N0195</t>
  </si>
  <si>
    <t>CA</t>
  </si>
  <si>
    <t>N48624202</t>
  </si>
  <si>
    <t>N48624217</t>
  </si>
  <si>
    <t>N67318708</t>
  </si>
  <si>
    <t>VENTA</t>
  </si>
  <si>
    <t>VENTA NOVILLOS</t>
  </si>
  <si>
    <t>N48624222</t>
  </si>
  <si>
    <t>EMBOLSADO</t>
  </si>
  <si>
    <t>AGROFAMANO</t>
  </si>
  <si>
    <t>N04,N07</t>
  </si>
  <si>
    <t>PRODEMAN</t>
  </si>
  <si>
    <t>N48624226</t>
  </si>
  <si>
    <t>MIRAEMA</t>
  </si>
  <si>
    <t>N590</t>
  </si>
  <si>
    <t xml:space="preserve">SEMILLAS </t>
  </si>
  <si>
    <t>EL JAQUE</t>
  </si>
  <si>
    <t>INSUMOS 2024</t>
  </si>
  <si>
    <t xml:space="preserve">YPF CARDINALES </t>
  </si>
  <si>
    <t xml:space="preserve">VENTA 90 TN </t>
  </si>
  <si>
    <t>N48624216</t>
  </si>
  <si>
    <t>RETIRO CAJ.AH.</t>
  </si>
  <si>
    <t>N48624206</t>
  </si>
  <si>
    <t>N50520144</t>
  </si>
  <si>
    <t>BAYER</t>
  </si>
  <si>
    <t>N50520239</t>
  </si>
  <si>
    <t>MONSANTO</t>
  </si>
  <si>
    <t>TEF DATANET PR UNICER SAS 30715839888</t>
  </si>
  <si>
    <t>SILOBOLSAS PLASTAR</t>
  </si>
  <si>
    <t>LOS GROBOS</t>
  </si>
  <si>
    <t>N4999, 5740</t>
  </si>
  <si>
    <t>N49801805</t>
  </si>
  <si>
    <t>N0417</t>
  </si>
  <si>
    <t>n48624223</t>
  </si>
  <si>
    <t>x</t>
  </si>
  <si>
    <t>N48624227</t>
  </si>
  <si>
    <t>N 590</t>
  </si>
  <si>
    <t>N49801806</t>
  </si>
  <si>
    <t>N48624207</t>
  </si>
  <si>
    <t>N67318709</t>
  </si>
  <si>
    <t>N48624208</t>
  </si>
  <si>
    <t>N48624209</t>
  </si>
  <si>
    <t>DE DIOS FACUNDO</t>
  </si>
  <si>
    <t>N51073644</t>
  </si>
  <si>
    <t>N13542</t>
  </si>
  <si>
    <t>TRANSF LEIVA HER 30710771576 VAR VARIOS LEIVA</t>
  </si>
  <si>
    <t>N51073660</t>
  </si>
  <si>
    <t>N13376</t>
  </si>
  <si>
    <t>N48624224</t>
  </si>
  <si>
    <t>N48624228</t>
  </si>
  <si>
    <t xml:space="preserve">MIRAEMA </t>
  </si>
  <si>
    <t>VENTA 120 TN</t>
  </si>
  <si>
    <t>TRPRO AFIP 5000 6 33693450239 2601502361 2024</t>
  </si>
  <si>
    <t>ENTREGA EN ESPECIAS a KWS</t>
  </si>
  <si>
    <t>ACA</t>
  </si>
  <si>
    <t>ENTREGA EN ESPECIAS desde ACA</t>
  </si>
  <si>
    <t>KWS</t>
  </si>
  <si>
    <t>PARTE DE PAGO</t>
  </si>
  <si>
    <t>EXTRACCION</t>
  </si>
  <si>
    <t>MARCOS SANABRIA</t>
  </si>
  <si>
    <t>ENTREGA DE MAIZ  a TODO CAMPO</t>
  </si>
  <si>
    <t>COFCO STA FE</t>
  </si>
  <si>
    <t>PAGO CON MAIZ desde COFCO</t>
  </si>
  <si>
    <t>N67318710</t>
  </si>
  <si>
    <t>TEF DATANET PR ASOC COOP ARGENTIN 30500120882</t>
  </si>
  <si>
    <t>CHEQUES ENDOSADOS a COLOMBO</t>
  </si>
  <si>
    <t>TERNEROS</t>
  </si>
  <si>
    <t>TEF DATANET PR ASOC DE COOP ARG C 30500120882</t>
  </si>
  <si>
    <t>N49801841</t>
  </si>
  <si>
    <t>CHEQUES ENDOSADO a COTAGRO</t>
  </si>
  <si>
    <t>CHEQUE ENDOSADO desde ACA</t>
  </si>
  <si>
    <t>COTAGRO</t>
  </si>
  <si>
    <t>N51514624</t>
  </si>
  <si>
    <t>PARTIDO Y EMBOLSADO</t>
  </si>
  <si>
    <t>EL POLO</t>
  </si>
  <si>
    <t>N139</t>
  </si>
  <si>
    <t>N51514714</t>
  </si>
  <si>
    <t xml:space="preserve">INSECT-VIRANTRA </t>
  </si>
  <si>
    <t>N147</t>
  </si>
  <si>
    <t>N200, 202</t>
  </si>
  <si>
    <t>CHEQUE ENDOSADO al JAQUE</t>
  </si>
  <si>
    <t>PAGO A PROVEEDORES</t>
  </si>
  <si>
    <t>DEB.TRAN.INTERB</t>
  </si>
  <si>
    <t>BIROLO NICOLAS</t>
  </si>
  <si>
    <t>COBRADO POR CAJA (2MILL)</t>
  </si>
  <si>
    <t>SOJA CAMPAÑA ANTERIOR</t>
  </si>
  <si>
    <t>DAVI ARMANDO</t>
  </si>
  <si>
    <t>DEUDAS ANTERIORES</t>
  </si>
  <si>
    <t>ASESORAMIENTO</t>
  </si>
  <si>
    <t>N28</t>
  </si>
  <si>
    <t>24/25</t>
  </si>
  <si>
    <t>48HS. BANCOS</t>
  </si>
  <si>
    <t>N49511472</t>
  </si>
  <si>
    <t>N49511474</t>
  </si>
  <si>
    <t>N49511473</t>
  </si>
  <si>
    <t>NICOLA EDUARDO</t>
  </si>
  <si>
    <t>N51936002</t>
  </si>
  <si>
    <t>N15197</t>
  </si>
  <si>
    <t>N51936001</t>
  </si>
  <si>
    <t>N15601</t>
  </si>
  <si>
    <t>N49801842</t>
  </si>
  <si>
    <t>N51936004</t>
  </si>
  <si>
    <t>TRANSP WALTER</t>
  </si>
  <si>
    <t>N795</t>
  </si>
  <si>
    <t>N51936006</t>
  </si>
  <si>
    <t>N16195</t>
  </si>
  <si>
    <t>PESAJE HACIENDA</t>
  </si>
  <si>
    <t>BIG BAGS</t>
  </si>
  <si>
    <t>ENVASES RECICLADOS</t>
  </si>
  <si>
    <t>N1096</t>
  </si>
  <si>
    <t>N51936005</t>
  </si>
  <si>
    <t>N1383</t>
  </si>
  <si>
    <t>N49801843</t>
  </si>
  <si>
    <t>N51936017</t>
  </si>
  <si>
    <t>N52804135</t>
  </si>
  <si>
    <t>TRANSP MDB</t>
  </si>
  <si>
    <t>N279</t>
  </si>
  <si>
    <t>N52805210</t>
  </si>
  <si>
    <t>TRANSP MDB-TOLETINI</t>
  </si>
  <si>
    <t>N27,30</t>
  </si>
  <si>
    <t>TRANSF:2411070000748412950455-20254396924</t>
  </si>
  <si>
    <t>N51936015</t>
  </si>
  <si>
    <t>N117</t>
  </si>
  <si>
    <t>N51936018</t>
  </si>
  <si>
    <t>TRPRO AFIP 5000 6 33693450239 2601781332 2024</t>
  </si>
  <si>
    <t>DEVOLUCION IVA</t>
  </si>
  <si>
    <t>N51936014</t>
  </si>
  <si>
    <t>N49801844</t>
  </si>
  <si>
    <t>ESTADO DE RESULTADOS COMPARATIVO</t>
  </si>
  <si>
    <t xml:space="preserve"> CAMPAÑA 22/23*</t>
  </si>
  <si>
    <t>POND</t>
  </si>
  <si>
    <t xml:space="preserve"> CAMPAÑA 23/NOV24</t>
  </si>
  <si>
    <t>CAMPAÑA 24/25**</t>
  </si>
  <si>
    <r>
      <rPr>
        <b/>
        <sz val="11"/>
        <rFont val="Calibri"/>
        <family val="2"/>
      </rPr>
      <t>25/25 ∆</t>
    </r>
    <r>
      <rPr>
        <b/>
        <sz val="11"/>
        <rFont val="Calibri"/>
        <family val="2"/>
        <scheme val="minor"/>
      </rPr>
      <t xml:space="preserve"> %</t>
    </r>
  </si>
  <si>
    <t>I. INGRESOS CORRIENTES</t>
  </si>
  <si>
    <t>INGRESOS OPERATIVOS AGRO</t>
  </si>
  <si>
    <t>CULTIVO PRINCIPAL</t>
  </si>
  <si>
    <t>SUPERFICIE (HAS)</t>
  </si>
  <si>
    <t>MAIZ GUARDADO</t>
  </si>
  <si>
    <t>VENDIDO A GANADERIA</t>
  </si>
  <si>
    <t>INGRESOS OPERATIVOS HACIENDA</t>
  </si>
  <si>
    <t xml:space="preserve">INGRESOS NO OPERATIVOS </t>
  </si>
  <si>
    <t>INGRESOS POR INTERESES</t>
  </si>
  <si>
    <t>INGRESOS POR ALQUILERES</t>
  </si>
  <si>
    <t>IMPUESTOS REINTEGRADOS</t>
  </si>
  <si>
    <t>II. GASTOS CORRIENTES</t>
  </si>
  <si>
    <t>ADMINISTRATIVO</t>
  </si>
  <si>
    <t xml:space="preserve">SALARIOS Y SUELDOS </t>
  </si>
  <si>
    <t xml:space="preserve">GASTOS CONTABLES </t>
  </si>
  <si>
    <t xml:space="preserve">MULTAS </t>
  </si>
  <si>
    <t>COMISIONES BANC</t>
  </si>
  <si>
    <t>MANTENIMIENTO BANC</t>
  </si>
  <si>
    <t>AGRICULTURA SOJA</t>
  </si>
  <si>
    <t>COSTOS OPERATIVOS</t>
  </si>
  <si>
    <t>GASTOS FIJOS</t>
  </si>
  <si>
    <t>HONORARIOS PROF.</t>
  </si>
  <si>
    <t>GASTOS VARIABLES</t>
  </si>
  <si>
    <t>ENSILAJE</t>
  </si>
  <si>
    <t>AGRICULTURA MAIZ</t>
  </si>
  <si>
    <t xml:space="preserve">INSUMOS </t>
  </si>
  <si>
    <t>PICADO</t>
  </si>
  <si>
    <t>EXTRACC Y EMBOLS.</t>
  </si>
  <si>
    <t>AGRICULTURA ALFALFA</t>
  </si>
  <si>
    <t>AGRICULTURA CENTENO</t>
  </si>
  <si>
    <t>ADQUISICION</t>
  </si>
  <si>
    <t>COMPRA TERNEROS</t>
  </si>
  <si>
    <t>TASAS  GUIAS</t>
  </si>
  <si>
    <t>LABORATORIOS</t>
  </si>
  <si>
    <t>ALIMENTACION</t>
  </si>
  <si>
    <t>SUPLEMENTACION</t>
  </si>
  <si>
    <t>COMBUSTIBLES Y LUB.</t>
  </si>
  <si>
    <t>PESAJES Y OTROS</t>
  </si>
  <si>
    <t>COSTOS NO OPERATIVOS</t>
  </si>
  <si>
    <t>COSTOS FINANCIEROS</t>
  </si>
  <si>
    <t>III. RESULTADOS OPERATIVOS</t>
  </si>
  <si>
    <t>IV. GASTOS DE CAPITAL</t>
  </si>
  <si>
    <t>MANTENIMIENTO ESTRUCTURA</t>
  </si>
  <si>
    <t>REPARACION MAQUINARIAS</t>
  </si>
  <si>
    <t>MANTENIMIENTO VEHICULOS</t>
  </si>
  <si>
    <t>DEPRECIACION</t>
  </si>
  <si>
    <t>V. UTILIDAD ANTES DE IMPUESTOS</t>
  </si>
  <si>
    <t>IVA RETENCIONES</t>
  </si>
  <si>
    <t>VI. UTILIDAD DESPUES DE IMPUESTOS</t>
  </si>
  <si>
    <t xml:space="preserve">VII. RESULTADO ECONOMICO </t>
  </si>
  <si>
    <t>* ESTIMADO</t>
  </si>
  <si>
    <t>** PROYECTADO</t>
  </si>
  <si>
    <t>LOTE</t>
  </si>
  <si>
    <t>HAS</t>
  </si>
  <si>
    <t>KM RECORRIDOS</t>
  </si>
  <si>
    <t>KG TARA</t>
  </si>
  <si>
    <t>KG BRUTOS</t>
  </si>
  <si>
    <t>KG NETOS TOT</t>
  </si>
  <si>
    <t>KG/HA (REND)</t>
  </si>
  <si>
    <t>$/TN</t>
  </si>
  <si>
    <t>PRECIO UNITARIO USD/TN</t>
  </si>
  <si>
    <t>SUBTOTAL</t>
  </si>
  <si>
    <t>IVA 10,5</t>
  </si>
  <si>
    <t>IVA 21</t>
  </si>
  <si>
    <t>TOTAL*</t>
  </si>
  <si>
    <t>DEDUCCIONES</t>
  </si>
  <si>
    <t>RETENCION IVA</t>
  </si>
  <si>
    <t>IVA RG 2300/2007</t>
  </si>
  <si>
    <t>TOTAL A LIQUIDAR</t>
  </si>
  <si>
    <t>TIPO DE CAMBIO</t>
  </si>
  <si>
    <t>TOTAL USD</t>
  </si>
  <si>
    <t>USD/HA</t>
  </si>
  <si>
    <t>PROVEEDOR</t>
  </si>
  <si>
    <t>N DE FACTURA</t>
  </si>
  <si>
    <r>
      <t xml:space="preserve">AGRICULTURA </t>
    </r>
    <r>
      <rPr>
        <i/>
        <sz val="11"/>
        <rFont val="Calibri"/>
        <family val="2"/>
        <scheme val="minor"/>
      </rPr>
      <t>(CULT PRINCIPAL + CULT COBERTURA)</t>
    </r>
  </si>
  <si>
    <r>
      <t xml:space="preserve">CULTIVO PRINCIPAL </t>
    </r>
    <r>
      <rPr>
        <i/>
        <sz val="11"/>
        <rFont val="Calibri"/>
        <family val="2"/>
        <scheme val="minor"/>
      </rPr>
      <t>(SOJA + MAIZ)</t>
    </r>
  </si>
  <si>
    <t>VENTA SOJA</t>
  </si>
  <si>
    <t>PTO TIMBUES JOSE MARIA</t>
  </si>
  <si>
    <t>1+9 SOJA</t>
  </si>
  <si>
    <t>MAIZ -ACA- PTO GALVAN-WILLIAMS</t>
  </si>
  <si>
    <t>GUARDADO</t>
  </si>
  <si>
    <t>WILLIAMS</t>
  </si>
  <si>
    <t>N0020-00053025</t>
  </si>
  <si>
    <t>COSTOS ADMINISTRATIVOS</t>
  </si>
  <si>
    <t>ASESORIAMIENTO PROFES.</t>
  </si>
  <si>
    <t>GASTOS DE SELLADO</t>
  </si>
  <si>
    <t>LA SEGUNDA LTDA</t>
  </si>
  <si>
    <t xml:space="preserve">SOJA </t>
  </si>
  <si>
    <t>SIEMBRA SOJA</t>
  </si>
  <si>
    <t>RODRIGUEZ ARIEL</t>
  </si>
  <si>
    <t>Coad</t>
  </si>
  <si>
    <t>SULFATO AMONIO ROCIO</t>
  </si>
  <si>
    <t>TODO CAMPO</t>
  </si>
  <si>
    <t>Herbicida</t>
  </si>
  <si>
    <t>CONTROL MAX</t>
  </si>
  <si>
    <t>2.4D AMINA</t>
  </si>
  <si>
    <t>S-Metolaclor (DUAL GOLD</t>
  </si>
  <si>
    <t>Aceite ROCIO</t>
  </si>
  <si>
    <t>SPIDER DICLOSULAN</t>
  </si>
  <si>
    <t>GLUFOSINATO DE AMONIO</t>
  </si>
  <si>
    <t>BORAL</t>
  </si>
  <si>
    <t>Paracuat (Cerillo)</t>
  </si>
  <si>
    <t>2,4 D ENLIST</t>
  </si>
  <si>
    <t>Dicamba (Bambel)</t>
  </si>
  <si>
    <t>Insecticida</t>
  </si>
  <si>
    <t>VIRANTRA</t>
  </si>
  <si>
    <t>Fungicida</t>
  </si>
  <si>
    <t>AMISTAR XTRA</t>
  </si>
  <si>
    <t>CLERICI APLICACIONES</t>
  </si>
  <si>
    <t>CLERICI</t>
  </si>
  <si>
    <t>N0003-00000098</t>
  </si>
  <si>
    <t>APLICACIÓN AEREA</t>
  </si>
  <si>
    <t>PRODEMAN SA</t>
  </si>
  <si>
    <t>N0012-00002953</t>
  </si>
  <si>
    <t>ALTINA</t>
  </si>
  <si>
    <t>SERVICIO DE ENTREGA UREA</t>
  </si>
  <si>
    <t>CAMION 1- QUIROGA</t>
  </si>
  <si>
    <t>TRANS. MDB</t>
  </si>
  <si>
    <t>N00002-00010843</t>
  </si>
  <si>
    <t>CAMION 2- TRANS EL MATEO</t>
  </si>
  <si>
    <t>TRANSP TOLETINI</t>
  </si>
  <si>
    <t>N0002-00000890</t>
  </si>
  <si>
    <t>CAMION 3- DE DIOS MARISA</t>
  </si>
  <si>
    <t>DE DIOS MARISA</t>
  </si>
  <si>
    <t>N0002-000000195</t>
  </si>
  <si>
    <t>CAMION 5- DE DIOS ARMANDO</t>
  </si>
  <si>
    <t>TRANSP DE DIOS</t>
  </si>
  <si>
    <t>N0002-00001646</t>
  </si>
  <si>
    <t>CAMION 6- MDB- VERZINO</t>
  </si>
  <si>
    <t>N0002-00013376</t>
  </si>
  <si>
    <t>CAMION 7- MDB- VERZINO</t>
  </si>
  <si>
    <t>CAMION 8- MDB- VERZINO</t>
  </si>
  <si>
    <t>CAMION 9- MDB</t>
  </si>
  <si>
    <t>N0002-00015197</t>
  </si>
  <si>
    <t>CAMION 10- MDB</t>
  </si>
  <si>
    <t>N0002-00015061</t>
  </si>
  <si>
    <t>CAMION 11- MDB</t>
  </si>
  <si>
    <t>WALTER DAMIAN</t>
  </si>
  <si>
    <t>N0001-00000795</t>
  </si>
  <si>
    <t>CAMION 12- MDB</t>
  </si>
  <si>
    <t>BIROLO DAVID</t>
  </si>
  <si>
    <t>N0003-00001383</t>
  </si>
  <si>
    <t>CAMION 13- MDB</t>
  </si>
  <si>
    <t>N0002 00016200</t>
  </si>
  <si>
    <t>CAMION 14- MDB</t>
  </si>
  <si>
    <t>N0002 00016202</t>
  </si>
  <si>
    <t>CAMION 15- MDB</t>
  </si>
  <si>
    <t>N0002 00016195</t>
  </si>
  <si>
    <t>CAMION 16- MDB</t>
  </si>
  <si>
    <t>CAMION 17- MDB</t>
  </si>
  <si>
    <t>N0002 00013542</t>
  </si>
  <si>
    <t>CAMION 18- MDB</t>
  </si>
  <si>
    <t>CAMION 19- MDB</t>
  </si>
  <si>
    <t>N0002 00016453</t>
  </si>
  <si>
    <t>CAMION 20- MDB</t>
  </si>
  <si>
    <t>N0002 00016299</t>
  </si>
  <si>
    <t>CAMION 21- MDB</t>
  </si>
  <si>
    <t>N0002 00000931</t>
  </si>
  <si>
    <t>CAMION 22- MDB</t>
  </si>
  <si>
    <t>N0002 00016306</t>
  </si>
  <si>
    <t>N1050-00154999</t>
  </si>
  <si>
    <t>COMISIONES 2%</t>
  </si>
  <si>
    <t>MARGEN SOJA</t>
  </si>
  <si>
    <t>* CRITERIO DEVENGADO</t>
  </si>
  <si>
    <t>VENTA MAIZ</t>
  </si>
  <si>
    <t>MAIZ-ACA- A KWS</t>
  </si>
  <si>
    <t>MAIZ TIRADO EMBOLSADO</t>
  </si>
  <si>
    <t>MAIZ PTO GRAL SAN MARTIN</t>
  </si>
  <si>
    <t>N332018889495</t>
  </si>
  <si>
    <t>N332018886109</t>
  </si>
  <si>
    <t>MAIZ -ACA- PTO GALVAN</t>
  </si>
  <si>
    <t>N332018903766</t>
  </si>
  <si>
    <t>N332018894025</t>
  </si>
  <si>
    <t>N332018886111</t>
  </si>
  <si>
    <t>N332018969795</t>
  </si>
  <si>
    <t>N332018956218</t>
  </si>
  <si>
    <t>VALOR MDO MAIZ PARTIDO</t>
  </si>
  <si>
    <t>VALOR MDO MAIZ PICADO</t>
  </si>
  <si>
    <t>MAIZ KM3916, MAXIM+CRUISER 80MS</t>
  </si>
  <si>
    <t>N0034-00032007</t>
  </si>
  <si>
    <t>MAIZ KWS 60-950, MAXIM+CRUISER 70TK</t>
  </si>
  <si>
    <t xml:space="preserve">SIEMBRAS NATALIO </t>
  </si>
  <si>
    <t>N00002-000000590</t>
  </si>
  <si>
    <t>SIEMBRAS ARIEL RODRIGUEZ (1540 lts gas oil)</t>
  </si>
  <si>
    <t>N00002-000000417</t>
  </si>
  <si>
    <t>2,4 D AMINA</t>
  </si>
  <si>
    <t>A35T GOLD</t>
  </si>
  <si>
    <t>ADENGO</t>
  </si>
  <si>
    <t>ALLTEC ULTRA</t>
  </si>
  <si>
    <t>Atrazina  (Nova 90 WG)</t>
  </si>
  <si>
    <t>CLETODIM SIGMA</t>
  </si>
  <si>
    <t>Dash Mso</t>
  </si>
  <si>
    <t>Dedalo Elite</t>
  </si>
  <si>
    <t>Dicamba (ATANOR)</t>
  </si>
  <si>
    <t>FULLTEC</t>
  </si>
  <si>
    <t>Picloram 2,4 sigma</t>
  </si>
  <si>
    <t>S-Metolaclor (DUAL GOLD)</t>
  </si>
  <si>
    <t>SULFATO DE AMONIO</t>
  </si>
  <si>
    <t>UREA</t>
  </si>
  <si>
    <t>N0250-00001059</t>
  </si>
  <si>
    <t>MAP</t>
  </si>
  <si>
    <t>N00003-00000152</t>
  </si>
  <si>
    <t>SERVICIO DE ENTREGA MAP-UREA</t>
  </si>
  <si>
    <t>FLETES A ACA DESCONTADO</t>
  </si>
  <si>
    <t>FLETES COFCO (TODO CAMPO)</t>
  </si>
  <si>
    <t>FLETE A PTO GALVAN</t>
  </si>
  <si>
    <t>MDB</t>
  </si>
  <si>
    <t>N00000927</t>
  </si>
  <si>
    <t>BIROLO MARCOS</t>
  </si>
  <si>
    <t>N00001411</t>
  </si>
  <si>
    <t>N00016274</t>
  </si>
  <si>
    <t>N00000339</t>
  </si>
  <si>
    <t>N00001406</t>
  </si>
  <si>
    <t>N00016253</t>
  </si>
  <si>
    <t>N0002-00016279</t>
  </si>
  <si>
    <t>N0002-00016287</t>
  </si>
  <si>
    <t>TOLETINI</t>
  </si>
  <si>
    <t>N0003-00000930</t>
  </si>
  <si>
    <t>N0002-00016301</t>
  </si>
  <si>
    <t>FLETES ACA A KWS</t>
  </si>
  <si>
    <t>RESERVAS</t>
  </si>
  <si>
    <t xml:space="preserve">RUIZ </t>
  </si>
  <si>
    <t>RUIZ LUIS ANTONIO</t>
  </si>
  <si>
    <t>N0002-000000314</t>
  </si>
  <si>
    <t>MAIZ RESERVA</t>
  </si>
  <si>
    <t>MAIZ EMBOLSADO ENTERO</t>
  </si>
  <si>
    <t>MAIZ EMBOLSADO PARTIDO</t>
  </si>
  <si>
    <t>MARGEN MAIZ</t>
  </si>
  <si>
    <r>
      <t xml:space="preserve">CULTIVO DE COBERTURA </t>
    </r>
    <r>
      <rPr>
        <i/>
        <sz val="9"/>
        <color theme="1"/>
        <rFont val="Calibri"/>
        <family val="2"/>
        <scheme val="minor"/>
      </rPr>
      <t>(ALFALFA+ CENTENO)</t>
    </r>
  </si>
  <si>
    <t>ALFALFA 2023</t>
  </si>
  <si>
    <t>VENTA ROLLOS</t>
  </si>
  <si>
    <t>ALFALFA 24/25</t>
  </si>
  <si>
    <t>ALFALFA TRAFUL PV</t>
  </si>
  <si>
    <t>N000-00016277</t>
  </si>
  <si>
    <t xml:space="preserve">SIEMBRAS ARIEL RODRIGUEZ </t>
  </si>
  <si>
    <t>INSECTICIDAS</t>
  </si>
  <si>
    <t>CENTENO</t>
  </si>
  <si>
    <t>SEMILLAS CENTENO</t>
  </si>
  <si>
    <t>COLOMBI</t>
  </si>
  <si>
    <t>N0004-00000297</t>
  </si>
  <si>
    <t>CENTENO 2023</t>
  </si>
  <si>
    <t>N00002-000000128</t>
  </si>
  <si>
    <t>N51936019</t>
  </si>
  <si>
    <t>SANABRIA</t>
  </si>
  <si>
    <t>N52805413</t>
  </si>
  <si>
    <t>TRANSP MARCOS BIROLO</t>
  </si>
  <si>
    <t>N52805540</t>
  </si>
  <si>
    <t>EGRESOS USD</t>
  </si>
  <si>
    <t>INGRESOS USD</t>
  </si>
  <si>
    <t>EGRESOS USD/HA</t>
  </si>
  <si>
    <t>INGRESOS USD/HA</t>
  </si>
  <si>
    <t>INSUMOS A PAGAR*</t>
  </si>
  <si>
    <t>GUARDADO 20TN*</t>
  </si>
  <si>
    <t>MARGEN BRUTO SOJA</t>
  </si>
  <si>
    <t>VENTA A GANADERIA*</t>
  </si>
  <si>
    <t>SEMENTERAS*</t>
  </si>
  <si>
    <t>MARGEN BRUTO MAIZ</t>
  </si>
  <si>
    <t>* valores agregados manualmente</t>
  </si>
  <si>
    <t>TOTAL</t>
  </si>
  <si>
    <t>LA TROPILLITA</t>
  </si>
  <si>
    <t>%</t>
  </si>
  <si>
    <t>Hectareas</t>
  </si>
  <si>
    <t>TN</t>
  </si>
  <si>
    <t>U$S (Sin imp)</t>
  </si>
  <si>
    <t>$ARG (Con imp)</t>
  </si>
  <si>
    <t>MB</t>
  </si>
  <si>
    <t>unidad</t>
  </si>
  <si>
    <t>Soja</t>
  </si>
  <si>
    <t>Maiz 1º</t>
  </si>
  <si>
    <t>Soja 1a / maiz</t>
  </si>
  <si>
    <t>Soja 1a STS</t>
  </si>
  <si>
    <t>Soja 1a</t>
  </si>
  <si>
    <t>rinde</t>
  </si>
  <si>
    <t>$US (dólar)</t>
  </si>
  <si>
    <t>pizarra</t>
  </si>
  <si>
    <t>en U$S</t>
  </si>
  <si>
    <t>en $</t>
  </si>
  <si>
    <t>Ingreso Bruto</t>
  </si>
  <si>
    <t>Ingreso</t>
  </si>
  <si>
    <t>con IVA</t>
  </si>
  <si>
    <t>Gastos comerc</t>
  </si>
  <si>
    <t>Flete largo</t>
  </si>
  <si>
    <t>flete corto</t>
  </si>
  <si>
    <t>Imp al cheque</t>
  </si>
  <si>
    <t>IIBB</t>
  </si>
  <si>
    <t>Ret Gs</t>
  </si>
  <si>
    <t>Ret IVA</t>
  </si>
  <si>
    <t>paritaria</t>
  </si>
  <si>
    <t>comision</t>
  </si>
  <si>
    <t>Total Gastos</t>
  </si>
  <si>
    <t>Ingreso Neto</t>
  </si>
  <si>
    <t>U$S</t>
  </si>
  <si>
    <t>$</t>
  </si>
  <si>
    <t>$ con IVA</t>
  </si>
  <si>
    <t>Dosis Real</t>
  </si>
  <si>
    <t>Dosis ajustada</t>
  </si>
  <si>
    <t>Dosis</t>
  </si>
  <si>
    <t>Labranzas</t>
  </si>
  <si>
    <t>siembra</t>
  </si>
  <si>
    <t>Pulverizacion</t>
  </si>
  <si>
    <t>Pulverizacion aerea</t>
  </si>
  <si>
    <t>Semilla</t>
  </si>
  <si>
    <t>Soja ENLIST</t>
  </si>
  <si>
    <t>kg</t>
  </si>
  <si>
    <t>Cajas</t>
  </si>
  <si>
    <t>herbicida</t>
  </si>
  <si>
    <t>2.4D ADVANCE</t>
  </si>
  <si>
    <t>litro</t>
  </si>
  <si>
    <t>KG</t>
  </si>
  <si>
    <t>lts</t>
  </si>
  <si>
    <t>TOTAL x Ha</t>
  </si>
  <si>
    <t>gastos de riesgo</t>
  </si>
  <si>
    <t>Trilla</t>
  </si>
  <si>
    <t>cosecha</t>
  </si>
  <si>
    <t>Estructura</t>
  </si>
  <si>
    <t>Gerenciamiento</t>
  </si>
  <si>
    <t>Estructura Adm. Campos</t>
  </si>
  <si>
    <t>Alquiler Variable</t>
  </si>
  <si>
    <t>Maiz</t>
  </si>
  <si>
    <t>Alquiler Fijo</t>
  </si>
  <si>
    <t>Alquiler</t>
  </si>
  <si>
    <t>Tn de soja</t>
  </si>
  <si>
    <t>Seguro</t>
  </si>
  <si>
    <t>Costo total</t>
  </si>
  <si>
    <t>Costo Total</t>
  </si>
  <si>
    <t>MB en U$S</t>
  </si>
  <si>
    <t>Precio sin gastos de flete (dol/Tn)</t>
  </si>
  <si>
    <t>Rinde de indiferencia</t>
  </si>
  <si>
    <t>Rinde indif</t>
  </si>
  <si>
    <t>RETENCIONE S CALIDAD</t>
  </si>
  <si>
    <r>
      <t xml:space="preserve">AGRICULTURA </t>
    </r>
    <r>
      <rPr>
        <i/>
        <sz val="10"/>
        <rFont val="Calibri"/>
        <family val="2"/>
        <scheme val="minor"/>
      </rPr>
      <t>(CULT PRINCIPAL + CULT COBERTURA)</t>
    </r>
  </si>
  <si>
    <r>
      <t xml:space="preserve">CULTIVO PRINCIPAL </t>
    </r>
    <r>
      <rPr>
        <i/>
        <sz val="10"/>
        <rFont val="Calibri"/>
        <family val="2"/>
        <scheme val="minor"/>
      </rPr>
      <t>(SOJA + MAIZ)</t>
    </r>
  </si>
  <si>
    <t>VENTA SOJA CONTRATO LINCOLN</t>
  </si>
  <si>
    <t>contrato n° 0875924470</t>
  </si>
  <si>
    <t>MONSANTO ARGENTINA SRL</t>
  </si>
  <si>
    <t>contrato n° 0875932540</t>
  </si>
  <si>
    <t>VENTA SOJA CONTRATO</t>
  </si>
  <si>
    <t>contrato n° 0875927131</t>
  </si>
  <si>
    <t>VENTA SOJA ROSARIO</t>
  </si>
  <si>
    <t>J.H.B. SAU</t>
  </si>
  <si>
    <t>CARGILL SOCIEDAD ANONIMA</t>
  </si>
  <si>
    <t>SOJA DM50il17 STS Primu</t>
  </si>
  <si>
    <t>N1050-00125620</t>
  </si>
  <si>
    <t>LOS GROBO</t>
  </si>
  <si>
    <t>TORTONE JAVIER</t>
  </si>
  <si>
    <t>VIRANTRA (TEKARIUM)</t>
  </si>
  <si>
    <t>ACEITE ROCIO</t>
  </si>
  <si>
    <t>DUAL GOLD</t>
  </si>
  <si>
    <t>GLUFOSINATO DE AMONIO 20 FIDEMAX</t>
  </si>
  <si>
    <t>SULFATO DE AMONIO (L)</t>
  </si>
  <si>
    <t>ROUNDUP C MAX</t>
  </si>
  <si>
    <t>2,4D ENLIST *</t>
  </si>
  <si>
    <t>CERILLO</t>
  </si>
  <si>
    <t>2,4D AMINA</t>
  </si>
  <si>
    <t>SPIDER</t>
  </si>
  <si>
    <t>DEDALO DUO ELITE</t>
  </si>
  <si>
    <t>DICAMBA BANVEL</t>
  </si>
  <si>
    <t>DASH MSO</t>
  </si>
  <si>
    <t>Inoculante</t>
  </si>
  <si>
    <t>RIZOPACK 203</t>
  </si>
  <si>
    <t>N1050-00126365</t>
  </si>
  <si>
    <t>HEINRICH APLICACIONES</t>
  </si>
  <si>
    <t>N36,37,38</t>
  </si>
  <si>
    <t>HEINRICH GERARDO</t>
  </si>
  <si>
    <t>LUCARELLI GERMAN</t>
  </si>
  <si>
    <t>n00002-00000150</t>
  </si>
  <si>
    <t>LUCARELLI</t>
  </si>
  <si>
    <t>N0003-00000152</t>
  </si>
  <si>
    <t>VENTILADO DE SOJA</t>
  </si>
  <si>
    <t>MAIZ CANCELACION FACT</t>
  </si>
  <si>
    <t>Cancela FC 1001-75184</t>
  </si>
  <si>
    <t>LOS GROBO AGROPECUARIA SA</t>
  </si>
  <si>
    <t>MAIZ A CARLOS CASARES</t>
  </si>
  <si>
    <t>N0001-00144569</t>
  </si>
  <si>
    <t>MAIZ A LINCOLN</t>
  </si>
  <si>
    <t>ORMAZABAL JORGE ANGEL</t>
  </si>
  <si>
    <t>N0001-00158183</t>
  </si>
  <si>
    <t>MAIZ A PARANÁ</t>
  </si>
  <si>
    <t>UNICER SAS</t>
  </si>
  <si>
    <t>$ 152,778.15</t>
  </si>
  <si>
    <t>N1050-126365</t>
  </si>
  <si>
    <t>N0001-00158575</t>
  </si>
  <si>
    <t>CESAR DIAZ, ORTOLANI</t>
  </si>
  <si>
    <t>SUELDOS PERSONAL</t>
  </si>
  <si>
    <t>WALTER ANDRES OTROS</t>
  </si>
  <si>
    <t>MAIZ NIDERA TRATADO BAND3</t>
  </si>
  <si>
    <t>SIEMBRA MAIZ</t>
  </si>
  <si>
    <t>AEROAPLICACION INSEC Y FUNG</t>
  </si>
  <si>
    <t>N0003-00001219</t>
  </si>
  <si>
    <t>MARTINEZ ORLANDO</t>
  </si>
  <si>
    <t xml:space="preserve">AEROAPLICACION </t>
  </si>
  <si>
    <t>N0012-00002221</t>
  </si>
  <si>
    <t>SERVICIO DE COSECHA</t>
  </si>
  <si>
    <t>PARTIDO DE MAIZ</t>
  </si>
  <si>
    <t>VALENTIN MASON</t>
  </si>
  <si>
    <t>MARGARIA EDUARDO</t>
  </si>
  <si>
    <r>
      <t xml:space="preserve">CULTIVO DE COBERTURA </t>
    </r>
    <r>
      <rPr>
        <i/>
        <sz val="10"/>
        <color theme="1"/>
        <rFont val="Calibri"/>
        <family val="2"/>
        <scheme val="minor"/>
      </rPr>
      <t>(ALFALFA+ CENTENO)</t>
    </r>
  </si>
  <si>
    <t>N0008-00016277</t>
  </si>
  <si>
    <t>SIEMBRA PASTURA</t>
  </si>
  <si>
    <t>N00002-0000369</t>
  </si>
  <si>
    <t>AGRICULTURA CAMPAÑA 24/25</t>
  </si>
  <si>
    <t>U$S/TN</t>
  </si>
  <si>
    <t>MÉTRICA</t>
  </si>
  <si>
    <t>TOTAL U$S</t>
  </si>
  <si>
    <t>T DE CAMBIO $/U$s</t>
  </si>
  <si>
    <t>SUBTOTAL $</t>
  </si>
  <si>
    <t>s/REG</t>
  </si>
  <si>
    <r>
      <t xml:space="preserve">DEDUCCIONES </t>
    </r>
    <r>
      <rPr>
        <sz val="12"/>
        <color theme="1"/>
        <rFont val="Calibri"/>
        <family val="2"/>
        <scheme val="minor"/>
      </rPr>
      <t>(comisiones 2%)</t>
    </r>
  </si>
  <si>
    <t>RETENCIONES IVA 7%</t>
  </si>
  <si>
    <t>IMPORTE NETO</t>
  </si>
  <si>
    <t>IVA RG 2300/07</t>
  </si>
  <si>
    <t>Descuentos  x cmbustib</t>
  </si>
  <si>
    <t>U$S/HA</t>
  </si>
  <si>
    <t>LIQUIDACION</t>
  </si>
  <si>
    <t>TOTAL U$S2</t>
  </si>
  <si>
    <t>N DOCUMENTO</t>
  </si>
  <si>
    <r>
      <t xml:space="preserve">CULTIVO PRINCIPAL </t>
    </r>
    <r>
      <rPr>
        <i/>
        <sz val="10"/>
        <color theme="1"/>
        <rFont val="Calibri"/>
        <family val="2"/>
        <scheme val="minor"/>
      </rPr>
      <t>(SOJA + MAIZ)</t>
    </r>
  </si>
  <si>
    <t>PROYECCIONES</t>
  </si>
  <si>
    <t>Usd/Dosis</t>
  </si>
  <si>
    <t>Rizo extremo</t>
  </si>
  <si>
    <t>Glifosato (Roundup Full II)</t>
  </si>
  <si>
    <t>Atrazina  (TRACK 50%)</t>
  </si>
  <si>
    <t>Flumioxazim + Piroxazulfone (FIERCE)</t>
  </si>
  <si>
    <t>MAIZ KWS JULIO</t>
  </si>
  <si>
    <t>SOJA EL JAQUE</t>
  </si>
  <si>
    <t>SIEMBRAS ARIEL RODRIGUEZ (4042 lts gas oil)</t>
  </si>
  <si>
    <t>Todo Campo</t>
  </si>
  <si>
    <t>Ypf Cardinal</t>
  </si>
  <si>
    <t>(139 hasx44 lts=6116 lts)</t>
  </si>
  <si>
    <t>INSUMOS (CESAR EL JAQUE)</t>
  </si>
  <si>
    <t>FERTI MAIZ COTAGRO</t>
  </si>
  <si>
    <t>$/Q</t>
  </si>
  <si>
    <t>ALFALFA TRAFUL GRUPO 9.5</t>
  </si>
  <si>
    <t>Usd/Q</t>
  </si>
  <si>
    <t>N00000-00006392</t>
  </si>
  <si>
    <t>MARGEN DE ALFALFA</t>
  </si>
  <si>
    <t>CENTENO 2024</t>
  </si>
  <si>
    <t>SALINAS AGUSTIN</t>
  </si>
  <si>
    <t>5 MANI</t>
  </si>
  <si>
    <t>$/Ha</t>
  </si>
  <si>
    <t>N00005-00000614</t>
  </si>
  <si>
    <t>SIEMBRA "EL NANO"</t>
  </si>
  <si>
    <t>N0002-000000395</t>
  </si>
  <si>
    <t>VENTILADO SEMILLA</t>
  </si>
  <si>
    <t>MARGEN DE CENTENO</t>
  </si>
  <si>
    <t>HAS destinadas</t>
  </si>
  <si>
    <t>cant</t>
  </si>
  <si>
    <t>KG P/ANIM</t>
  </si>
  <si>
    <t>DESBASTE 7%</t>
  </si>
  <si>
    <t xml:space="preserve"> $  MERCADO</t>
  </si>
  <si>
    <t>METRICA</t>
  </si>
  <si>
    <t>TOTAL $</t>
  </si>
  <si>
    <t xml:space="preserve">IMP GANANCIAS </t>
  </si>
  <si>
    <t>SEMOVIENTES Y DERECHOS</t>
  </si>
  <si>
    <t xml:space="preserve">TOTAL C/IVA </t>
  </si>
  <si>
    <t>TC $/U$s</t>
  </si>
  <si>
    <t>TC=2024</t>
  </si>
  <si>
    <t>VALORES CONSTANTES</t>
  </si>
  <si>
    <t>N DE LIQUIDACION</t>
  </si>
  <si>
    <t>CLIENTE</t>
  </si>
  <si>
    <t>COMPRA HACIENDA</t>
  </si>
  <si>
    <t>$/KG</t>
  </si>
  <si>
    <t>VENTA HACIENDA</t>
  </si>
  <si>
    <t>NOVILLOS</t>
  </si>
  <si>
    <t>COLOMBO&amp;COLOMBO</t>
  </si>
  <si>
    <t>N0016-00019119</t>
  </si>
  <si>
    <t>N0016-00019123</t>
  </si>
  <si>
    <t>N0016-00019474</t>
  </si>
  <si>
    <t>N0016-00019471</t>
  </si>
  <si>
    <t>N00500-00000504</t>
  </si>
  <si>
    <t>DON CHICHO RIZZO</t>
  </si>
  <si>
    <t>UTILIDAD BRUTA HACIENDA</t>
  </si>
  <si>
    <t>COMBUSTIBLES</t>
  </si>
  <si>
    <t>TODO CAMPO Y ALLAIS</t>
  </si>
  <si>
    <t>SUPLEMENTOS</t>
  </si>
  <si>
    <t>COSTOS ADM Y ASESORAMIENTO</t>
  </si>
  <si>
    <t>TASAS MUNICIPALES Y GUIAS</t>
  </si>
  <si>
    <t>COSTOS DE ESTRUCTURA</t>
  </si>
  <si>
    <t>COSTOS TOTALES</t>
  </si>
  <si>
    <t>MARGEN HACIENDA</t>
  </si>
  <si>
    <t>EFECT</t>
  </si>
  <si>
    <t>TOTAL C/IVA EFEC</t>
  </si>
  <si>
    <t>PERCEPCION-RETENCIONES</t>
  </si>
  <si>
    <t xml:space="preserve">COMPRA </t>
  </si>
  <si>
    <t>N° 00002-00000451</t>
  </si>
  <si>
    <t>FRIGORIFICO LIDER SA</t>
  </si>
  <si>
    <t>N1030-00000156</t>
  </si>
  <si>
    <t>N1029-00001727</t>
  </si>
  <si>
    <t>PICCIOCHI</t>
  </si>
  <si>
    <t>GUIA</t>
  </si>
  <si>
    <t>38 NOVILLOS A SWIFT ARG</t>
  </si>
  <si>
    <t>N027308986-1</t>
  </si>
  <si>
    <t>N02734460-0</t>
  </si>
  <si>
    <t>55 NOVILLOS A SWIFT ARG</t>
  </si>
  <si>
    <t>N027278473-6</t>
  </si>
  <si>
    <t>MARCAS Y SEÑALES</t>
  </si>
  <si>
    <t>N001229443</t>
  </si>
  <si>
    <t xml:space="preserve"> KM DOBLE JAULA DESDE SALADILLO</t>
  </si>
  <si>
    <t>$/KM</t>
  </si>
  <si>
    <t>TRANSPORTE NICO</t>
  </si>
  <si>
    <t xml:space="preserve"> FLETE DESDE LAS FLORES HACIENDA</t>
  </si>
  <si>
    <t>TRANSPORTE BETINA OCHOA</t>
  </si>
  <si>
    <t xml:space="preserve"> FLETE HAC A FRIG VDO TUERTO</t>
  </si>
  <si>
    <t>ELVIRA CARLOS</t>
  </si>
  <si>
    <t>FLETE</t>
  </si>
  <si>
    <t>PESADAS</t>
  </si>
  <si>
    <t>TRANSP LIDER SA</t>
  </si>
  <si>
    <t>$/P</t>
  </si>
  <si>
    <t>TRANSP. EL GABI</t>
  </si>
  <si>
    <t>TRANSP WUARLE- DOBLE</t>
  </si>
  <si>
    <t>TRANSP. FEITO</t>
  </si>
  <si>
    <t>GASOIL</t>
  </si>
  <si>
    <t>$/LT</t>
  </si>
  <si>
    <t>MAXXI DIESEL</t>
  </si>
  <si>
    <t>EURO DIESEL</t>
  </si>
  <si>
    <t>NAFTA INFINIA</t>
  </si>
  <si>
    <t>NAFTA PREMIUM</t>
  </si>
  <si>
    <t>NAFTA SUPER</t>
  </si>
  <si>
    <t>MOBIL SUPER 15W40</t>
  </si>
  <si>
    <t xml:space="preserve"> CUPRHORMONE</t>
  </si>
  <si>
    <t>$/U</t>
  </si>
  <si>
    <t xml:space="preserve"> POUR METRIN</t>
  </si>
  <si>
    <t xml:space="preserve"> JERINGA AUTOMATICA</t>
  </si>
  <si>
    <t xml:space="preserve"> VACUNA CLOSTRIDIAL POLIVALENTE</t>
  </si>
  <si>
    <t xml:space="preserve"> VACUNA FEED LOT PLUS</t>
  </si>
  <si>
    <t xml:space="preserve"> CARAVANA BOTON</t>
  </si>
  <si>
    <t xml:space="preserve"> ALIMENTO BALANCEADO</t>
  </si>
  <si>
    <t xml:space="preserve"> TILMIGEN MAX</t>
  </si>
  <si>
    <t xml:space="preserve"> DRAXXIN</t>
  </si>
  <si>
    <t xml:space="preserve"> CYDECTIN ALPHA</t>
  </si>
  <si>
    <t xml:space="preserve"> AGUJA METALICA</t>
  </si>
  <si>
    <t xml:space="preserve"> DEXAMETASONA</t>
  </si>
  <si>
    <t xml:space="preserve"> CAN FEED ADULTO</t>
  </si>
  <si>
    <t xml:space="preserve"> POUR METRIN PLUS</t>
  </si>
  <si>
    <t xml:space="preserve"> Q-PANTIPARASITARIO</t>
  </si>
  <si>
    <t xml:space="preserve"> POLIESTER NARANJA</t>
  </si>
  <si>
    <t xml:space="preserve"> AISLADOR CAMPANITA BOYERO</t>
  </si>
  <si>
    <t xml:space="preserve"> AISLADOR SUPER</t>
  </si>
  <si>
    <t xml:space="preserve"> ENCEFALO CONTENEDOR</t>
  </si>
  <si>
    <t xml:space="preserve"> CURABICHERAS LIQUIDO</t>
  </si>
  <si>
    <t xml:space="preserve"> PENTABIOTICO</t>
  </si>
  <si>
    <t xml:space="preserve"> GALMETRIN PLUS</t>
  </si>
  <si>
    <t xml:space="preserve"> JERINGA</t>
  </si>
  <si>
    <t xml:space="preserve"> CURABICHERA</t>
  </si>
  <si>
    <t>ANALISIS COPROLOGICOS</t>
  </si>
  <si>
    <t>FORRAJES</t>
  </si>
  <si>
    <t>Siembra</t>
  </si>
  <si>
    <t>DOBLE ACCION</t>
  </si>
  <si>
    <t>glifosato</t>
  </si>
  <si>
    <t>preside</t>
  </si>
  <si>
    <t>aplicación</t>
  </si>
  <si>
    <t>mantenimiento</t>
  </si>
  <si>
    <t>NICOLA</t>
  </si>
  <si>
    <t>MAIZ GRANO</t>
  </si>
  <si>
    <t>MAIZ PICADO</t>
  </si>
  <si>
    <t>N00002-00000314</t>
  </si>
  <si>
    <t>RUIZ</t>
  </si>
  <si>
    <t>SUP. VIT. NUCLEO TEKNAL</t>
  </si>
  <si>
    <t>N00010-00071530</t>
  </si>
  <si>
    <t xml:space="preserve"> ALAMBRE GALV XKG</t>
  </si>
  <si>
    <t xml:space="preserve"> MANGO AISLANTE</t>
  </si>
  <si>
    <t xml:space="preserve"> CORTAPERNO 14''</t>
  </si>
  <si>
    <t xml:space="preserve"> ALAMBRE GALV N10 XKG</t>
  </si>
  <si>
    <t xml:space="preserve"> GASTOS MOVILIDAD X KM</t>
  </si>
  <si>
    <t xml:space="preserve"> TRANQUERA CAÑO REFORZADO 3M</t>
  </si>
  <si>
    <t xml:space="preserve"> TRANQUERA CAÑO REFORZADO 2.5M</t>
  </si>
  <si>
    <t xml:space="preserve"> TRANQUERA CAÑO REFORZADO 3.5M</t>
  </si>
  <si>
    <t xml:space="preserve"> POSTE QUEBRACHO 2.60M</t>
  </si>
  <si>
    <t xml:space="preserve"> POSTE QUEBRACHO 3M</t>
  </si>
  <si>
    <t xml:space="preserve"> VARILLA QURUPAY</t>
  </si>
  <si>
    <t xml:space="preserve"> BISAGRAP/TRANQUERA</t>
  </si>
  <si>
    <t xml:space="preserve"> PHOSGAS CROPMAX</t>
  </si>
  <si>
    <t xml:space="preserve"> TIR ANCHICO 3X3</t>
  </si>
  <si>
    <t xml:space="preserve"> TABLAS MACH</t>
  </si>
  <si>
    <t xml:space="preserve"> TAPAJUNTA</t>
  </si>
  <si>
    <t xml:space="preserve"> ELIOTTIS</t>
  </si>
  <si>
    <t>MARGEN NETO HACIENDA</t>
  </si>
  <si>
    <t>GANADERIA 2025</t>
  </si>
  <si>
    <t>MUERTOS</t>
  </si>
  <si>
    <t>CANTIDAD NETA</t>
  </si>
  <si>
    <t>Semovientes Bs.As. ag.4-88-0003-9</t>
  </si>
  <si>
    <t>Derecho Registro</t>
  </si>
  <si>
    <t>NOTA DE CREEDITO</t>
  </si>
  <si>
    <t>N1002-00006375</t>
  </si>
  <si>
    <t>ALFALFA TRAFUL 9.5</t>
  </si>
  <si>
    <t>U$S/KG</t>
  </si>
  <si>
    <t>$/ROLLO</t>
  </si>
  <si>
    <t>LTS/HA</t>
  </si>
  <si>
    <t>LTS/Mts</t>
  </si>
  <si>
    <t>SILOS BOLSAS</t>
  </si>
  <si>
    <t>$/BOLSA</t>
  </si>
  <si>
    <t>Labores</t>
  </si>
  <si>
    <t>Insecticia</t>
  </si>
  <si>
    <t>Virantra</t>
  </si>
  <si>
    <t>Lts</t>
  </si>
  <si>
    <t>Soja propia produccion</t>
  </si>
  <si>
    <t>Sulfato Amonio (NOVA)</t>
  </si>
  <si>
    <t>Kg</t>
  </si>
  <si>
    <t>Fuultec</t>
  </si>
  <si>
    <t>La Tijereta Box</t>
  </si>
  <si>
    <t>2,4 D (Dedalo elite)</t>
  </si>
  <si>
    <t>S-Metolaclor (Dual)</t>
  </si>
  <si>
    <t>Cletodim(Latium)</t>
  </si>
  <si>
    <t>Diclosulam (Spider)</t>
  </si>
  <si>
    <t>Herbicidas</t>
  </si>
  <si>
    <t>Cosecha</t>
  </si>
  <si>
    <t>,</t>
  </si>
  <si>
    <t>insumos y labores</t>
  </si>
  <si>
    <t>Dosis ajustad</t>
  </si>
  <si>
    <t>Refertilizada</t>
  </si>
  <si>
    <t>Altina</t>
  </si>
  <si>
    <t>Maiz Semilla</t>
  </si>
  <si>
    <t>bolsa</t>
  </si>
  <si>
    <t>Tijerta Box</t>
  </si>
  <si>
    <t>Atrazina  (GESAPRIM 90)</t>
  </si>
  <si>
    <t>Biciclopirona (Acuron uno)</t>
  </si>
  <si>
    <t>fertilizante</t>
  </si>
  <si>
    <t>Nutrimax (N:P:S:Zn)</t>
  </si>
  <si>
    <t>Urea</t>
  </si>
  <si>
    <t>Seguro (2,5%del rto esperado)</t>
  </si>
  <si>
    <t>N51936030</t>
  </si>
  <si>
    <t>FACT PAGADAS 25</t>
  </si>
  <si>
    <t>N31</t>
  </si>
  <si>
    <t>N49801845</t>
  </si>
  <si>
    <t>FA 0118</t>
  </si>
  <si>
    <t>AYUDANTE AL CAMPO</t>
  </si>
  <si>
    <t>COLLADO</t>
  </si>
  <si>
    <t>SOJA PRESTADA</t>
  </si>
  <si>
    <t>FLETES DESCONTADOS*</t>
  </si>
  <si>
    <t>LOTE 5</t>
  </si>
  <si>
    <t>2023-2024</t>
  </si>
  <si>
    <t xml:space="preserve">MAIZ </t>
  </si>
  <si>
    <t>Atrazina  (NOVA 90WG)</t>
  </si>
  <si>
    <t>urea</t>
  </si>
  <si>
    <t>kg prom</t>
  </si>
  <si>
    <t>EGRESOS/KG</t>
  </si>
  <si>
    <t>INGRESOS/KG</t>
  </si>
  <si>
    <t xml:space="preserve">ECHEQ 48 HS. </t>
  </si>
  <si>
    <t>N92</t>
  </si>
  <si>
    <t>COSTOS_OP</t>
  </si>
  <si>
    <t>HACIENDA</t>
  </si>
  <si>
    <t>TRIVERO AUTOMOTORES</t>
  </si>
  <si>
    <t>N8843</t>
  </si>
  <si>
    <t>FACT ANTERIORES</t>
  </si>
  <si>
    <t xml:space="preserve">ECHEQ GALICIA </t>
  </si>
  <si>
    <t>N96</t>
  </si>
  <si>
    <t>COMBUSTIBLES GA</t>
  </si>
  <si>
    <t>N9813 N9883</t>
  </si>
  <si>
    <t>ECHEQ 48 HS</t>
  </si>
  <si>
    <t>N93</t>
  </si>
  <si>
    <t xml:space="preserve">CHEQUE P/CAMARA </t>
  </si>
  <si>
    <t>N46641276</t>
  </si>
  <si>
    <t>MELANIA ALLANIZ</t>
  </si>
  <si>
    <t>N0088</t>
  </si>
  <si>
    <t>N46583187</t>
  </si>
  <si>
    <t>TODO CAMPO SRL</t>
  </si>
  <si>
    <t>N4148</t>
  </si>
  <si>
    <t>N94</t>
  </si>
  <si>
    <t>N3933</t>
  </si>
  <si>
    <t>ECHEQ GALICIA</t>
  </si>
  <si>
    <t>N100</t>
  </si>
  <si>
    <t>N19967</t>
  </si>
  <si>
    <t>ECHEQ 48 HS. NRO</t>
  </si>
  <si>
    <t>N97</t>
  </si>
  <si>
    <t>N4207</t>
  </si>
  <si>
    <t>N101</t>
  </si>
  <si>
    <t>N20054</t>
  </si>
  <si>
    <t>N102</t>
  </si>
  <si>
    <t>N20140</t>
  </si>
  <si>
    <t>MUNICIPALIDAD VH</t>
  </si>
  <si>
    <t>N46751557</t>
  </si>
  <si>
    <t>LA YUNTA VETERINARIA</t>
  </si>
  <si>
    <t>N0298</t>
  </si>
  <si>
    <t>N46751545</t>
  </si>
  <si>
    <t>N0297</t>
  </si>
  <si>
    <t>DESCUENTO CHEQUE</t>
  </si>
  <si>
    <t>20 NOVILLOS</t>
  </si>
  <si>
    <t>LORENZONI</t>
  </si>
  <si>
    <t>N1185</t>
  </si>
  <si>
    <t>N46751581</t>
  </si>
  <si>
    <t>PICCIOCHI FEDERICO</t>
  </si>
  <si>
    <t>N0248</t>
  </si>
  <si>
    <t>CHEQUE DE TERCEROS</t>
  </si>
  <si>
    <t xml:space="preserve">DESCUENTO CHEQUE </t>
  </si>
  <si>
    <t>N46276722</t>
  </si>
  <si>
    <t>N47342457</t>
  </si>
  <si>
    <t>N0336</t>
  </si>
  <si>
    <t>ACREDITACION CHEQUE REMESAS Suc.:815</t>
  </si>
  <si>
    <t>N1606</t>
  </si>
  <si>
    <t>CUOTA HILTON</t>
  </si>
  <si>
    <t>N107</t>
  </si>
  <si>
    <t>N20507</t>
  </si>
  <si>
    <t>N66897473</t>
  </si>
  <si>
    <t>N46276723</t>
  </si>
  <si>
    <t>EL CALDEN VETERINARIA</t>
  </si>
  <si>
    <t>N5278</t>
  </si>
  <si>
    <t>N47723634</t>
  </si>
  <si>
    <t>N4495</t>
  </si>
  <si>
    <t>N47342393</t>
  </si>
  <si>
    <t>N0337</t>
  </si>
  <si>
    <t>N46276724</t>
  </si>
  <si>
    <t>N0371</t>
  </si>
  <si>
    <t>N46276732</t>
  </si>
  <si>
    <t>N4765</t>
  </si>
  <si>
    <t>N46276725</t>
  </si>
  <si>
    <t>N0373</t>
  </si>
  <si>
    <t xml:space="preserve">CHEQUE GALICIA </t>
  </si>
  <si>
    <t>N67318687</t>
  </si>
  <si>
    <t>N0389</t>
  </si>
  <si>
    <t>38 NOVILLOS</t>
  </si>
  <si>
    <t>N0451</t>
  </si>
  <si>
    <t>N5140</t>
  </si>
  <si>
    <t>N451</t>
  </si>
  <si>
    <t>Transf. MacrOnline E-set D/T</t>
  </si>
  <si>
    <t>N113</t>
  </si>
  <si>
    <t>CREDIN:46YGOW9MJXMM</t>
  </si>
  <si>
    <t>TRANSF:24042900001598153</t>
  </si>
  <si>
    <t>RAFAEL ARNAUDO</t>
  </si>
  <si>
    <t>CHEQUE ENTREGADOS</t>
  </si>
  <si>
    <t xml:space="preserve">Cheque 48 Hs.  </t>
  </si>
  <si>
    <t>N67318695</t>
  </si>
  <si>
    <t>N0397</t>
  </si>
  <si>
    <t>N67318714</t>
  </si>
  <si>
    <t>N275</t>
  </si>
  <si>
    <t>N67318715</t>
  </si>
  <si>
    <t>N926</t>
  </si>
  <si>
    <t>N4934</t>
  </si>
  <si>
    <t>N48624212</t>
  </si>
  <si>
    <t>45 NOVILLOS</t>
  </si>
  <si>
    <t>N0123</t>
  </si>
  <si>
    <t>N49566761</t>
  </si>
  <si>
    <t>NUCLEO</t>
  </si>
  <si>
    <t>N1530</t>
  </si>
  <si>
    <t>N67318716</t>
  </si>
  <si>
    <t>N004</t>
  </si>
  <si>
    <t>DESCUENTO O VENTA CHEQUE</t>
  </si>
  <si>
    <t>N5393893</t>
  </si>
  <si>
    <t>COMPRA/CESION CPD BOL:</t>
  </si>
  <si>
    <t/>
  </si>
  <si>
    <t>VENTA 55 NOV</t>
  </si>
  <si>
    <t>N48624218</t>
  </si>
  <si>
    <t>N430</t>
  </si>
  <si>
    <t>GANANCIAS</t>
  </si>
  <si>
    <t>EN CUENTA CORRIENTE</t>
  </si>
  <si>
    <t>159 TERNEROS</t>
  </si>
  <si>
    <t>139 TERNEROS</t>
  </si>
  <si>
    <t>F6291 N/C X 2 CAB S/FC 10192288.</t>
  </si>
  <si>
    <t xml:space="preserve">159- 2 NOVILLOS DESCONTADOS </t>
  </si>
  <si>
    <t>N48624221</t>
  </si>
  <si>
    <t>N0428</t>
  </si>
  <si>
    <t>N48624219</t>
  </si>
  <si>
    <t>N5404</t>
  </si>
  <si>
    <t>TRANSF ERRECALDE 27200806536 VAR VARIOS TRANS</t>
  </si>
  <si>
    <t>N48624213</t>
  </si>
  <si>
    <t>INFRAESTRUCTURA</t>
  </si>
  <si>
    <t>TARQUINO</t>
  </si>
  <si>
    <t>N1381</t>
  </si>
  <si>
    <t>DEPOSITO EN EFECTIVO CTA. CTE.</t>
  </si>
  <si>
    <t>1076097982 - Numero de Operacion</t>
  </si>
  <si>
    <t>1076170015 - Numero de Operacion</t>
  </si>
  <si>
    <t>1076253829 - Numero de Operacion</t>
  </si>
  <si>
    <t>1112641443 - Numero de Operacion</t>
  </si>
  <si>
    <t>1112705777 - Numero de Operacion</t>
  </si>
  <si>
    <t>N49567023</t>
  </si>
  <si>
    <t>1150933018 - Numero de Operacion</t>
  </si>
  <si>
    <t>1151023281 - Numero de Operacion</t>
  </si>
  <si>
    <t>1151063945 - Numero de Operacion</t>
  </si>
  <si>
    <t>1267119525 - Numero de Operacion</t>
  </si>
  <si>
    <t>N67318694</t>
  </si>
  <si>
    <t>N0396</t>
  </si>
  <si>
    <t>N67318692</t>
  </si>
  <si>
    <t>N67318693</t>
  </si>
  <si>
    <t>N48624235</t>
  </si>
  <si>
    <t>TEF DATANET PR SWIFT ARGENTINA SA 30560378056</t>
  </si>
  <si>
    <t>38 NOV SWIFT</t>
  </si>
  <si>
    <t>TRANSP. NICO</t>
  </si>
  <si>
    <t>N0343</t>
  </si>
  <si>
    <t>TRANSP. ELVIRA</t>
  </si>
  <si>
    <t>N0620</t>
  </si>
  <si>
    <t>N637</t>
  </si>
  <si>
    <t>38 NOVILLOS ULTIMOS</t>
  </si>
  <si>
    <t>SWIFT FRIGORIFICO</t>
  </si>
  <si>
    <t>N48624244</t>
  </si>
  <si>
    <t>N0455</t>
  </si>
  <si>
    <t>N50474277</t>
  </si>
  <si>
    <t>FREDI</t>
  </si>
  <si>
    <t>TRANSP. BETINA OCHOA</t>
  </si>
  <si>
    <t>N4481</t>
  </si>
  <si>
    <t>TRF MO CCDO DIST T - 30708920882</t>
  </si>
  <si>
    <t>N48624247</t>
  </si>
  <si>
    <t>N0399</t>
  </si>
  <si>
    <t>N50474187</t>
  </si>
  <si>
    <t>TEF DATANET PR COLOMBO Y COLOMBO  30654138725</t>
  </si>
  <si>
    <t>42 ANIMALES</t>
  </si>
  <si>
    <t>N48624245</t>
  </si>
  <si>
    <t>N3019</t>
  </si>
  <si>
    <t>N49801812</t>
  </si>
  <si>
    <t>N475</t>
  </si>
  <si>
    <t>N49801811</t>
  </si>
  <si>
    <t>N103, N104</t>
  </si>
  <si>
    <t>N48624214</t>
  </si>
  <si>
    <t>TRANQUERAS</t>
  </si>
  <si>
    <t>N49801808</t>
  </si>
  <si>
    <t>TASAS MUNICIPALES</t>
  </si>
  <si>
    <t>MUN VH</t>
  </si>
  <si>
    <t>N49801813</t>
  </si>
  <si>
    <t>N0760</t>
  </si>
  <si>
    <t>CHEQUES ENDOSADOS desde ACA</t>
  </si>
  <si>
    <t>N49801833</t>
  </si>
  <si>
    <t>HA COMBUSTIBLES</t>
  </si>
  <si>
    <t>N0276</t>
  </si>
  <si>
    <t>N49801827</t>
  </si>
  <si>
    <t>N282</t>
  </si>
  <si>
    <t>N49801829</t>
  </si>
  <si>
    <t>N1912, 1950 ,1973</t>
  </si>
  <si>
    <t>N49801840</t>
  </si>
  <si>
    <t>TRANSP EL 69</t>
  </si>
  <si>
    <t>N963</t>
  </si>
  <si>
    <t>N49801850</t>
  </si>
  <si>
    <t>N0290</t>
  </si>
  <si>
    <t>N49801849</t>
  </si>
  <si>
    <t>N083</t>
  </si>
  <si>
    <t>N51936007</t>
  </si>
  <si>
    <t>10 PESAJES BALANZA</t>
  </si>
  <si>
    <t>AMIN ALE</t>
  </si>
  <si>
    <t>N1262</t>
  </si>
  <si>
    <t>N51936012</t>
  </si>
  <si>
    <t>N51936008</t>
  </si>
  <si>
    <t>N6414</t>
  </si>
  <si>
    <t>VIEJA ESTACION SA</t>
  </si>
  <si>
    <t>VIEJA ESTACION</t>
  </si>
  <si>
    <t>RAUL</t>
  </si>
  <si>
    <t>N51936011</t>
  </si>
  <si>
    <t>N297</t>
  </si>
  <si>
    <t>N51936009</t>
  </si>
  <si>
    <t>TODO CAMPO COMB</t>
  </si>
  <si>
    <t>N6688</t>
  </si>
  <si>
    <t>N53206496</t>
  </si>
  <si>
    <t>N6661</t>
  </si>
  <si>
    <t>N51936041</t>
  </si>
  <si>
    <t>N53553639</t>
  </si>
  <si>
    <t>N51936013</t>
  </si>
  <si>
    <t>VETERINARIA</t>
  </si>
  <si>
    <t>N51936032</t>
  </si>
  <si>
    <t>FA301</t>
  </si>
  <si>
    <t>N51936033</t>
  </si>
  <si>
    <t>FA136</t>
  </si>
  <si>
    <t>N54054846</t>
  </si>
  <si>
    <t>FA93</t>
  </si>
  <si>
    <t>Kg totales</t>
  </si>
  <si>
    <t>PRECIOS</t>
  </si>
  <si>
    <t>CANTIDAD</t>
  </si>
  <si>
    <t>COMPRA 2025</t>
  </si>
  <si>
    <t>COMPRA A MAIZ- ALIMENTACION*</t>
  </si>
  <si>
    <t>MARGEN GANADERO 2024</t>
  </si>
  <si>
    <t>MARGENES AGRICULTURA 2024</t>
  </si>
  <si>
    <t xml:space="preserve">MARGENES CAMPAÑA </t>
  </si>
  <si>
    <t>RELACION COMPRA/VENTA por KG</t>
  </si>
  <si>
    <t>RELACION COMPRA/VENTA por PRECIOS</t>
  </si>
  <si>
    <t>POR CADA NOVILLO VENDIDO COMPRAS 1,4 TENERNOS</t>
  </si>
  <si>
    <t>VENTAS OBJETIVO</t>
  </si>
  <si>
    <t>PRECIO EN PIE</t>
  </si>
  <si>
    <t>KG de res</t>
  </si>
  <si>
    <t>Peso de la res:</t>
  </si>
  <si>
    <t>Rendimiento desposte:</t>
  </si>
  <si>
    <t>kg de carne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</si>
</sst>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0">
    <numFmt numFmtId="8" formatCode="&quot;$&quot;\ #,##0.00;[Red]\-&quot;$&quot;\ #,##0.00"/>
    <numFmt numFmtId="44" formatCode="_-&quot;$&quot;\ * #,##0.00_-;\-&quot;$&quot;\ * #,##0.00_-;_-&quot;$&quot;\ * &quot;-&quot;??_-;_-@_-"/>
    <numFmt numFmtId="164" formatCode="_-[$USD]\ * #,##0.00_-;\-[$USD]\ * #,##0.00_-;_-[$USD]\ * &quot;-&quot;??_-;_-@_-"/>
    <numFmt numFmtId="165" formatCode="_ [$USD]\ * #,##0_ ;_ [$USD]\ * \-#,##0_ ;_ [$USD]\ * &quot;-&quot;??_ ;_ @_ "/>
    <numFmt numFmtId="166" formatCode="&quot;$&quot;\ #,##0.00"/>
    <numFmt numFmtId="167" formatCode="_ [$USD]\ * #,##0.00_ ;_ [$USD]\ * \-#,##0.00_ ;_ [$USD]\ * &quot;-&quot;??_ ;_ @_ "/>
    <numFmt numFmtId="168" formatCode="[$USD]\ #,##0.00"/>
    <numFmt numFmtId="169" formatCode="0.000%"/>
    <numFmt numFmtId="170" formatCode="0.0"/>
    <numFmt numFmtId="171" formatCode="0.0;\ &quot;has&quot;"/>
    <numFmt numFmtId="172" formatCode="0.0%"/>
    <numFmt numFmtId="173" formatCode="&quot;$&quot;\ #,##0.000"/>
    <numFmt numFmtId="174" formatCode="_ &quot;$&quot;\ * #,##0.00_ ;_ &quot;$&quot;\ * \-#,##0.00_ ;_ &quot;$&quot;\ * &quot;-&quot;??_ ;_ @_ "/>
    <numFmt numFmtId="175" formatCode="_-* #,##0.00\ _€_-;\-* #,##0.00\ _€_-;_-* &quot;-&quot;??\ _€_-;_-@_-"/>
    <numFmt numFmtId="176" formatCode="_-* #,##0.000\ _€_-;\-* #,##0.000\ _€_-;_-* &quot;-&quot;??\ _€_-;_-@_-"/>
    <numFmt numFmtId="177" formatCode="[$USD]\ #,##0.00;[Red][$USD]\ \-#,##0.00"/>
    <numFmt numFmtId="178" formatCode="_-* #,##0.0000\ _€_-;\-* #,##0.0000\ _€_-;_-* &quot;-&quot;??\ _€_-;_-@_-"/>
    <numFmt numFmtId="179" formatCode="#,##0.0"/>
    <numFmt numFmtId="180" formatCode="_-* #,##0.0\ _€_-;\-* #,##0.0\ _€_-;_-* &quot;-&quot;??\ _€_-;_-@_-"/>
    <numFmt numFmtId="181" formatCode="0.000"/>
  </numFmts>
  <fonts count="5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8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sz val="8"/>
      <color theme="1"/>
      <name val="Calibri"/>
      <family val="2"/>
    </font>
    <font>
      <b/>
      <sz val="8"/>
      <color theme="1" tint="4.9989318521683403E-2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4"/>
      <name val="Arial"/>
      <family val="2"/>
    </font>
    <font>
      <sz val="8"/>
      <name val="Arial"/>
      <family val="2"/>
    </font>
    <font>
      <b/>
      <sz val="11"/>
      <name val="Calibri"/>
      <family val="2"/>
    </font>
    <font>
      <b/>
      <sz val="10"/>
      <color rgb="FFC00000"/>
      <name val="Arial"/>
      <family val="2"/>
    </font>
    <font>
      <sz val="11"/>
      <color theme="1" tint="4.9989318521683403E-2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indexed="26"/>
      <name val="Calibri"/>
      <family val="2"/>
    </font>
    <font>
      <b/>
      <sz val="9"/>
      <name val="Calibri"/>
      <family val="2"/>
      <scheme val="minor"/>
    </font>
    <font>
      <i/>
      <sz val="9"/>
      <name val="Calibri"/>
      <family val="2"/>
      <scheme val="minor"/>
    </font>
    <font>
      <sz val="9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9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b/>
      <sz val="8"/>
      <color theme="1"/>
      <name val="Calibri"/>
      <family val="2"/>
    </font>
    <font>
      <sz val="11"/>
      <color rgb="FF0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3FF79"/>
        <bgColor indexed="64"/>
      </patternFill>
    </fill>
    <fill>
      <patternFill patternType="solid">
        <fgColor rgb="FF047E0A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5EFE7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AFCBB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EEA54"/>
        <bgColor indexed="64"/>
      </patternFill>
    </fill>
    <fill>
      <patternFill patternType="solid">
        <fgColor rgb="FF89E38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B5FFA3"/>
        <bgColor indexed="64"/>
      </patternFill>
    </fill>
    <fill>
      <patternFill patternType="solid">
        <fgColor rgb="FF60FF3B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CFF93"/>
        <bgColor indexed="64"/>
      </patternFill>
    </fill>
    <fill>
      <patternFill patternType="solid">
        <fgColor rgb="FFFFD65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46DA6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ABE7A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8" fillId="0" borderId="0" applyFont="0" applyFill="0" applyBorder="0" applyAlignment="0" applyProtection="0"/>
    <xf numFmtId="174" fontId="38" fillId="0" borderId="0" applyFont="0" applyFill="0" applyBorder="0" applyAlignment="0" applyProtection="0"/>
    <xf numFmtId="175" fontId="38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601">
    <xf numFmtId="0" fontId="0" fillId="0" borderId="0" xfId="0"/>
    <xf numFmtId="0" fontId="2" fillId="0" borderId="0" xfId="0" applyFont="1"/>
    <xf numFmtId="0" fontId="0" fillId="0" borderId="8" xfId="0" applyBorder="1"/>
    <xf numFmtId="0" fontId="6" fillId="0" borderId="0" xfId="0" applyFont="1"/>
    <xf numFmtId="44" fontId="0" fillId="0" borderId="0" xfId="1" applyFont="1" applyFill="1" applyBorder="1"/>
    <xf numFmtId="0" fontId="0" fillId="0" borderId="2" xfId="0" applyBorder="1"/>
    <xf numFmtId="0" fontId="0" fillId="0" borderId="5" xfId="0" applyBorder="1"/>
    <xf numFmtId="44" fontId="0" fillId="0" borderId="5" xfId="1" applyFont="1" applyFill="1" applyBorder="1"/>
    <xf numFmtId="0" fontId="0" fillId="0" borderId="6" xfId="0" applyBorder="1"/>
    <xf numFmtId="44" fontId="0" fillId="0" borderId="0" xfId="1" applyFont="1" applyBorder="1"/>
    <xf numFmtId="0" fontId="8" fillId="0" borderId="0" xfId="0" applyFont="1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/>
    <xf numFmtId="0" fontId="2" fillId="2" borderId="0" xfId="0" applyFont="1" applyFill="1" applyAlignment="1">
      <alignment horizontal="left" vertical="center" wrapText="1"/>
    </xf>
    <xf numFmtId="0" fontId="0" fillId="0" borderId="0" xfId="0" applyAlignment="1">
      <alignment horizontal="right"/>
    </xf>
    <xf numFmtId="0" fontId="0" fillId="0" borderId="8" xfId="0" applyBorder="1" applyAlignment="1">
      <alignment horizontal="left"/>
    </xf>
    <xf numFmtId="0" fontId="3" fillId="0" borderId="0" xfId="0" applyFont="1"/>
    <xf numFmtId="0" fontId="3" fillId="0" borderId="8" xfId="0" applyFont="1" applyBorder="1"/>
    <xf numFmtId="0" fontId="4" fillId="0" borderId="0" xfId="0" applyFont="1"/>
    <xf numFmtId="0" fontId="3" fillId="0" borderId="8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8" xfId="0" applyFont="1" applyBorder="1" applyAlignment="1">
      <alignment horizontal="left"/>
    </xf>
    <xf numFmtId="44" fontId="0" fillId="0" borderId="0" xfId="0" applyNumberFormat="1"/>
    <xf numFmtId="0" fontId="6" fillId="0" borderId="0" xfId="0" applyFont="1" applyAlignment="1">
      <alignment horizontal="right"/>
    </xf>
    <xf numFmtId="0" fontId="0" fillId="0" borderId="8" xfId="0" applyBorder="1" applyAlignment="1">
      <alignment horizontal="right"/>
    </xf>
    <xf numFmtId="44" fontId="3" fillId="0" borderId="0" xfId="0" applyNumberFormat="1" applyFont="1"/>
    <xf numFmtId="0" fontId="6" fillId="0" borderId="8" xfId="0" applyFont="1" applyBorder="1" applyAlignment="1">
      <alignment horizontal="right"/>
    </xf>
    <xf numFmtId="0" fontId="6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0" fillId="0" borderId="8" xfId="0" applyBorder="1" applyAlignment="1">
      <alignment horizontal="left" wrapText="1"/>
    </xf>
    <xf numFmtId="0" fontId="0" fillId="0" borderId="0" xfId="0" applyAlignment="1">
      <alignment horizontal="left" wrapText="1"/>
    </xf>
    <xf numFmtId="44" fontId="2" fillId="0" borderId="0" xfId="0" applyNumberFormat="1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/>
    <xf numFmtId="44" fontId="0" fillId="0" borderId="0" xfId="1" applyFont="1"/>
    <xf numFmtId="0" fontId="9" fillId="0" borderId="0" xfId="0" applyFont="1"/>
    <xf numFmtId="0" fontId="11" fillId="0" borderId="0" xfId="0" applyFont="1" applyAlignment="1">
      <alignment horizontal="left"/>
    </xf>
    <xf numFmtId="44" fontId="7" fillId="0" borderId="0" xfId="0" applyNumberFormat="1" applyFont="1"/>
    <xf numFmtId="0" fontId="7" fillId="0" borderId="0" xfId="0" applyFont="1"/>
    <xf numFmtId="44" fontId="9" fillId="0" borderId="0" xfId="0" applyNumberFormat="1" applyFont="1"/>
    <xf numFmtId="0" fontId="3" fillId="5" borderId="8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44" fontId="3" fillId="2" borderId="2" xfId="1" applyFont="1" applyFill="1" applyBorder="1" applyAlignment="1">
      <alignment horizontal="center" vertical="center" wrapText="1"/>
    </xf>
    <xf numFmtId="164" fontId="2" fillId="0" borderId="0" xfId="1" applyNumberFormat="1" applyFont="1" applyFill="1" applyBorder="1"/>
    <xf numFmtId="164" fontId="1" fillId="0" borderId="0" xfId="1" applyNumberFormat="1" applyFont="1" applyFill="1" applyBorder="1"/>
    <xf numFmtId="164" fontId="9" fillId="0" borderId="0" xfId="1" applyNumberFormat="1" applyFont="1" applyFill="1" applyBorder="1"/>
    <xf numFmtId="44" fontId="0" fillId="0" borderId="8" xfId="0" applyNumberFormat="1" applyBorder="1"/>
    <xf numFmtId="0" fontId="3" fillId="2" borderId="13" xfId="0" applyFont="1" applyFill="1" applyBorder="1" applyAlignment="1">
      <alignment horizontal="center" vertical="center" wrapText="1"/>
    </xf>
    <xf numFmtId="44" fontId="0" fillId="0" borderId="14" xfId="0" applyNumberFormat="1" applyBorder="1"/>
    <xf numFmtId="44" fontId="2" fillId="5" borderId="14" xfId="0" applyNumberFormat="1" applyFont="1" applyFill="1" applyBorder="1"/>
    <xf numFmtId="44" fontId="2" fillId="0" borderId="14" xfId="0" applyNumberFormat="1" applyFont="1" applyBorder="1"/>
    <xf numFmtId="0" fontId="0" fillId="0" borderId="14" xfId="0" applyBorder="1"/>
    <xf numFmtId="8" fontId="2" fillId="0" borderId="14" xfId="0" applyNumberFormat="1" applyFont="1" applyBorder="1"/>
    <xf numFmtId="0" fontId="4" fillId="0" borderId="14" xfId="0" applyFont="1" applyBorder="1"/>
    <xf numFmtId="0" fontId="18" fillId="0" borderId="2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7" xfId="0" applyFont="1" applyBorder="1"/>
    <xf numFmtId="0" fontId="0" fillId="0" borderId="7" xfId="0" applyBorder="1"/>
    <xf numFmtId="164" fontId="0" fillId="5" borderId="0" xfId="1" applyNumberFormat="1" applyFont="1" applyFill="1" applyBorder="1"/>
    <xf numFmtId="44" fontId="0" fillId="5" borderId="0" xfId="1" applyFont="1" applyFill="1" applyBorder="1"/>
    <xf numFmtId="44" fontId="0" fillId="5" borderId="8" xfId="0" applyNumberFormat="1" applyFill="1" applyBorder="1"/>
    <xf numFmtId="164" fontId="12" fillId="0" borderId="0" xfId="1" applyNumberFormat="1" applyFont="1" applyFill="1" applyBorder="1"/>
    <xf numFmtId="44" fontId="12" fillId="0" borderId="0" xfId="1" applyFont="1" applyFill="1" applyBorder="1"/>
    <xf numFmtId="14" fontId="0" fillId="0" borderId="7" xfId="0" applyNumberFormat="1" applyBorder="1"/>
    <xf numFmtId="164" fontId="0" fillId="0" borderId="0" xfId="1" applyNumberFormat="1" applyFont="1" applyFill="1" applyBorder="1"/>
    <xf numFmtId="0" fontId="2" fillId="0" borderId="7" xfId="0" applyFont="1" applyBorder="1"/>
    <xf numFmtId="164" fontId="2" fillId="5" borderId="0" xfId="1" applyNumberFormat="1" applyFont="1" applyFill="1" applyBorder="1"/>
    <xf numFmtId="44" fontId="2" fillId="5" borderId="0" xfId="1" applyFont="1" applyFill="1" applyBorder="1"/>
    <xf numFmtId="44" fontId="2" fillId="0" borderId="0" xfId="1" applyFont="1" applyFill="1" applyBorder="1"/>
    <xf numFmtId="44" fontId="1" fillId="0" borderId="0" xfId="1" applyFont="1" applyFill="1" applyBorder="1"/>
    <xf numFmtId="2" fontId="9" fillId="0" borderId="0" xfId="1" applyNumberFormat="1" applyFont="1" applyFill="1" applyBorder="1"/>
    <xf numFmtId="44" fontId="9" fillId="0" borderId="0" xfId="1" applyFont="1" applyFill="1" applyBorder="1"/>
    <xf numFmtId="44" fontId="9" fillId="0" borderId="0" xfId="1" applyFont="1" applyBorder="1"/>
    <xf numFmtId="164" fontId="0" fillId="0" borderId="10" xfId="1" applyNumberFormat="1" applyFont="1" applyFill="1" applyBorder="1"/>
    <xf numFmtId="164" fontId="7" fillId="0" borderId="14" xfId="0" applyNumberFormat="1" applyFont="1" applyBorder="1"/>
    <xf numFmtId="164" fontId="7" fillId="5" borderId="14" xfId="0" applyNumberFormat="1" applyFont="1" applyFill="1" applyBorder="1"/>
    <xf numFmtId="164" fontId="2" fillId="0" borderId="14" xfId="0" applyNumberFormat="1" applyFont="1" applyBorder="1"/>
    <xf numFmtId="8" fontId="0" fillId="0" borderId="0" xfId="1" applyNumberFormat="1" applyFont="1" applyBorder="1"/>
    <xf numFmtId="0" fontId="2" fillId="5" borderId="8" xfId="0" applyFont="1" applyFill="1" applyBorder="1"/>
    <xf numFmtId="44" fontId="1" fillId="5" borderId="0" xfId="1" applyFont="1" applyFill="1" applyBorder="1"/>
    <xf numFmtId="164" fontId="9" fillId="0" borderId="14" xfId="0" applyNumberFormat="1" applyFont="1" applyBorder="1"/>
    <xf numFmtId="44" fontId="3" fillId="0" borderId="12" xfId="0" applyNumberFormat="1" applyFont="1" applyBorder="1"/>
    <xf numFmtId="164" fontId="7" fillId="0" borderId="12" xfId="0" applyNumberFormat="1" applyFont="1" applyBorder="1"/>
    <xf numFmtId="44" fontId="0" fillId="0" borderId="6" xfId="0" applyNumberFormat="1" applyBorder="1"/>
    <xf numFmtId="0" fontId="12" fillId="0" borderId="0" xfId="0" applyFont="1"/>
    <xf numFmtId="164" fontId="20" fillId="0" borderId="0" xfId="0" applyNumberFormat="1" applyFont="1"/>
    <xf numFmtId="0" fontId="2" fillId="5" borderId="0" xfId="0" applyFont="1" applyFill="1"/>
    <xf numFmtId="44" fontId="2" fillId="5" borderId="0" xfId="0" applyNumberFormat="1" applyFont="1" applyFill="1"/>
    <xf numFmtId="164" fontId="19" fillId="5" borderId="0" xfId="0" applyNumberFormat="1" applyFont="1" applyFill="1"/>
    <xf numFmtId="164" fontId="19" fillId="0" borderId="0" xfId="0" applyNumberFormat="1" applyFont="1"/>
    <xf numFmtId="0" fontId="0" fillId="5" borderId="0" xfId="0" applyFill="1"/>
    <xf numFmtId="14" fontId="0" fillId="0" borderId="9" xfId="0" applyNumberFormat="1" applyBorder="1"/>
    <xf numFmtId="0" fontId="3" fillId="5" borderId="10" xfId="0" applyFont="1" applyFill="1" applyBorder="1"/>
    <xf numFmtId="0" fontId="4" fillId="5" borderId="10" xfId="0" applyFont="1" applyFill="1" applyBorder="1"/>
    <xf numFmtId="164" fontId="4" fillId="5" borderId="10" xfId="1" applyNumberFormat="1" applyFont="1" applyFill="1" applyBorder="1"/>
    <xf numFmtId="164" fontId="0" fillId="5" borderId="10" xfId="1" applyNumberFormat="1" applyFont="1" applyFill="1" applyBorder="1"/>
    <xf numFmtId="44" fontId="3" fillId="5" borderId="10" xfId="0" applyNumberFormat="1" applyFont="1" applyFill="1" applyBorder="1"/>
    <xf numFmtId="164" fontId="19" fillId="5" borderId="10" xfId="0" applyNumberFormat="1" applyFont="1" applyFill="1" applyBorder="1"/>
    <xf numFmtId="44" fontId="3" fillId="5" borderId="15" xfId="0" applyNumberFormat="1" applyFont="1" applyFill="1" applyBorder="1"/>
    <xf numFmtId="164" fontId="2" fillId="5" borderId="15" xfId="0" applyNumberFormat="1" applyFont="1" applyFill="1" applyBorder="1"/>
    <xf numFmtId="44" fontId="0" fillId="5" borderId="11" xfId="0" applyNumberFormat="1" applyFill="1" applyBorder="1"/>
    <xf numFmtId="0" fontId="3" fillId="7" borderId="5" xfId="0" applyFont="1" applyFill="1" applyBorder="1"/>
    <xf numFmtId="0" fontId="3" fillId="7" borderId="6" xfId="0" applyFont="1" applyFill="1" applyBorder="1"/>
    <xf numFmtId="0" fontId="4" fillId="7" borderId="5" xfId="0" applyFont="1" applyFill="1" applyBorder="1"/>
    <xf numFmtId="164" fontId="4" fillId="7" borderId="5" xfId="1" applyNumberFormat="1" applyFont="1" applyFill="1" applyBorder="1"/>
    <xf numFmtId="44" fontId="3" fillId="7" borderId="5" xfId="0" applyNumberFormat="1" applyFont="1" applyFill="1" applyBorder="1"/>
    <xf numFmtId="164" fontId="19" fillId="7" borderId="5" xfId="0" applyNumberFormat="1" applyFont="1" applyFill="1" applyBorder="1"/>
    <xf numFmtId="44" fontId="3" fillId="7" borderId="12" xfId="0" applyNumberFormat="1" applyFont="1" applyFill="1" applyBorder="1"/>
    <xf numFmtId="44" fontId="0" fillId="7" borderId="6" xfId="0" applyNumberFormat="1" applyFill="1" applyBorder="1"/>
    <xf numFmtId="0" fontId="2" fillId="0" borderId="7" xfId="0" applyFont="1" applyBorder="1" applyAlignment="1">
      <alignment horizontal="right"/>
    </xf>
    <xf numFmtId="0" fontId="0" fillId="0" borderId="7" xfId="0" applyBorder="1" applyAlignment="1">
      <alignment horizontal="right"/>
    </xf>
    <xf numFmtId="44" fontId="0" fillId="6" borderId="3" xfId="0" applyNumberFormat="1" applyFill="1" applyBorder="1"/>
    <xf numFmtId="0" fontId="3" fillId="6" borderId="2" xfId="0" applyFont="1" applyFill="1" applyBorder="1"/>
    <xf numFmtId="164" fontId="3" fillId="6" borderId="2" xfId="1" applyNumberFormat="1" applyFont="1" applyFill="1" applyBorder="1"/>
    <xf numFmtId="44" fontId="3" fillId="6" borderId="2" xfId="1" applyFont="1" applyFill="1" applyBorder="1"/>
    <xf numFmtId="44" fontId="3" fillId="6" borderId="2" xfId="0" applyNumberFormat="1" applyFont="1" applyFill="1" applyBorder="1"/>
    <xf numFmtId="164" fontId="19" fillId="6" borderId="2" xfId="0" applyNumberFormat="1" applyFont="1" applyFill="1" applyBorder="1"/>
    <xf numFmtId="0" fontId="0" fillId="0" borderId="4" xfId="0" applyBorder="1" applyAlignment="1">
      <alignment horizontal="right"/>
    </xf>
    <xf numFmtId="0" fontId="6" fillId="0" borderId="5" xfId="0" applyFont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5" xfId="0" applyBorder="1" applyAlignment="1">
      <alignment horizontal="right"/>
    </xf>
    <xf numFmtId="164" fontId="0" fillId="0" borderId="5" xfId="1" applyNumberFormat="1" applyFont="1" applyFill="1" applyBorder="1"/>
    <xf numFmtId="44" fontId="0" fillId="0" borderId="5" xfId="0" applyNumberFormat="1" applyBorder="1"/>
    <xf numFmtId="164" fontId="20" fillId="0" borderId="5" xfId="0" applyNumberFormat="1" applyFont="1" applyBorder="1"/>
    <xf numFmtId="44" fontId="0" fillId="0" borderId="12" xfId="0" applyNumberFormat="1" applyBorder="1"/>
    <xf numFmtId="0" fontId="3" fillId="5" borderId="9" xfId="0" applyFont="1" applyFill="1" applyBorder="1"/>
    <xf numFmtId="0" fontId="0" fillId="5" borderId="7" xfId="0" applyFill="1" applyBorder="1"/>
    <xf numFmtId="0" fontId="2" fillId="5" borderId="7" xfId="0" applyFont="1" applyFill="1" applyBorder="1" applyAlignment="1">
      <alignment horizontal="right"/>
    </xf>
    <xf numFmtId="0" fontId="3" fillId="7" borderId="4" xfId="0" applyFont="1" applyFill="1" applyBorder="1" applyAlignment="1">
      <alignment horizontal="left"/>
    </xf>
    <xf numFmtId="164" fontId="3" fillId="7" borderId="5" xfId="1" applyNumberFormat="1" applyFont="1" applyFill="1" applyBorder="1"/>
    <xf numFmtId="44" fontId="3" fillId="7" borderId="5" xfId="1" applyFont="1" applyFill="1" applyBorder="1"/>
    <xf numFmtId="44" fontId="0" fillId="5" borderId="0" xfId="0" applyNumberFormat="1" applyFill="1"/>
    <xf numFmtId="0" fontId="0" fillId="5" borderId="11" xfId="0" applyFill="1" applyBorder="1"/>
    <xf numFmtId="0" fontId="0" fillId="5" borderId="10" xfId="0" applyFill="1" applyBorder="1"/>
    <xf numFmtId="44" fontId="0" fillId="5" borderId="10" xfId="1" applyFont="1" applyFill="1" applyBorder="1"/>
    <xf numFmtId="44" fontId="1" fillId="5" borderId="10" xfId="1" applyFont="1" applyFill="1" applyBorder="1"/>
    <xf numFmtId="44" fontId="2" fillId="5" borderId="10" xfId="0" applyNumberFormat="1" applyFont="1" applyFill="1" applyBorder="1"/>
    <xf numFmtId="44" fontId="0" fillId="5" borderId="10" xfId="0" applyNumberFormat="1" applyFill="1" applyBorder="1"/>
    <xf numFmtId="164" fontId="20" fillId="5" borderId="10" xfId="0" applyNumberFormat="1" applyFont="1" applyFill="1" applyBorder="1"/>
    <xf numFmtId="44" fontId="2" fillId="5" borderId="15" xfId="0" applyNumberFormat="1" applyFont="1" applyFill="1" applyBorder="1"/>
    <xf numFmtId="164" fontId="7" fillId="5" borderId="15" xfId="0" applyNumberFormat="1" applyFont="1" applyFill="1" applyBorder="1"/>
    <xf numFmtId="0" fontId="2" fillId="5" borderId="7" xfId="0" applyFont="1" applyFill="1" applyBorder="1"/>
    <xf numFmtId="0" fontId="0" fillId="5" borderId="9" xfId="0" applyFill="1" applyBorder="1"/>
    <xf numFmtId="0" fontId="3" fillId="6" borderId="1" xfId="0" applyFont="1" applyFill="1" applyBorder="1" applyAlignment="1">
      <alignment horizontal="right"/>
    </xf>
    <xf numFmtId="0" fontId="10" fillId="0" borderId="5" xfId="0" applyFont="1" applyBorder="1"/>
    <xf numFmtId="0" fontId="11" fillId="0" borderId="5" xfId="0" applyFont="1" applyBorder="1"/>
    <xf numFmtId="44" fontId="11" fillId="0" borderId="5" xfId="1" applyFont="1" applyFill="1" applyBorder="1"/>
    <xf numFmtId="44" fontId="10" fillId="0" borderId="5" xfId="0" applyNumberFormat="1" applyFont="1" applyBorder="1"/>
    <xf numFmtId="14" fontId="0" fillId="0" borderId="7" xfId="0" applyNumberFormat="1" applyBorder="1" applyAlignment="1">
      <alignment horizontal="center"/>
    </xf>
    <xf numFmtId="164" fontId="2" fillId="0" borderId="0" xfId="0" applyNumberFormat="1" applyFont="1"/>
    <xf numFmtId="164" fontId="0" fillId="0" borderId="0" xfId="0" applyNumberFormat="1"/>
    <xf numFmtId="0" fontId="0" fillId="0" borderId="7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8" borderId="1" xfId="0" applyFont="1" applyFill="1" applyBorder="1" applyAlignment="1">
      <alignment horizontal="right"/>
    </xf>
    <xf numFmtId="0" fontId="3" fillId="8" borderId="2" xfId="0" applyFont="1" applyFill="1" applyBorder="1" applyAlignment="1">
      <alignment horizontal="right"/>
    </xf>
    <xf numFmtId="0" fontId="3" fillId="8" borderId="2" xfId="0" applyFont="1" applyFill="1" applyBorder="1"/>
    <xf numFmtId="0" fontId="4" fillId="8" borderId="2" xfId="0" applyFont="1" applyFill="1" applyBorder="1"/>
    <xf numFmtId="164" fontId="4" fillId="8" borderId="2" xfId="1" applyNumberFormat="1" applyFont="1" applyFill="1" applyBorder="1"/>
    <xf numFmtId="164" fontId="3" fillId="8" borderId="2" xfId="1" applyNumberFormat="1" applyFont="1" applyFill="1" applyBorder="1"/>
    <xf numFmtId="44" fontId="3" fillId="8" borderId="2" xfId="1" applyFont="1" applyFill="1" applyBorder="1"/>
    <xf numFmtId="44" fontId="3" fillId="8" borderId="2" xfId="0" applyNumberFormat="1" applyFont="1" applyFill="1" applyBorder="1"/>
    <xf numFmtId="164" fontId="19" fillId="8" borderId="2" xfId="0" applyNumberFormat="1" applyFont="1" applyFill="1" applyBorder="1"/>
    <xf numFmtId="164" fontId="2" fillId="8" borderId="2" xfId="0" applyNumberFormat="1" applyFont="1" applyFill="1" applyBorder="1"/>
    <xf numFmtId="44" fontId="0" fillId="8" borderId="3" xfId="0" applyNumberFormat="1" applyFill="1" applyBorder="1"/>
    <xf numFmtId="14" fontId="0" fillId="0" borderId="0" xfId="0" applyNumberFormat="1"/>
    <xf numFmtId="14" fontId="0" fillId="0" borderId="4" xfId="0" applyNumberFormat="1" applyBorder="1"/>
    <xf numFmtId="44" fontId="2" fillId="2" borderId="0" xfId="0" applyNumberFormat="1" applyFont="1" applyFill="1"/>
    <xf numFmtId="8" fontId="2" fillId="0" borderId="0" xfId="0" applyNumberFormat="1" applyFont="1"/>
    <xf numFmtId="164" fontId="7" fillId="6" borderId="2" xfId="0" applyNumberFormat="1" applyFont="1" applyFill="1" applyBorder="1"/>
    <xf numFmtId="0" fontId="10" fillId="0" borderId="4" xfId="0" applyFont="1" applyBorder="1"/>
    <xf numFmtId="0" fontId="10" fillId="0" borderId="6" xfId="0" applyFont="1" applyBorder="1"/>
    <xf numFmtId="166" fontId="10" fillId="0" borderId="5" xfId="0" applyNumberFormat="1" applyFont="1" applyBorder="1"/>
    <xf numFmtId="164" fontId="21" fillId="0" borderId="5" xfId="0" applyNumberFormat="1" applyFont="1" applyBorder="1"/>
    <xf numFmtId="0" fontId="3" fillId="6" borderId="10" xfId="0" applyFont="1" applyFill="1" applyBorder="1" applyAlignment="1">
      <alignment horizontal="right"/>
    </xf>
    <xf numFmtId="0" fontId="3" fillId="6" borderId="10" xfId="0" applyFont="1" applyFill="1" applyBorder="1" applyAlignment="1">
      <alignment horizontal="left"/>
    </xf>
    <xf numFmtId="0" fontId="0" fillId="6" borderId="10" xfId="0" applyFill="1" applyBorder="1"/>
    <xf numFmtId="164" fontId="0" fillId="6" borderId="10" xfId="1" applyNumberFormat="1" applyFont="1" applyFill="1" applyBorder="1"/>
    <xf numFmtId="44" fontId="0" fillId="6" borderId="10" xfId="1" applyFont="1" applyFill="1" applyBorder="1"/>
    <xf numFmtId="44" fontId="2" fillId="6" borderId="10" xfId="0" applyNumberFormat="1" applyFont="1" applyFill="1" applyBorder="1"/>
    <xf numFmtId="44" fontId="11" fillId="6" borderId="10" xfId="1" applyFont="1" applyFill="1" applyBorder="1"/>
    <xf numFmtId="164" fontId="14" fillId="6" borderId="10" xfId="1" applyNumberFormat="1" applyFont="1" applyFill="1" applyBorder="1"/>
    <xf numFmtId="44" fontId="10" fillId="6" borderId="10" xfId="1" applyFont="1" applyFill="1" applyBorder="1"/>
    <xf numFmtId="164" fontId="7" fillId="6" borderId="10" xfId="0" applyNumberFormat="1" applyFont="1" applyFill="1" applyBorder="1"/>
    <xf numFmtId="44" fontId="0" fillId="6" borderId="11" xfId="0" applyNumberFormat="1" applyFill="1" applyBorder="1"/>
    <xf numFmtId="0" fontId="4" fillId="9" borderId="1" xfId="0" applyFont="1" applyFill="1" applyBorder="1"/>
    <xf numFmtId="0" fontId="3" fillId="7" borderId="2" xfId="0" applyFont="1" applyFill="1" applyBorder="1"/>
    <xf numFmtId="0" fontId="4" fillId="7" borderId="2" xfId="0" applyFont="1" applyFill="1" applyBorder="1"/>
    <xf numFmtId="164" fontId="4" fillId="7" borderId="2" xfId="1" applyNumberFormat="1" applyFont="1" applyFill="1" applyBorder="1"/>
    <xf numFmtId="44" fontId="3" fillId="7" borderId="2" xfId="0" applyNumberFormat="1" applyFont="1" applyFill="1" applyBorder="1"/>
    <xf numFmtId="166" fontId="3" fillId="7" borderId="2" xfId="0" applyNumberFormat="1" applyFont="1" applyFill="1" applyBorder="1"/>
    <xf numFmtId="164" fontId="19" fillId="7" borderId="2" xfId="0" applyNumberFormat="1" applyFont="1" applyFill="1" applyBorder="1"/>
    <xf numFmtId="164" fontId="7" fillId="7" borderId="2" xfId="0" applyNumberFormat="1" applyFont="1" applyFill="1" applyBorder="1"/>
    <xf numFmtId="44" fontId="0" fillId="7" borderId="3" xfId="0" applyNumberFormat="1" applyFill="1" applyBorder="1"/>
    <xf numFmtId="14" fontId="0" fillId="0" borderId="12" xfId="0" applyNumberFormat="1" applyBorder="1"/>
    <xf numFmtId="14" fontId="0" fillId="0" borderId="14" xfId="0" applyNumberFormat="1" applyBorder="1"/>
    <xf numFmtId="14" fontId="0" fillId="0" borderId="14" xfId="0" applyNumberFormat="1" applyBorder="1" applyAlignment="1">
      <alignment horizontal="center"/>
    </xf>
    <xf numFmtId="14" fontId="0" fillId="0" borderId="15" xfId="0" applyNumberFormat="1" applyBorder="1"/>
    <xf numFmtId="0" fontId="0" fillId="0" borderId="4" xfId="0" applyBorder="1" applyAlignment="1">
      <alignment horizontal="center"/>
    </xf>
    <xf numFmtId="0" fontId="4" fillId="0" borderId="4" xfId="0" applyFont="1" applyBorder="1"/>
    <xf numFmtId="0" fontId="4" fillId="0" borderId="6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2" fillId="2" borderId="5" xfId="0" applyFont="1" applyFill="1" applyBorder="1"/>
    <xf numFmtId="0" fontId="12" fillId="0" borderId="5" xfId="0" applyFont="1" applyBorder="1"/>
    <xf numFmtId="164" fontId="12" fillId="0" borderId="5" xfId="1" applyNumberFormat="1" applyFont="1" applyFill="1" applyBorder="1"/>
    <xf numFmtId="44" fontId="12" fillId="0" borderId="5" xfId="1" applyFont="1" applyFill="1" applyBorder="1"/>
    <xf numFmtId="44" fontId="12" fillId="0" borderId="5" xfId="0" applyNumberFormat="1" applyFont="1" applyBorder="1"/>
    <xf numFmtId="164" fontId="22" fillId="0" borderId="5" xfId="0" applyNumberFormat="1" applyFont="1" applyBorder="1"/>
    <xf numFmtId="44" fontId="12" fillId="0" borderId="12" xfId="0" applyNumberFormat="1" applyFont="1" applyBorder="1"/>
    <xf numFmtId="164" fontId="12" fillId="0" borderId="12" xfId="0" applyNumberFormat="1" applyFont="1" applyBorder="1"/>
    <xf numFmtId="0" fontId="3" fillId="5" borderId="0" xfId="0" applyFont="1" applyFill="1" applyAlignment="1">
      <alignment horizontal="left"/>
    </xf>
    <xf numFmtId="2" fontId="0" fillId="0" borderId="0" xfId="0" applyNumberFormat="1"/>
    <xf numFmtId="2" fontId="12" fillId="0" borderId="0" xfId="0" applyNumberFormat="1" applyFont="1"/>
    <xf numFmtId="44" fontId="12" fillId="0" borderId="0" xfId="0" applyNumberFormat="1" applyFont="1"/>
    <xf numFmtId="8" fontId="0" fillId="0" borderId="0" xfId="0" applyNumberFormat="1"/>
    <xf numFmtId="0" fontId="2" fillId="0" borderId="0" xfId="0" applyFont="1" applyAlignment="1">
      <alignment horizontal="right"/>
    </xf>
    <xf numFmtId="0" fontId="3" fillId="5" borderId="10" xfId="0" applyFont="1" applyFill="1" applyBorder="1" applyAlignment="1">
      <alignment horizontal="left"/>
    </xf>
    <xf numFmtId="0" fontId="3" fillId="5" borderId="11" xfId="0" applyFont="1" applyFill="1" applyBorder="1" applyAlignment="1">
      <alignment horizontal="left"/>
    </xf>
    <xf numFmtId="44" fontId="4" fillId="5" borderId="10" xfId="1" applyFont="1" applyFill="1" applyBorder="1"/>
    <xf numFmtId="0" fontId="3" fillId="0" borderId="10" xfId="0" applyFont="1" applyBorder="1"/>
    <xf numFmtId="0" fontId="3" fillId="0" borderId="10" xfId="0" applyFont="1" applyBorder="1" applyAlignment="1">
      <alignment horizontal="left"/>
    </xf>
    <xf numFmtId="0" fontId="4" fillId="0" borderId="10" xfId="0" applyFont="1" applyBorder="1"/>
    <xf numFmtId="164" fontId="4" fillId="0" borderId="10" xfId="1" applyNumberFormat="1" applyFont="1" applyFill="1" applyBorder="1"/>
    <xf numFmtId="44" fontId="4" fillId="0" borderId="10" xfId="1" applyFont="1" applyFill="1" applyBorder="1"/>
    <xf numFmtId="44" fontId="3" fillId="0" borderId="10" xfId="0" applyNumberFormat="1" applyFont="1" applyBorder="1"/>
    <xf numFmtId="164" fontId="19" fillId="0" borderId="10" xfId="0" applyNumberFormat="1" applyFont="1" applyBorder="1"/>
    <xf numFmtId="164" fontId="7" fillId="0" borderId="10" xfId="0" applyNumberFormat="1" applyFont="1" applyBorder="1"/>
    <xf numFmtId="44" fontId="0" fillId="0" borderId="11" xfId="0" applyNumberFormat="1" applyBorder="1"/>
    <xf numFmtId="0" fontId="3" fillId="8" borderId="9" xfId="0" applyFont="1" applyFill="1" applyBorder="1" applyAlignment="1">
      <alignment horizontal="right"/>
    </xf>
    <xf numFmtId="0" fontId="3" fillId="8" borderId="10" xfId="0" applyFont="1" applyFill="1" applyBorder="1" applyAlignment="1">
      <alignment horizontal="right"/>
    </xf>
    <xf numFmtId="0" fontId="3" fillId="8" borderId="10" xfId="0" applyFont="1" applyFill="1" applyBorder="1"/>
    <xf numFmtId="0" fontId="4" fillId="8" borderId="10" xfId="0" applyFont="1" applyFill="1" applyBorder="1"/>
    <xf numFmtId="164" fontId="4" fillId="8" borderId="10" xfId="1" applyNumberFormat="1" applyFont="1" applyFill="1" applyBorder="1"/>
    <xf numFmtId="164" fontId="3" fillId="8" borderId="10" xfId="1" applyNumberFormat="1" applyFont="1" applyFill="1" applyBorder="1"/>
    <xf numFmtId="44" fontId="3" fillId="8" borderId="10" xfId="1" applyFont="1" applyFill="1" applyBorder="1"/>
    <xf numFmtId="44" fontId="3" fillId="8" borderId="10" xfId="0" applyNumberFormat="1" applyFont="1" applyFill="1" applyBorder="1"/>
    <xf numFmtId="164" fontId="19" fillId="8" borderId="10" xfId="0" applyNumberFormat="1" applyFont="1" applyFill="1" applyBorder="1"/>
    <xf numFmtId="164" fontId="2" fillId="8" borderId="10" xfId="0" applyNumberFormat="1" applyFont="1" applyFill="1" applyBorder="1"/>
    <xf numFmtId="44" fontId="0" fillId="8" borderId="11" xfId="0" applyNumberFormat="1" applyFill="1" applyBorder="1"/>
    <xf numFmtId="0" fontId="2" fillId="0" borderId="0" xfId="0" applyFont="1" applyAlignment="1">
      <alignment horizontal="left"/>
    </xf>
    <xf numFmtId="14" fontId="0" fillId="0" borderId="9" xfId="0" applyNumberFormat="1" applyBorder="1" applyAlignment="1">
      <alignment horizontal="center"/>
    </xf>
    <xf numFmtId="14" fontId="0" fillId="0" borderId="1" xfId="0" applyNumberFormat="1" applyBorder="1"/>
    <xf numFmtId="0" fontId="0" fillId="0" borderId="13" xfId="0" applyBorder="1"/>
    <xf numFmtId="0" fontId="6" fillId="0" borderId="7" xfId="0" applyFont="1" applyBorder="1" applyAlignment="1">
      <alignment horizontal="right"/>
    </xf>
    <xf numFmtId="164" fontId="1" fillId="0" borderId="14" xfId="1" applyNumberFormat="1" applyFont="1" applyFill="1" applyBorder="1"/>
    <xf numFmtId="0" fontId="0" fillId="11" borderId="2" xfId="0" applyFill="1" applyBorder="1"/>
    <xf numFmtId="0" fontId="3" fillId="11" borderId="2" xfId="0" applyFont="1" applyFill="1" applyBorder="1" applyAlignment="1">
      <alignment horizontal="left"/>
    </xf>
    <xf numFmtId="0" fontId="3" fillId="11" borderId="2" xfId="0" applyFont="1" applyFill="1" applyBorder="1" applyAlignment="1">
      <alignment horizontal="right"/>
    </xf>
    <xf numFmtId="0" fontId="0" fillId="10" borderId="2" xfId="0" applyFill="1" applyBorder="1"/>
    <xf numFmtId="0" fontId="4" fillId="10" borderId="2" xfId="0" applyFont="1" applyFill="1" applyBorder="1"/>
    <xf numFmtId="0" fontId="3" fillId="10" borderId="2" xfId="0" applyFont="1" applyFill="1" applyBorder="1"/>
    <xf numFmtId="0" fontId="3" fillId="10" borderId="2" xfId="0" applyFont="1" applyFill="1" applyBorder="1" applyAlignment="1">
      <alignment horizontal="left"/>
    </xf>
    <xf numFmtId="14" fontId="0" fillId="10" borderId="2" xfId="0" applyNumberFormat="1" applyFill="1" applyBorder="1"/>
    <xf numFmtId="0" fontId="3" fillId="11" borderId="2" xfId="0" applyFont="1" applyFill="1" applyBorder="1"/>
    <xf numFmtId="14" fontId="0" fillId="11" borderId="2" xfId="0" applyNumberFormat="1" applyFill="1" applyBorder="1"/>
    <xf numFmtId="0" fontId="2" fillId="5" borderId="0" xfId="0" applyFont="1" applyFill="1" applyAlignment="1">
      <alignment horizontal="right"/>
    </xf>
    <xf numFmtId="164" fontId="0" fillId="0" borderId="0" xfId="1" applyNumberFormat="1" applyFont="1" applyFill="1"/>
    <xf numFmtId="14" fontId="0" fillId="5" borderId="0" xfId="0" applyNumberFormat="1" applyFill="1" applyAlignment="1">
      <alignment horizontal="center"/>
    </xf>
    <xf numFmtId="2" fontId="2" fillId="0" borderId="0" xfId="0" applyNumberFormat="1" applyFont="1"/>
    <xf numFmtId="0" fontId="11" fillId="0" borderId="2" xfId="0" applyFont="1" applyBorder="1"/>
    <xf numFmtId="0" fontId="10" fillId="0" borderId="2" xfId="0" applyFont="1" applyBorder="1"/>
    <xf numFmtId="0" fontId="0" fillId="5" borderId="0" xfId="0" applyFill="1" applyAlignment="1">
      <alignment horizontal="center"/>
    </xf>
    <xf numFmtId="0" fontId="4" fillId="5" borderId="0" xfId="0" applyFont="1" applyFill="1"/>
    <xf numFmtId="0" fontId="6" fillId="5" borderId="0" xfId="0" applyFont="1" applyFill="1" applyAlignment="1">
      <alignment horizontal="right"/>
    </xf>
    <xf numFmtId="0" fontId="4" fillId="5" borderId="0" xfId="0" applyFont="1" applyFill="1" applyAlignment="1">
      <alignment horizontal="left"/>
    </xf>
    <xf numFmtId="0" fontId="12" fillId="5" borderId="0" xfId="0" applyFont="1" applyFill="1"/>
    <xf numFmtId="0" fontId="0" fillId="5" borderId="0" xfId="0" applyFill="1" applyAlignment="1">
      <alignment horizontal="right"/>
    </xf>
    <xf numFmtId="0" fontId="3" fillId="5" borderId="0" xfId="0" applyFont="1" applyFill="1"/>
    <xf numFmtId="0" fontId="0" fillId="10" borderId="13" xfId="0" applyFill="1" applyBorder="1"/>
    <xf numFmtId="164" fontId="2" fillId="11" borderId="13" xfId="0" applyNumberFormat="1" applyFont="1" applyFill="1" applyBorder="1"/>
    <xf numFmtId="164" fontId="2" fillId="5" borderId="14" xfId="0" applyNumberFormat="1" applyFont="1" applyFill="1" applyBorder="1"/>
    <xf numFmtId="164" fontId="0" fillId="0" borderId="14" xfId="0" applyNumberFormat="1" applyBorder="1"/>
    <xf numFmtId="164" fontId="12" fillId="0" borderId="14" xfId="0" applyNumberFormat="1" applyFont="1" applyBorder="1"/>
    <xf numFmtId="0" fontId="0" fillId="0" borderId="15" xfId="0" applyBorder="1"/>
    <xf numFmtId="0" fontId="6" fillId="5" borderId="0" xfId="0" applyFont="1" applyFill="1" applyAlignment="1">
      <alignment horizontal="left"/>
    </xf>
    <xf numFmtId="0" fontId="6" fillId="5" borderId="0" xfId="0" applyFont="1" applyFill="1"/>
    <xf numFmtId="2" fontId="0" fillId="0" borderId="0" xfId="0" applyNumberFormat="1" applyAlignment="1">
      <alignment horizontal="right"/>
    </xf>
    <xf numFmtId="164" fontId="0" fillId="11" borderId="2" xfId="0" applyNumberFormat="1" applyFill="1" applyBorder="1"/>
    <xf numFmtId="0" fontId="25" fillId="0" borderId="1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44" fontId="25" fillId="0" borderId="2" xfId="1" applyFont="1" applyFill="1" applyBorder="1" applyAlignment="1">
      <alignment horizontal="center" vertical="center" wrapText="1"/>
    </xf>
    <xf numFmtId="44" fontId="25" fillId="0" borderId="17" xfId="1" applyFont="1" applyFill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44" fontId="25" fillId="2" borderId="13" xfId="1" applyFont="1" applyFill="1" applyBorder="1" applyAlignment="1">
      <alignment horizontal="center" vertical="center" wrapText="1"/>
    </xf>
    <xf numFmtId="14" fontId="25" fillId="12" borderId="7" xfId="0" applyNumberFormat="1" applyFont="1" applyFill="1" applyBorder="1" applyAlignment="1">
      <alignment horizontal="left"/>
    </xf>
    <xf numFmtId="0" fontId="25" fillId="12" borderId="0" xfId="0" applyFont="1" applyFill="1"/>
    <xf numFmtId="0" fontId="26" fillId="12" borderId="0" xfId="0" applyFont="1" applyFill="1"/>
    <xf numFmtId="0" fontId="13" fillId="12" borderId="0" xfId="0" applyFont="1" applyFill="1"/>
    <xf numFmtId="0" fontId="13" fillId="12" borderId="0" xfId="0" applyFont="1" applyFill="1" applyAlignment="1">
      <alignment horizontal="left"/>
    </xf>
    <xf numFmtId="0" fontId="13" fillId="12" borderId="8" xfId="0" applyFont="1" applyFill="1" applyBorder="1"/>
    <xf numFmtId="44" fontId="13" fillId="12" borderId="0" xfId="1" applyFont="1" applyFill="1" applyBorder="1"/>
    <xf numFmtId="44" fontId="26" fillId="12" borderId="16" xfId="0" applyNumberFormat="1" applyFont="1" applyFill="1" applyBorder="1"/>
    <xf numFmtId="44" fontId="26" fillId="12" borderId="0" xfId="0" applyNumberFormat="1" applyFont="1" applyFill="1"/>
    <xf numFmtId="164" fontId="26" fillId="12" borderId="14" xfId="1" applyNumberFormat="1" applyFont="1" applyFill="1" applyBorder="1"/>
    <xf numFmtId="14" fontId="27" fillId="0" borderId="7" xfId="0" applyNumberFormat="1" applyFont="1" applyBorder="1" applyAlignment="1">
      <alignment horizontal="center"/>
    </xf>
    <xf numFmtId="0" fontId="27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27" fillId="0" borderId="0" xfId="0" applyFont="1"/>
    <xf numFmtId="0" fontId="27" fillId="2" borderId="0" xfId="0" applyFont="1" applyFill="1"/>
    <xf numFmtId="170" fontId="13" fillId="0" borderId="0" xfId="0" applyNumberFormat="1" applyFont="1"/>
    <xf numFmtId="9" fontId="27" fillId="0" borderId="8" xfId="2" applyFont="1" applyBorder="1"/>
    <xf numFmtId="44" fontId="27" fillId="0" borderId="0" xfId="1" applyFont="1" applyFill="1" applyBorder="1"/>
    <xf numFmtId="44" fontId="27" fillId="0" borderId="16" xfId="1" applyFont="1" applyFill="1" applyBorder="1"/>
    <xf numFmtId="44" fontId="13" fillId="0" borderId="0" xfId="1" applyFont="1" applyFill="1" applyBorder="1"/>
    <xf numFmtId="44" fontId="28" fillId="0" borderId="0" xfId="1" applyFont="1" applyFill="1" applyBorder="1"/>
    <xf numFmtId="164" fontId="27" fillId="0" borderId="14" xfId="1" applyNumberFormat="1" applyFont="1" applyFill="1" applyBorder="1"/>
    <xf numFmtId="44" fontId="27" fillId="0" borderId="14" xfId="1" applyFont="1" applyBorder="1"/>
    <xf numFmtId="0" fontId="27" fillId="12" borderId="0" xfId="0" applyFont="1" applyFill="1" applyAlignment="1">
      <alignment horizontal="left"/>
    </xf>
    <xf numFmtId="0" fontId="25" fillId="12" borderId="0" xfId="0" applyFont="1" applyFill="1" applyAlignment="1">
      <alignment horizontal="left"/>
    </xf>
    <xf numFmtId="0" fontId="27" fillId="12" borderId="0" xfId="0" applyFont="1" applyFill="1"/>
    <xf numFmtId="0" fontId="27" fillId="12" borderId="8" xfId="0" applyFont="1" applyFill="1" applyBorder="1"/>
    <xf numFmtId="44" fontId="27" fillId="12" borderId="0" xfId="1" applyFont="1" applyFill="1" applyBorder="1"/>
    <xf numFmtId="44" fontId="25" fillId="12" borderId="0" xfId="1" applyFont="1" applyFill="1" applyBorder="1"/>
    <xf numFmtId="44" fontId="28" fillId="12" borderId="0" xfId="1" applyFont="1" applyFill="1" applyBorder="1"/>
    <xf numFmtId="164" fontId="25" fillId="12" borderId="14" xfId="1" applyNumberFormat="1" applyFont="1" applyFill="1" applyBorder="1"/>
    <xf numFmtId="44" fontId="27" fillId="12" borderId="14" xfId="1" applyFont="1" applyFill="1" applyBorder="1"/>
    <xf numFmtId="0" fontId="13" fillId="0" borderId="0" xfId="0" applyFont="1"/>
    <xf numFmtId="169" fontId="13" fillId="0" borderId="8" xfId="2" applyNumberFormat="1" applyFont="1" applyFill="1" applyBorder="1"/>
    <xf numFmtId="44" fontId="13" fillId="0" borderId="16" xfId="1" applyFont="1" applyFill="1" applyBorder="1"/>
    <xf numFmtId="44" fontId="26" fillId="0" borderId="0" xfId="0" applyNumberFormat="1" applyFont="1"/>
    <xf numFmtId="164" fontId="13" fillId="0" borderId="14" xfId="1" applyNumberFormat="1" applyFont="1" applyFill="1" applyBorder="1"/>
    <xf numFmtId="0" fontId="27" fillId="0" borderId="14" xfId="0" applyFont="1" applyBorder="1"/>
    <xf numFmtId="0" fontId="29" fillId="0" borderId="0" xfId="0" applyFont="1"/>
    <xf numFmtId="1" fontId="13" fillId="0" borderId="0" xfId="0" applyNumberFormat="1" applyFont="1"/>
    <xf numFmtId="0" fontId="30" fillId="0" borderId="0" xfId="0" applyFont="1"/>
    <xf numFmtId="0" fontId="29" fillId="0" borderId="14" xfId="0" applyFont="1" applyBorder="1"/>
    <xf numFmtId="0" fontId="28" fillId="0" borderId="0" xfId="0" applyFont="1"/>
    <xf numFmtId="44" fontId="13" fillId="0" borderId="0" xfId="0" applyNumberFormat="1" applyFont="1"/>
    <xf numFmtId="0" fontId="31" fillId="0" borderId="0" xfId="0" applyFont="1" applyAlignment="1">
      <alignment horizontal="right"/>
    </xf>
    <xf numFmtId="1" fontId="27" fillId="0" borderId="0" xfId="0" applyNumberFormat="1" applyFont="1"/>
    <xf numFmtId="0" fontId="27" fillId="0" borderId="8" xfId="0" applyFont="1" applyBorder="1"/>
    <xf numFmtId="44" fontId="25" fillId="0" borderId="16" xfId="1" applyFont="1" applyFill="1" applyBorder="1"/>
    <xf numFmtId="164" fontId="25" fillId="0" borderId="14" xfId="1" applyNumberFormat="1" applyFont="1" applyFill="1" applyBorder="1"/>
    <xf numFmtId="0" fontId="25" fillId="0" borderId="0" xfId="0" applyFont="1"/>
    <xf numFmtId="0" fontId="26" fillId="3" borderId="7" xfId="0" applyFont="1" applyFill="1" applyBorder="1" applyAlignment="1">
      <alignment horizontal="left"/>
    </xf>
    <xf numFmtId="0" fontId="26" fillId="3" borderId="0" xfId="0" applyFont="1" applyFill="1" applyAlignment="1">
      <alignment horizontal="left"/>
    </xf>
    <xf numFmtId="1" fontId="13" fillId="3" borderId="0" xfId="0" applyNumberFormat="1" applyFont="1" applyFill="1"/>
    <xf numFmtId="0" fontId="13" fillId="3" borderId="0" xfId="0" applyFont="1" applyFill="1"/>
    <xf numFmtId="0" fontId="13" fillId="3" borderId="8" xfId="0" applyFont="1" applyFill="1" applyBorder="1"/>
    <xf numFmtId="44" fontId="13" fillId="3" borderId="0" xfId="1" applyFont="1" applyFill="1" applyBorder="1"/>
    <xf numFmtId="44" fontId="26" fillId="3" borderId="16" xfId="1" applyFont="1" applyFill="1" applyBorder="1"/>
    <xf numFmtId="44" fontId="26" fillId="3" borderId="0" xfId="1" applyFont="1" applyFill="1" applyBorder="1"/>
    <xf numFmtId="164" fontId="25" fillId="3" borderId="14" xfId="1" applyNumberFormat="1" applyFont="1" applyFill="1" applyBorder="1"/>
    <xf numFmtId="0" fontId="27" fillId="3" borderId="14" xfId="0" applyFont="1" applyFill="1" applyBorder="1"/>
    <xf numFmtId="0" fontId="25" fillId="3" borderId="0" xfId="0" applyFont="1" applyFill="1"/>
    <xf numFmtId="14" fontId="25" fillId="0" borderId="7" xfId="0" applyNumberFormat="1" applyFont="1" applyBorder="1" applyAlignment="1">
      <alignment horizontal="center"/>
    </xf>
    <xf numFmtId="0" fontId="25" fillId="0" borderId="8" xfId="0" applyFont="1" applyBorder="1"/>
    <xf numFmtId="44" fontId="25" fillId="0" borderId="0" xfId="1" applyFont="1" applyFill="1" applyBorder="1"/>
    <xf numFmtId="0" fontId="25" fillId="0" borderId="14" xfId="0" applyFont="1" applyBorder="1"/>
    <xf numFmtId="0" fontId="25" fillId="13" borderId="7" xfId="0" applyFont="1" applyFill="1" applyBorder="1" applyAlignment="1">
      <alignment horizontal="left"/>
    </xf>
    <xf numFmtId="0" fontId="25" fillId="13" borderId="0" xfId="0" applyFont="1" applyFill="1" applyAlignment="1">
      <alignment horizontal="left"/>
    </xf>
    <xf numFmtId="0" fontId="25" fillId="13" borderId="0" xfId="0" applyFont="1" applyFill="1"/>
    <xf numFmtId="1" fontId="25" fillId="13" borderId="0" xfId="0" applyNumberFormat="1" applyFont="1" applyFill="1"/>
    <xf numFmtId="0" fontId="25" fillId="13" borderId="8" xfId="0" applyFont="1" applyFill="1" applyBorder="1"/>
    <xf numFmtId="44" fontId="25" fillId="13" borderId="0" xfId="1" applyFont="1" applyFill="1" applyBorder="1"/>
    <xf numFmtId="44" fontId="25" fillId="13" borderId="16" xfId="1" applyFont="1" applyFill="1" applyBorder="1"/>
    <xf numFmtId="164" fontId="25" fillId="13" borderId="14" xfId="1" applyNumberFormat="1" applyFont="1" applyFill="1" applyBorder="1"/>
    <xf numFmtId="44" fontId="25" fillId="13" borderId="14" xfId="1" applyFont="1" applyFill="1" applyBorder="1"/>
    <xf numFmtId="0" fontId="25" fillId="13" borderId="14" xfId="0" applyFont="1" applyFill="1" applyBorder="1"/>
    <xf numFmtId="0" fontId="27" fillId="0" borderId="7" xfId="0" applyFont="1" applyBorder="1" applyAlignment="1">
      <alignment horizontal="center"/>
    </xf>
    <xf numFmtId="0" fontId="27" fillId="0" borderId="16" xfId="0" applyFont="1" applyBorder="1"/>
    <xf numFmtId="44" fontId="27" fillId="0" borderId="0" xfId="0" applyNumberFormat="1" applyFont="1"/>
    <xf numFmtId="0" fontId="29" fillId="0" borderId="0" xfId="0" applyFont="1" applyAlignment="1">
      <alignment horizontal="left"/>
    </xf>
    <xf numFmtId="44" fontId="27" fillId="0" borderId="0" xfId="1" applyFont="1" applyBorder="1"/>
    <xf numFmtId="44" fontId="25" fillId="0" borderId="16" xfId="0" applyNumberFormat="1" applyFont="1" applyBorder="1"/>
    <xf numFmtId="0" fontId="30" fillId="0" borderId="0" xfId="0" applyFont="1" applyAlignment="1">
      <alignment horizontal="left"/>
    </xf>
    <xf numFmtId="0" fontId="25" fillId="0" borderId="16" xfId="0" applyFont="1" applyBorder="1"/>
    <xf numFmtId="44" fontId="25" fillId="0" borderId="0" xfId="0" applyNumberFormat="1" applyFont="1"/>
    <xf numFmtId="164" fontId="25" fillId="0" borderId="0" xfId="0" applyNumberFormat="1" applyFont="1"/>
    <xf numFmtId="164" fontId="27" fillId="0" borderId="0" xfId="0" applyNumberFormat="1" applyFont="1"/>
    <xf numFmtId="0" fontId="25" fillId="2" borderId="0" xfId="0" applyFont="1" applyFill="1"/>
    <xf numFmtId="0" fontId="25" fillId="12" borderId="7" xfId="0" applyFont="1" applyFill="1" applyBorder="1"/>
    <xf numFmtId="44" fontId="25" fillId="12" borderId="16" xfId="1" applyFont="1" applyFill="1" applyBorder="1"/>
    <xf numFmtId="0" fontId="27" fillId="12" borderId="14" xfId="0" applyFont="1" applyFill="1" applyBorder="1"/>
    <xf numFmtId="0" fontId="31" fillId="0" borderId="0" xfId="0" applyFont="1"/>
    <xf numFmtId="44" fontId="27" fillId="0" borderId="16" xfId="0" applyNumberFormat="1" applyFont="1" applyBorder="1"/>
    <xf numFmtId="167" fontId="32" fillId="0" borderId="0" xfId="1" applyNumberFormat="1" applyFont="1" applyFill="1" applyBorder="1" applyAlignment="1">
      <alignment horizontal="center"/>
    </xf>
    <xf numFmtId="0" fontId="25" fillId="12" borderId="8" xfId="0" applyFont="1" applyFill="1" applyBorder="1"/>
    <xf numFmtId="0" fontId="25" fillId="12" borderId="14" xfId="0" applyFont="1" applyFill="1" applyBorder="1"/>
    <xf numFmtId="0" fontId="27" fillId="0" borderId="0" xfId="0" applyFont="1" applyAlignment="1">
      <alignment horizontal="right"/>
    </xf>
    <xf numFmtId="164" fontId="27" fillId="0" borderId="0" xfId="1" applyNumberFormat="1" applyFont="1" applyFill="1" applyBorder="1"/>
    <xf numFmtId="0" fontId="26" fillId="12" borderId="7" xfId="0" applyFont="1" applyFill="1" applyBorder="1"/>
    <xf numFmtId="1" fontId="13" fillId="12" borderId="0" xfId="0" applyNumberFormat="1" applyFont="1" applyFill="1"/>
    <xf numFmtId="44" fontId="13" fillId="12" borderId="16" xfId="0" applyNumberFormat="1" applyFont="1" applyFill="1" applyBorder="1"/>
    <xf numFmtId="44" fontId="13" fillId="12" borderId="0" xfId="0" applyNumberFormat="1" applyFont="1" applyFill="1"/>
    <xf numFmtId="164" fontId="13" fillId="12" borderId="14" xfId="1" applyNumberFormat="1" applyFont="1" applyFill="1" applyBorder="1"/>
    <xf numFmtId="0" fontId="33" fillId="3" borderId="9" xfId="0" applyFont="1" applyFill="1" applyBorder="1"/>
    <xf numFmtId="0" fontId="27" fillId="3" borderId="10" xfId="0" applyFont="1" applyFill="1" applyBorder="1"/>
    <xf numFmtId="0" fontId="25" fillId="3" borderId="10" xfId="0" applyFont="1" applyFill="1" applyBorder="1"/>
    <xf numFmtId="1" fontId="27" fillId="3" borderId="10" xfId="0" applyNumberFormat="1" applyFont="1" applyFill="1" applyBorder="1"/>
    <xf numFmtId="0" fontId="27" fillId="3" borderId="11" xfId="0" applyFont="1" applyFill="1" applyBorder="1"/>
    <xf numFmtId="44" fontId="27" fillId="3" borderId="0" xfId="1" applyFont="1" applyFill="1" applyBorder="1"/>
    <xf numFmtId="0" fontId="27" fillId="3" borderId="0" xfId="0" applyFont="1" applyFill="1"/>
    <xf numFmtId="44" fontId="26" fillId="3" borderId="0" xfId="0" applyNumberFormat="1" applyFont="1" applyFill="1" applyAlignment="1">
      <alignment vertical="center"/>
    </xf>
    <xf numFmtId="44" fontId="13" fillId="3" borderId="0" xfId="0" applyNumberFormat="1" applyFont="1" applyFill="1" applyAlignment="1">
      <alignment vertical="center"/>
    </xf>
    <xf numFmtId="44" fontId="26" fillId="3" borderId="16" xfId="0" applyNumberFormat="1" applyFont="1" applyFill="1" applyBorder="1" applyAlignment="1">
      <alignment vertical="center"/>
    </xf>
    <xf numFmtId="164" fontId="2" fillId="5" borderId="0" xfId="0" applyNumberFormat="1" applyFont="1" applyFill="1"/>
    <xf numFmtId="14" fontId="0" fillId="5" borderId="0" xfId="0" applyNumberFormat="1" applyFill="1"/>
    <xf numFmtId="164" fontId="2" fillId="5" borderId="12" xfId="0" applyNumberFormat="1" applyFont="1" applyFill="1" applyBorder="1"/>
    <xf numFmtId="164" fontId="2" fillId="14" borderId="13" xfId="0" applyNumberFormat="1" applyFont="1" applyFill="1" applyBorder="1"/>
    <xf numFmtId="164" fontId="0" fillId="14" borderId="13" xfId="0" applyNumberFormat="1" applyFill="1" applyBorder="1"/>
    <xf numFmtId="171" fontId="2" fillId="5" borderId="0" xfId="0" applyNumberFormat="1" applyFont="1" applyFill="1" applyAlignment="1">
      <alignment horizontal="right"/>
    </xf>
    <xf numFmtId="164" fontId="26" fillId="3" borderId="15" xfId="0" applyNumberFormat="1" applyFont="1" applyFill="1" applyBorder="1" applyAlignment="1">
      <alignment vertical="center"/>
    </xf>
    <xf numFmtId="44" fontId="26" fillId="12" borderId="12" xfId="1" applyFont="1" applyFill="1" applyBorder="1"/>
    <xf numFmtId="44" fontId="25" fillId="12" borderId="14" xfId="1" applyFont="1" applyFill="1" applyBorder="1"/>
    <xf numFmtId="44" fontId="26" fillId="3" borderId="14" xfId="1" applyFont="1" applyFill="1" applyBorder="1"/>
    <xf numFmtId="164" fontId="26" fillId="12" borderId="12" xfId="1" applyNumberFormat="1" applyFont="1" applyFill="1" applyBorder="1"/>
    <xf numFmtId="0" fontId="13" fillId="12" borderId="12" xfId="0" applyFont="1" applyFill="1" applyBorder="1"/>
    <xf numFmtId="0" fontId="27" fillId="3" borderId="15" xfId="0" applyFont="1" applyFill="1" applyBorder="1"/>
    <xf numFmtId="14" fontId="9" fillId="0" borderId="0" xfId="0" applyNumberFormat="1" applyFont="1"/>
    <xf numFmtId="0" fontId="7" fillId="0" borderId="0" xfId="0" applyFont="1" applyAlignment="1">
      <alignment horizontal="right"/>
    </xf>
    <xf numFmtId="0" fontId="34" fillId="0" borderId="0" xfId="0" applyFont="1" applyAlignment="1">
      <alignment horizontal="right"/>
    </xf>
    <xf numFmtId="2" fontId="9" fillId="0" borderId="0" xfId="0" applyNumberFormat="1" applyFont="1"/>
    <xf numFmtId="164" fontId="9" fillId="0" borderId="0" xfId="0" applyNumberFormat="1" applyFont="1"/>
    <xf numFmtId="166" fontId="0" fillId="0" borderId="0" xfId="0" applyNumberFormat="1" applyAlignment="1">
      <alignment horizontal="center"/>
    </xf>
    <xf numFmtId="166" fontId="36" fillId="0" borderId="0" xfId="0" applyNumberFormat="1" applyFont="1" applyAlignment="1">
      <alignment horizontal="center"/>
    </xf>
    <xf numFmtId="166" fontId="36" fillId="0" borderId="0" xfId="0" applyNumberFormat="1" applyFont="1" applyAlignment="1">
      <alignment vertical="center"/>
    </xf>
    <xf numFmtId="166" fontId="36" fillId="0" borderId="4" xfId="0" applyNumberFormat="1" applyFont="1" applyBorder="1" applyAlignment="1">
      <alignment horizontal="center"/>
    </xf>
    <xf numFmtId="166" fontId="36" fillId="0" borderId="5" xfId="0" applyNumberFormat="1" applyFont="1" applyBorder="1" applyAlignment="1">
      <alignment horizontal="center"/>
    </xf>
    <xf numFmtId="1" fontId="36" fillId="0" borderId="4" xfId="0" applyNumberFormat="1" applyFont="1" applyBorder="1" applyAlignment="1">
      <alignment horizontal="center"/>
    </xf>
    <xf numFmtId="1" fontId="36" fillId="0" borderId="5" xfId="0" applyNumberFormat="1" applyFont="1" applyBorder="1" applyAlignment="1">
      <alignment horizontal="center"/>
    </xf>
    <xf numFmtId="0" fontId="37" fillId="0" borderId="6" xfId="0" applyFont="1" applyBorder="1" applyAlignment="1">
      <alignment horizontal="center"/>
    </xf>
    <xf numFmtId="1" fontId="37" fillId="0" borderId="4" xfId="0" applyNumberFormat="1" applyFont="1" applyBorder="1" applyAlignment="1">
      <alignment horizontal="center"/>
    </xf>
    <xf numFmtId="1" fontId="37" fillId="0" borderId="4" xfId="0" applyNumberFormat="1" applyFont="1" applyBorder="1" applyAlignment="1">
      <alignment vertical="center"/>
    </xf>
    <xf numFmtId="166" fontId="36" fillId="0" borderId="1" xfId="0" applyNumberFormat="1" applyFont="1" applyBorder="1" applyAlignment="1">
      <alignment horizontal="center"/>
    </xf>
    <xf numFmtId="166" fontId="36" fillId="0" borderId="2" xfId="0" applyNumberFormat="1" applyFont="1" applyBorder="1" applyAlignment="1">
      <alignment horizontal="center"/>
    </xf>
    <xf numFmtId="1" fontId="36" fillId="0" borderId="1" xfId="0" applyNumberFormat="1" applyFont="1" applyBorder="1" applyAlignment="1">
      <alignment horizontal="center"/>
    </xf>
    <xf numFmtId="1" fontId="36" fillId="0" borderId="2" xfId="0" applyNumberFormat="1" applyFont="1" applyBorder="1" applyAlignment="1">
      <alignment horizontal="center"/>
    </xf>
    <xf numFmtId="0" fontId="37" fillId="0" borderId="3" xfId="0" applyFont="1" applyBorder="1" applyAlignment="1">
      <alignment horizontal="center"/>
    </xf>
    <xf numFmtId="1" fontId="37" fillId="0" borderId="1" xfId="0" applyNumberFormat="1" applyFont="1" applyBorder="1" applyAlignment="1">
      <alignment horizontal="center"/>
    </xf>
    <xf numFmtId="1" fontId="37" fillId="0" borderId="1" xfId="0" applyNumberFormat="1" applyFont="1" applyBorder="1" applyAlignment="1">
      <alignment vertical="center"/>
    </xf>
    <xf numFmtId="166" fontId="37" fillId="0" borderId="9" xfId="0" applyNumberFormat="1" applyFont="1" applyBorder="1" applyAlignment="1">
      <alignment horizontal="center"/>
    </xf>
    <xf numFmtId="14" fontId="36" fillId="0" borderId="10" xfId="0" applyNumberFormat="1" applyFont="1" applyBorder="1" applyAlignment="1">
      <alignment horizontal="center"/>
    </xf>
    <xf numFmtId="166" fontId="37" fillId="0" borderId="10" xfId="0" applyNumberFormat="1" applyFont="1" applyBorder="1" applyAlignment="1">
      <alignment horizontal="center"/>
    </xf>
    <xf numFmtId="0" fontId="37" fillId="0" borderId="11" xfId="0" applyFont="1" applyBorder="1" applyAlignment="1">
      <alignment horizontal="center"/>
    </xf>
    <xf numFmtId="166" fontId="37" fillId="0" borderId="9" xfId="0" applyNumberFormat="1" applyFont="1" applyBorder="1" applyAlignment="1">
      <alignment vertical="center"/>
    </xf>
    <xf numFmtId="166" fontId="37" fillId="17" borderId="9" xfId="0" applyNumberFormat="1" applyFont="1" applyFill="1" applyBorder="1" applyAlignment="1">
      <alignment horizontal="center"/>
    </xf>
    <xf numFmtId="166" fontId="37" fillId="0" borderId="0" xfId="0" applyNumberFormat="1" applyFont="1" applyAlignment="1">
      <alignment horizontal="center"/>
    </xf>
    <xf numFmtId="166" fontId="37" fillId="0" borderId="7" xfId="0" applyNumberFormat="1" applyFont="1" applyBorder="1" applyAlignment="1">
      <alignment horizontal="center"/>
    </xf>
    <xf numFmtId="0" fontId="37" fillId="0" borderId="8" xfId="0" applyFont="1" applyBorder="1" applyAlignment="1">
      <alignment horizontal="center"/>
    </xf>
    <xf numFmtId="166" fontId="37" fillId="0" borderId="7" xfId="0" applyNumberFormat="1" applyFont="1" applyBorder="1" applyAlignment="1">
      <alignment vertical="center"/>
    </xf>
    <xf numFmtId="170" fontId="37" fillId="18" borderId="4" xfId="0" applyNumberFormat="1" applyFont="1" applyFill="1" applyBorder="1" applyAlignment="1">
      <alignment horizontal="center"/>
    </xf>
    <xf numFmtId="166" fontId="0" fillId="0" borderId="9" xfId="0" applyNumberFormat="1" applyBorder="1" applyAlignment="1">
      <alignment horizontal="center"/>
    </xf>
    <xf numFmtId="166" fontId="36" fillId="18" borderId="10" xfId="0" applyNumberFormat="1" applyFont="1" applyFill="1" applyBorder="1" applyAlignment="1">
      <alignment horizontal="center"/>
    </xf>
    <xf numFmtId="173" fontId="36" fillId="17" borderId="3" xfId="0" applyNumberFormat="1" applyFont="1" applyFill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0" fontId="37" fillId="0" borderId="4" xfId="0" applyFont="1" applyBorder="1" applyAlignment="1">
      <alignment horizontal="center"/>
    </xf>
    <xf numFmtId="9" fontId="37" fillId="0" borderId="4" xfId="0" applyNumberFormat="1" applyFont="1" applyBorder="1" applyAlignment="1">
      <alignment vertical="center"/>
    </xf>
    <xf numFmtId="170" fontId="37" fillId="0" borderId="4" xfId="0" applyNumberFormat="1" applyFon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9" fontId="36" fillId="0" borderId="0" xfId="3" applyFont="1" applyBorder="1" applyAlignment="1">
      <alignment horizontal="center"/>
    </xf>
    <xf numFmtId="168" fontId="37" fillId="0" borderId="7" xfId="4" applyNumberFormat="1" applyFont="1" applyBorder="1" applyAlignment="1">
      <alignment horizontal="center"/>
    </xf>
    <xf numFmtId="168" fontId="37" fillId="0" borderId="7" xfId="4" applyNumberFormat="1" applyFont="1" applyBorder="1" applyAlignment="1">
      <alignment vertical="center"/>
    </xf>
    <xf numFmtId="168" fontId="37" fillId="18" borderId="7" xfId="4" applyNumberFormat="1" applyFont="1" applyFill="1" applyBorder="1" applyAlignment="1">
      <alignment horizontal="center"/>
    </xf>
    <xf numFmtId="166" fontId="0" fillId="0" borderId="0" xfId="0" applyNumberFormat="1" applyAlignment="1">
      <alignment horizontal="left"/>
    </xf>
    <xf numFmtId="166" fontId="37" fillId="0" borderId="7" xfId="4" applyNumberFormat="1" applyFont="1" applyBorder="1" applyAlignment="1">
      <alignment horizontal="center"/>
    </xf>
    <xf numFmtId="166" fontId="37" fillId="0" borderId="7" xfId="4" applyNumberFormat="1" applyFont="1" applyBorder="1" applyAlignment="1">
      <alignment vertical="center"/>
    </xf>
    <xf numFmtId="168" fontId="37" fillId="0" borderId="14" xfId="4" applyNumberFormat="1" applyFont="1" applyFill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9" fontId="1" fillId="0" borderId="2" xfId="3" applyFont="1" applyBorder="1" applyAlignment="1">
      <alignment horizontal="center"/>
    </xf>
    <xf numFmtId="166" fontId="37" fillId="0" borderId="2" xfId="4" applyNumberFormat="1" applyFont="1" applyBorder="1" applyAlignment="1">
      <alignment horizontal="center"/>
    </xf>
    <xf numFmtId="166" fontId="37" fillId="0" borderId="2" xfId="4" applyNumberFormat="1" applyFont="1" applyBorder="1" applyAlignment="1">
      <alignment vertical="center"/>
    </xf>
    <xf numFmtId="168" fontId="37" fillId="17" borderId="3" xfId="4" applyNumberFormat="1" applyFont="1" applyFill="1" applyBorder="1" applyAlignment="1">
      <alignment horizontal="center"/>
    </xf>
    <xf numFmtId="169" fontId="1" fillId="0" borderId="5" xfId="3" applyNumberFormat="1" applyFont="1" applyBorder="1" applyAlignment="1">
      <alignment horizontal="center"/>
    </xf>
    <xf numFmtId="0" fontId="36" fillId="0" borderId="6" xfId="0" applyFont="1" applyBorder="1" applyAlignment="1">
      <alignment horizontal="center"/>
    </xf>
    <xf numFmtId="166" fontId="36" fillId="0" borderId="5" xfId="4" applyNumberFormat="1" applyFont="1" applyBorder="1" applyAlignment="1">
      <alignment horizontal="center"/>
    </xf>
    <xf numFmtId="166" fontId="36" fillId="0" borderId="5" xfId="4" applyNumberFormat="1" applyFont="1" applyBorder="1" applyAlignment="1">
      <alignment vertical="center"/>
    </xf>
    <xf numFmtId="168" fontId="36" fillId="17" borderId="6" xfId="4" applyNumberFormat="1" applyFont="1" applyFill="1" applyBorder="1" applyAlignment="1">
      <alignment horizontal="center"/>
    </xf>
    <xf numFmtId="168" fontId="0" fillId="0" borderId="4" xfId="0" applyNumberFormat="1" applyBorder="1" applyAlignment="1">
      <alignment horizontal="center"/>
    </xf>
    <xf numFmtId="166" fontId="37" fillId="0" borderId="6" xfId="0" applyNumberFormat="1" applyFont="1" applyBorder="1" applyAlignment="1">
      <alignment horizontal="center"/>
    </xf>
    <xf numFmtId="166" fontId="37" fillId="0" borderId="4" xfId="4" applyNumberFormat="1" applyFont="1" applyBorder="1" applyAlignment="1">
      <alignment horizontal="center"/>
    </xf>
    <xf numFmtId="166" fontId="37" fillId="0" borderId="4" xfId="4" applyNumberFormat="1" applyFont="1" applyBorder="1" applyAlignment="1">
      <alignment vertical="center"/>
    </xf>
    <xf numFmtId="168" fontId="37" fillId="0" borderId="12" xfId="4" applyNumberFormat="1" applyFont="1" applyBorder="1" applyAlignment="1">
      <alignment horizontal="center"/>
    </xf>
    <xf numFmtId="169" fontId="1" fillId="0" borderId="0" xfId="3" applyNumberFormat="1" applyFont="1" applyBorder="1" applyAlignment="1">
      <alignment horizontal="center"/>
    </xf>
    <xf numFmtId="168" fontId="0" fillId="19" borderId="7" xfId="0" applyNumberFormat="1" applyFill="1" applyBorder="1" applyAlignment="1">
      <alignment horizontal="center"/>
    </xf>
    <xf numFmtId="166" fontId="37" fillId="0" borderId="8" xfId="0" applyNumberFormat="1" applyFont="1" applyBorder="1" applyAlignment="1">
      <alignment horizontal="center"/>
    </xf>
    <xf numFmtId="172" fontId="37" fillId="0" borderId="8" xfId="3" applyNumberFormat="1" applyFont="1" applyBorder="1" applyAlignment="1">
      <alignment horizontal="center"/>
    </xf>
    <xf numFmtId="10" fontId="37" fillId="0" borderId="8" xfId="3" applyNumberFormat="1" applyFont="1" applyBorder="1" applyAlignment="1">
      <alignment horizontal="center"/>
    </xf>
    <xf numFmtId="166" fontId="37" fillId="0" borderId="1" xfId="0" applyNumberFormat="1" applyFont="1" applyBorder="1" applyAlignment="1">
      <alignment horizontal="center"/>
    </xf>
    <xf numFmtId="169" fontId="1" fillId="0" borderId="2" xfId="3" applyNumberFormat="1" applyFont="1" applyBorder="1" applyAlignment="1">
      <alignment horizontal="center"/>
    </xf>
    <xf numFmtId="172" fontId="37" fillId="0" borderId="3" xfId="3" applyNumberFormat="1" applyFont="1" applyBorder="1" applyAlignment="1">
      <alignment horizontal="center"/>
    </xf>
    <xf numFmtId="166" fontId="37" fillId="0" borderId="1" xfId="4" applyNumberFormat="1" applyFont="1" applyBorder="1" applyAlignment="1">
      <alignment horizontal="center"/>
    </xf>
    <xf numFmtId="166" fontId="37" fillId="0" borderId="1" xfId="4" applyNumberFormat="1" applyFont="1" applyBorder="1" applyAlignment="1">
      <alignment vertical="center"/>
    </xf>
    <xf numFmtId="168" fontId="37" fillId="17" borderId="13" xfId="4" applyNumberFormat="1" applyFont="1" applyFill="1" applyBorder="1" applyAlignment="1">
      <alignment horizontal="center"/>
    </xf>
    <xf numFmtId="172" fontId="1" fillId="2" borderId="0" xfId="3" applyNumberFormat="1" applyFont="1" applyFill="1" applyBorder="1" applyAlignment="1">
      <alignment horizontal="center"/>
    </xf>
    <xf numFmtId="166" fontId="0" fillId="2" borderId="0" xfId="0" applyNumberFormat="1" applyFill="1" applyAlignment="1">
      <alignment horizontal="center"/>
    </xf>
    <xf numFmtId="166" fontId="0" fillId="0" borderId="1" xfId="0" applyNumberFormat="1" applyBorder="1" applyAlignment="1">
      <alignment horizontal="center" vertical="center"/>
    </xf>
    <xf numFmtId="166" fontId="0" fillId="0" borderId="2" xfId="0" applyNumberFormat="1" applyBorder="1" applyAlignment="1">
      <alignment horizontal="center" vertical="center"/>
    </xf>
    <xf numFmtId="168" fontId="0" fillId="19" borderId="1" xfId="0" applyNumberFormat="1" applyFill="1" applyBorder="1" applyAlignment="1">
      <alignment horizontal="center" vertical="center"/>
    </xf>
    <xf numFmtId="168" fontId="37" fillId="19" borderId="2" xfId="0" applyNumberFormat="1" applyFont="1" applyFill="1" applyBorder="1" applyAlignment="1">
      <alignment horizontal="center" vertical="center"/>
    </xf>
    <xf numFmtId="0" fontId="37" fillId="20" borderId="3" xfId="0" applyFont="1" applyFill="1" applyBorder="1" applyAlignment="1">
      <alignment horizontal="center" vertical="center"/>
    </xf>
    <xf numFmtId="166" fontId="36" fillId="0" borderId="2" xfId="4" applyNumberFormat="1" applyFont="1" applyBorder="1" applyAlignment="1">
      <alignment horizontal="center" vertical="center"/>
    </xf>
    <xf numFmtId="166" fontId="36" fillId="0" borderId="13" xfId="4" applyNumberFormat="1" applyFont="1" applyBorder="1" applyAlignment="1">
      <alignment horizontal="center" vertical="center" wrapText="1"/>
    </xf>
    <xf numFmtId="168" fontId="36" fillId="17" borderId="7" xfId="4" applyNumberFormat="1" applyFont="1" applyFill="1" applyBorder="1" applyAlignment="1">
      <alignment horizontal="center" vertical="center"/>
    </xf>
    <xf numFmtId="166" fontId="0" fillId="2" borderId="0" xfId="0" applyNumberFormat="1" applyFill="1" applyAlignment="1">
      <alignment horizontal="center" vertical="center"/>
    </xf>
    <xf numFmtId="0" fontId="25" fillId="2" borderId="0" xfId="0" applyFont="1" applyFill="1" applyAlignment="1">
      <alignment horizontal="center" vertical="center" wrapText="1"/>
    </xf>
    <xf numFmtId="166" fontId="0" fillId="0" borderId="0" xfId="0" applyNumberFormat="1" applyAlignment="1">
      <alignment horizontal="center" vertical="center"/>
    </xf>
    <xf numFmtId="168" fontId="2" fillId="19" borderId="7" xfId="0" applyNumberFormat="1" applyFont="1" applyFill="1" applyBorder="1" applyAlignment="1">
      <alignment horizontal="center"/>
    </xf>
    <xf numFmtId="166" fontId="0" fillId="19" borderId="0" xfId="0" applyNumberFormat="1" applyFill="1" applyAlignment="1">
      <alignment horizontal="center"/>
    </xf>
    <xf numFmtId="166" fontId="0" fillId="20" borderId="8" xfId="0" applyNumberFormat="1" applyFill="1" applyBorder="1" applyAlignment="1">
      <alignment horizontal="center"/>
    </xf>
    <xf numFmtId="176" fontId="36" fillId="0" borderId="7" xfId="5" applyNumberFormat="1" applyFont="1" applyBorder="1" applyAlignment="1">
      <alignment horizontal="center"/>
    </xf>
    <xf numFmtId="175" fontId="36" fillId="0" borderId="7" xfId="5" applyFont="1" applyBorder="1" applyAlignment="1">
      <alignment horizontal="center" vertical="center"/>
    </xf>
    <xf numFmtId="168" fontId="36" fillId="0" borderId="7" xfId="4" applyNumberFormat="1" applyFont="1" applyFill="1" applyBorder="1" applyAlignment="1">
      <alignment horizontal="center"/>
    </xf>
    <xf numFmtId="2" fontId="0" fillId="2" borderId="0" xfId="0" applyNumberFormat="1" applyFill="1" applyAlignment="1">
      <alignment horizontal="center"/>
    </xf>
    <xf numFmtId="166" fontId="0" fillId="21" borderId="10" xfId="0" applyNumberFormat="1" applyFill="1" applyBorder="1" applyAlignment="1">
      <alignment horizontal="center"/>
    </xf>
    <xf numFmtId="168" fontId="2" fillId="19" borderId="9" xfId="0" applyNumberFormat="1" applyFont="1" applyFill="1" applyBorder="1" applyAlignment="1">
      <alignment horizontal="center"/>
    </xf>
    <xf numFmtId="166" fontId="0" fillId="19" borderId="10" xfId="0" applyNumberFormat="1" applyFill="1" applyBorder="1" applyAlignment="1">
      <alignment horizontal="center"/>
    </xf>
    <xf numFmtId="166" fontId="0" fillId="20" borderId="11" xfId="0" applyNumberFormat="1" applyFill="1" applyBorder="1" applyAlignment="1">
      <alignment horizontal="center"/>
    </xf>
    <xf numFmtId="176" fontId="36" fillId="0" borderId="9" xfId="5" applyNumberFormat="1" applyFont="1" applyBorder="1" applyAlignment="1">
      <alignment horizontal="center"/>
    </xf>
    <xf numFmtId="175" fontId="36" fillId="0" borderId="9" xfId="5" applyFont="1" applyBorder="1" applyAlignment="1">
      <alignment horizontal="center" vertical="center"/>
    </xf>
    <xf numFmtId="168" fontId="36" fillId="0" borderId="9" xfId="4" applyNumberFormat="1" applyFont="1" applyFill="1" applyBorder="1" applyAlignment="1">
      <alignment horizontal="center"/>
    </xf>
    <xf numFmtId="166" fontId="0" fillId="21" borderId="15" xfId="0" applyNumberFormat="1" applyFill="1" applyBorder="1" applyAlignment="1">
      <alignment horizontal="center"/>
    </xf>
    <xf numFmtId="166" fontId="0" fillId="21" borderId="0" xfId="0" applyNumberFormat="1" applyFill="1" applyAlignment="1">
      <alignment horizontal="center"/>
    </xf>
    <xf numFmtId="166" fontId="0" fillId="21" borderId="13" xfId="0" applyNumberFormat="1" applyFill="1" applyBorder="1" applyAlignment="1">
      <alignment horizontal="center"/>
    </xf>
    <xf numFmtId="168" fontId="36" fillId="0" borderId="15" xfId="4" applyNumberFormat="1" applyFont="1" applyFill="1" applyBorder="1" applyAlignment="1">
      <alignment horizontal="center"/>
    </xf>
    <xf numFmtId="168" fontId="0" fillId="19" borderId="9" xfId="0" applyNumberFormat="1" applyFill="1" applyBorder="1" applyAlignment="1">
      <alignment horizontal="center"/>
    </xf>
    <xf numFmtId="166" fontId="0" fillId="22" borderId="0" xfId="0" applyNumberFormat="1" applyFill="1" applyAlignment="1">
      <alignment horizontal="center"/>
    </xf>
    <xf numFmtId="175" fontId="36" fillId="0" borderId="7" xfId="5" applyFont="1" applyBorder="1" applyAlignment="1">
      <alignment horizontal="center"/>
    </xf>
    <xf numFmtId="168" fontId="0" fillId="23" borderId="7" xfId="0" applyNumberFormat="1" applyFill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6" fontId="36" fillId="0" borderId="0" xfId="4" applyNumberFormat="1" applyFont="1" applyFill="1" applyBorder="1" applyAlignment="1">
      <alignment horizontal="center"/>
    </xf>
    <xf numFmtId="166" fontId="36" fillId="0" borderId="0" xfId="4" applyNumberFormat="1" applyFont="1" applyFill="1" applyBorder="1" applyAlignment="1">
      <alignment vertical="center"/>
    </xf>
    <xf numFmtId="168" fontId="36" fillId="0" borderId="0" xfId="4" applyNumberFormat="1" applyFont="1" applyFill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68" fontId="0" fillId="0" borderId="0" xfId="0" applyNumberFormat="1" applyAlignment="1">
      <alignment horizontal="center"/>
    </xf>
    <xf numFmtId="166" fontId="36" fillId="0" borderId="8" xfId="4" applyNumberFormat="1" applyFont="1" applyFill="1" applyBorder="1" applyAlignment="1">
      <alignment horizontal="center"/>
    </xf>
    <xf numFmtId="172" fontId="37" fillId="0" borderId="0" xfId="3" applyNumberFormat="1" applyFont="1" applyFill="1" applyBorder="1" applyAlignment="1">
      <alignment horizontal="center"/>
    </xf>
    <xf numFmtId="9" fontId="36" fillId="0" borderId="0" xfId="4" applyNumberFormat="1" applyFont="1" applyFill="1" applyBorder="1" applyAlignment="1">
      <alignment horizontal="center"/>
    </xf>
    <xf numFmtId="4" fontId="36" fillId="0" borderId="0" xfId="4" applyNumberFormat="1" applyFont="1" applyFill="1" applyBorder="1" applyAlignment="1">
      <alignment vertical="center"/>
    </xf>
    <xf numFmtId="2" fontId="36" fillId="0" borderId="0" xfId="4" applyNumberFormat="1" applyFont="1" applyFill="1" applyBorder="1" applyAlignment="1">
      <alignment horizontal="center"/>
    </xf>
    <xf numFmtId="168" fontId="36" fillId="0" borderId="1" xfId="0" applyNumberFormat="1" applyFont="1" applyBorder="1" applyAlignment="1">
      <alignment horizontal="center"/>
    </xf>
    <xf numFmtId="168" fontId="36" fillId="0" borderId="2" xfId="0" applyNumberFormat="1" applyFont="1" applyBorder="1" applyAlignment="1">
      <alignment horizontal="center"/>
    </xf>
    <xf numFmtId="166" fontId="36" fillId="0" borderId="3" xfId="0" applyNumberFormat="1" applyFont="1" applyBorder="1" applyAlignment="1">
      <alignment horizontal="center"/>
    </xf>
    <xf numFmtId="166" fontId="36" fillId="0" borderId="2" xfId="4" applyNumberFormat="1" applyFont="1" applyFill="1" applyBorder="1" applyAlignment="1">
      <alignment horizontal="center"/>
    </xf>
    <xf numFmtId="166" fontId="36" fillId="0" borderId="2" xfId="4" applyNumberFormat="1" applyFont="1" applyFill="1" applyBorder="1" applyAlignment="1">
      <alignment vertical="center"/>
    </xf>
    <xf numFmtId="168" fontId="36" fillId="0" borderId="2" xfId="4" applyNumberFormat="1" applyFont="1" applyFill="1" applyBorder="1" applyAlignment="1">
      <alignment horizontal="center"/>
    </xf>
    <xf numFmtId="0" fontId="36" fillId="0" borderId="3" xfId="0" applyFont="1" applyBorder="1" applyAlignment="1">
      <alignment horizontal="center"/>
    </xf>
    <xf numFmtId="166" fontId="36" fillId="0" borderId="1" xfId="4" applyNumberFormat="1" applyFont="1" applyFill="1" applyBorder="1" applyAlignment="1">
      <alignment horizontal="center"/>
    </xf>
    <xf numFmtId="166" fontId="36" fillId="0" borderId="1" xfId="4" applyNumberFormat="1" applyFont="1" applyFill="1" applyBorder="1" applyAlignment="1">
      <alignment vertical="center"/>
    </xf>
    <xf numFmtId="168" fontId="36" fillId="0" borderId="13" xfId="4" applyNumberFormat="1" applyFont="1" applyFill="1" applyBorder="1" applyAlignment="1">
      <alignment horizontal="center"/>
    </xf>
    <xf numFmtId="166" fontId="39" fillId="17" borderId="7" xfId="0" applyNumberFormat="1" applyFont="1" applyFill="1" applyBorder="1" applyAlignment="1">
      <alignment horizontal="center"/>
    </xf>
    <xf numFmtId="166" fontId="39" fillId="17" borderId="0" xfId="0" applyNumberFormat="1" applyFont="1" applyFill="1" applyAlignment="1">
      <alignment horizontal="center"/>
    </xf>
    <xf numFmtId="168" fontId="39" fillId="17" borderId="7" xfId="0" applyNumberFormat="1" applyFont="1" applyFill="1" applyBorder="1" applyAlignment="1">
      <alignment horizontal="center"/>
    </xf>
    <xf numFmtId="168" fontId="39" fillId="17" borderId="0" xfId="0" applyNumberFormat="1" applyFont="1" applyFill="1" applyAlignment="1">
      <alignment horizontal="center"/>
    </xf>
    <xf numFmtId="0" fontId="39" fillId="17" borderId="8" xfId="0" applyFont="1" applyFill="1" applyBorder="1" applyAlignment="1">
      <alignment horizontal="center"/>
    </xf>
    <xf numFmtId="177" fontId="39" fillId="17" borderId="0" xfId="0" applyNumberFormat="1" applyFont="1" applyFill="1" applyAlignment="1">
      <alignment horizontal="center"/>
    </xf>
    <xf numFmtId="177" fontId="39" fillId="17" borderId="0" xfId="0" applyNumberFormat="1" applyFont="1" applyFill="1" applyAlignment="1">
      <alignment vertical="center"/>
    </xf>
    <xf numFmtId="177" fontId="39" fillId="17" borderId="8" xfId="0" applyNumberFormat="1" applyFont="1" applyFill="1" applyBorder="1" applyAlignment="1">
      <alignment horizontal="center"/>
    </xf>
    <xf numFmtId="166" fontId="39" fillId="0" borderId="0" xfId="0" applyNumberFormat="1" applyFont="1" applyAlignment="1">
      <alignment horizontal="center"/>
    </xf>
    <xf numFmtId="166" fontId="40" fillId="0" borderId="1" xfId="0" applyNumberFormat="1" applyFont="1" applyBorder="1" applyAlignment="1">
      <alignment horizontal="center"/>
    </xf>
    <xf numFmtId="166" fontId="40" fillId="0" borderId="2" xfId="0" applyNumberFormat="1" applyFont="1" applyBorder="1" applyAlignment="1">
      <alignment horizontal="center"/>
    </xf>
    <xf numFmtId="168" fontId="40" fillId="0" borderId="2" xfId="0" applyNumberFormat="1" applyFont="1" applyBorder="1" applyAlignment="1">
      <alignment horizontal="center"/>
    </xf>
    <xf numFmtId="166" fontId="40" fillId="0" borderId="2" xfId="0" applyNumberFormat="1" applyFont="1" applyBorder="1" applyAlignment="1">
      <alignment vertical="center"/>
    </xf>
    <xf numFmtId="166" fontId="40" fillId="0" borderId="0" xfId="0" applyNumberFormat="1" applyFont="1" applyAlignment="1">
      <alignment horizontal="center"/>
    </xf>
    <xf numFmtId="166" fontId="36" fillId="0" borderId="0" xfId="0" applyNumberFormat="1" applyFont="1" applyAlignment="1">
      <alignment horizontal="right" vertical="center"/>
    </xf>
    <xf numFmtId="0" fontId="41" fillId="0" borderId="0" xfId="0" applyFont="1" applyAlignment="1">
      <alignment horizontal="center"/>
    </xf>
    <xf numFmtId="4" fontId="36" fillId="0" borderId="0" xfId="0" applyNumberFormat="1" applyFont="1" applyAlignment="1">
      <alignment horizontal="center"/>
    </xf>
    <xf numFmtId="9" fontId="37" fillId="0" borderId="4" xfId="0" applyNumberFormat="1" applyFont="1" applyBorder="1" applyAlignment="1">
      <alignment horizontal="center"/>
    </xf>
    <xf numFmtId="166" fontId="36" fillId="0" borderId="1" xfId="4" applyNumberFormat="1" applyFont="1" applyBorder="1" applyAlignment="1">
      <alignment horizontal="center"/>
    </xf>
    <xf numFmtId="175" fontId="1" fillId="2" borderId="0" xfId="5" applyFont="1" applyFill="1" applyBorder="1" applyAlignment="1">
      <alignment horizontal="center"/>
    </xf>
    <xf numFmtId="168" fontId="0" fillId="19" borderId="1" xfId="0" applyNumberFormat="1" applyFill="1" applyBorder="1" applyAlignment="1">
      <alignment horizontal="center"/>
    </xf>
    <xf numFmtId="168" fontId="37" fillId="19" borderId="2" xfId="0" applyNumberFormat="1" applyFont="1" applyFill="1" applyBorder="1" applyAlignment="1">
      <alignment horizontal="center"/>
    </xf>
    <xf numFmtId="0" fontId="37" fillId="20" borderId="3" xfId="0" applyFont="1" applyFill="1" applyBorder="1" applyAlignment="1">
      <alignment horizontal="center"/>
    </xf>
    <xf numFmtId="168" fontId="2" fillId="18" borderId="7" xfId="0" applyNumberFormat="1" applyFont="1" applyFill="1" applyBorder="1" applyAlignment="1">
      <alignment horizontal="center"/>
    </xf>
    <xf numFmtId="178" fontId="37" fillId="0" borderId="7" xfId="5" applyNumberFormat="1" applyFont="1" applyBorder="1" applyAlignment="1">
      <alignment horizontal="center"/>
    </xf>
    <xf numFmtId="168" fontId="42" fillId="18" borderId="7" xfId="4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1" fontId="2" fillId="2" borderId="0" xfId="0" applyNumberFormat="1" applyFont="1" applyFill="1" applyAlignment="1">
      <alignment horizontal="center" vertical="center" wrapText="1"/>
    </xf>
    <xf numFmtId="176" fontId="37" fillId="0" borderId="7" xfId="5" applyNumberFormat="1" applyFont="1" applyBorder="1" applyAlignment="1">
      <alignment horizontal="center"/>
    </xf>
    <xf numFmtId="2" fontId="0" fillId="2" borderId="10" xfId="0" applyNumberFormat="1" applyFill="1" applyBorder="1" applyAlignment="1">
      <alignment horizontal="center"/>
    </xf>
    <xf numFmtId="0" fontId="27" fillId="24" borderId="18" xfId="0" applyFont="1" applyFill="1" applyBorder="1" applyAlignment="1">
      <alignment horizontal="center" vertical="center" wrapText="1"/>
    </xf>
    <xf numFmtId="178" fontId="37" fillId="0" borderId="9" xfId="5" applyNumberFormat="1" applyFont="1" applyBorder="1" applyAlignment="1">
      <alignment horizontal="center"/>
    </xf>
    <xf numFmtId="168" fontId="37" fillId="0" borderId="1" xfId="0" applyNumberFormat="1" applyFont="1" applyBorder="1" applyAlignment="1">
      <alignment horizontal="center"/>
    </xf>
    <xf numFmtId="168" fontId="37" fillId="0" borderId="2" xfId="0" applyNumberFormat="1" applyFont="1" applyBorder="1" applyAlignment="1">
      <alignment horizontal="center"/>
    </xf>
    <xf numFmtId="166" fontId="37" fillId="0" borderId="3" xfId="4" applyNumberFormat="1" applyFont="1" applyFill="1" applyBorder="1" applyAlignment="1">
      <alignment horizontal="center"/>
    </xf>
    <xf numFmtId="166" fontId="37" fillId="0" borderId="2" xfId="4" applyNumberFormat="1" applyFont="1" applyFill="1" applyBorder="1" applyAlignment="1">
      <alignment horizontal="center"/>
    </xf>
    <xf numFmtId="168" fontId="36" fillId="17" borderId="2" xfId="4" applyNumberFormat="1" applyFont="1" applyFill="1" applyBorder="1" applyAlignment="1">
      <alignment horizontal="center"/>
    </xf>
    <xf numFmtId="4" fontId="36" fillId="0" borderId="0" xfId="4" applyNumberFormat="1" applyFont="1" applyFill="1" applyBorder="1" applyAlignment="1">
      <alignment horizontal="center"/>
    </xf>
    <xf numFmtId="0" fontId="0" fillId="23" borderId="0" xfId="0" applyFill="1" applyAlignment="1">
      <alignment horizontal="center"/>
    </xf>
    <xf numFmtId="166" fontId="36" fillId="0" borderId="0" xfId="4" applyNumberFormat="1" applyFont="1" applyFill="1" applyBorder="1" applyAlignment="1">
      <alignment horizontal="right"/>
    </xf>
    <xf numFmtId="166" fontId="36" fillId="0" borderId="0" xfId="0" applyNumberFormat="1" applyFont="1" applyAlignment="1">
      <alignment horizontal="right"/>
    </xf>
    <xf numFmtId="44" fontId="27" fillId="0" borderId="14" xfId="1" applyFont="1" applyFill="1" applyBorder="1"/>
    <xf numFmtId="164" fontId="0" fillId="5" borderId="0" xfId="0" applyNumberFormat="1" applyFill="1"/>
    <xf numFmtId="164" fontId="0" fillId="5" borderId="14" xfId="0" applyNumberFormat="1" applyFill="1" applyBorder="1"/>
    <xf numFmtId="0" fontId="2" fillId="10" borderId="0" xfId="0" applyFont="1" applyFill="1" applyAlignment="1">
      <alignment horizontal="right"/>
    </xf>
    <xf numFmtId="0" fontId="0" fillId="10" borderId="0" xfId="0" applyFill="1"/>
    <xf numFmtId="164" fontId="9" fillId="10" borderId="0" xfId="0" applyNumberFormat="1" applyFont="1" applyFill="1"/>
    <xf numFmtId="0" fontId="2" fillId="10" borderId="0" xfId="0" applyFont="1" applyFill="1"/>
    <xf numFmtId="44" fontId="0" fillId="10" borderId="0" xfId="0" applyNumberFormat="1" applyFill="1"/>
    <xf numFmtId="0" fontId="2" fillId="10" borderId="0" xfId="0" applyFont="1" applyFill="1" applyAlignment="1">
      <alignment horizontal="center"/>
    </xf>
    <xf numFmtId="0" fontId="6" fillId="10" borderId="0" xfId="0" applyFont="1" applyFill="1"/>
    <xf numFmtId="2" fontId="0" fillId="10" borderId="0" xfId="0" applyNumberFormat="1" applyFill="1"/>
    <xf numFmtId="2" fontId="0" fillId="0" borderId="0" xfId="0" applyNumberFormat="1" applyAlignment="1">
      <alignment horizontal="left"/>
    </xf>
    <xf numFmtId="0" fontId="2" fillId="0" borderId="2" xfId="0" applyFont="1" applyBorder="1"/>
    <xf numFmtId="0" fontId="2" fillId="10" borderId="2" xfId="0" applyFont="1" applyFill="1" applyBorder="1"/>
    <xf numFmtId="0" fontId="2" fillId="11" borderId="2" xfId="0" applyFont="1" applyFill="1" applyBorder="1"/>
    <xf numFmtId="44" fontId="2" fillId="11" borderId="2" xfId="0" applyNumberFormat="1" applyFont="1" applyFill="1" applyBorder="1"/>
    <xf numFmtId="2" fontId="0" fillId="11" borderId="2" xfId="0" applyNumberFormat="1" applyFill="1" applyBorder="1"/>
    <xf numFmtId="44" fontId="13" fillId="12" borderId="12" xfId="1" applyFont="1" applyFill="1" applyBorder="1"/>
    <xf numFmtId="44" fontId="13" fillId="0" borderId="14" xfId="1" applyFont="1" applyFill="1" applyBorder="1"/>
    <xf numFmtId="44" fontId="25" fillId="0" borderId="14" xfId="1" applyFont="1" applyFill="1" applyBorder="1"/>
    <xf numFmtId="44" fontId="25" fillId="0" borderId="14" xfId="0" applyNumberFormat="1" applyFont="1" applyBorder="1"/>
    <xf numFmtId="44" fontId="27" fillId="0" borderId="14" xfId="0" applyNumberFormat="1" applyFont="1" applyBorder="1"/>
    <xf numFmtId="44" fontId="13" fillId="12" borderId="14" xfId="0" applyNumberFormat="1" applyFont="1" applyFill="1" applyBorder="1"/>
    <xf numFmtId="44" fontId="26" fillId="3" borderId="15" xfId="0" applyNumberFormat="1" applyFont="1" applyFill="1" applyBorder="1" applyAlignment="1">
      <alignment vertical="center"/>
    </xf>
    <xf numFmtId="44" fontId="25" fillId="0" borderId="13" xfId="1" applyFont="1" applyFill="1" applyBorder="1" applyAlignment="1">
      <alignment horizontal="center" vertical="center" wrapText="1"/>
    </xf>
    <xf numFmtId="44" fontId="13" fillId="3" borderId="14" xfId="1" applyFont="1" applyFill="1" applyBorder="1"/>
    <xf numFmtId="14" fontId="0" fillId="23" borderId="0" xfId="0" applyNumberFormat="1" applyFill="1"/>
    <xf numFmtId="0" fontId="0" fillId="23" borderId="0" xfId="0" applyFill="1" applyAlignment="1">
      <alignment horizontal="right"/>
    </xf>
    <xf numFmtId="0" fontId="6" fillId="23" borderId="0" xfId="0" applyFont="1" applyFill="1" applyAlignment="1">
      <alignment horizontal="right"/>
    </xf>
    <xf numFmtId="0" fontId="0" fillId="23" borderId="0" xfId="0" applyFill="1" applyAlignment="1">
      <alignment horizontal="left"/>
    </xf>
    <xf numFmtId="0" fontId="0" fillId="23" borderId="0" xfId="0" applyFill="1"/>
    <xf numFmtId="44" fontId="0" fillId="23" borderId="0" xfId="1" applyFont="1" applyFill="1"/>
    <xf numFmtId="44" fontId="0" fillId="23" borderId="0" xfId="0" applyNumberFormat="1" applyFill="1"/>
    <xf numFmtId="164" fontId="0" fillId="23" borderId="0" xfId="0" applyNumberFormat="1" applyFill="1"/>
    <xf numFmtId="164" fontId="0" fillId="23" borderId="14" xfId="0" applyNumberFormat="1" applyFill="1" applyBorder="1"/>
    <xf numFmtId="14" fontId="0" fillId="23" borderId="0" xfId="0" applyNumberFormat="1" applyFill="1" applyAlignment="1">
      <alignment horizontal="center"/>
    </xf>
    <xf numFmtId="0" fontId="2" fillId="23" borderId="0" xfId="0" applyFont="1" applyFill="1" applyAlignment="1">
      <alignment horizontal="right"/>
    </xf>
    <xf numFmtId="0" fontId="12" fillId="23" borderId="0" xfId="0" applyFont="1" applyFill="1"/>
    <xf numFmtId="0" fontId="9" fillId="23" borderId="0" xfId="0" applyFont="1" applyFill="1"/>
    <xf numFmtId="164" fontId="9" fillId="23" borderId="0" xfId="0" applyNumberFormat="1" applyFont="1" applyFill="1"/>
    <xf numFmtId="0" fontId="2" fillId="23" borderId="0" xfId="0" applyFont="1" applyFill="1" applyAlignment="1">
      <alignment horizontal="left"/>
    </xf>
    <xf numFmtId="0" fontId="2" fillId="23" borderId="0" xfId="0" applyFont="1" applyFill="1"/>
    <xf numFmtId="0" fontId="0" fillId="2" borderId="0" xfId="0" applyFill="1" applyAlignment="1">
      <alignment horizontal="right"/>
    </xf>
    <xf numFmtId="14" fontId="0" fillId="14" borderId="0" xfId="0" applyNumberFormat="1" applyFill="1"/>
    <xf numFmtId="0" fontId="0" fillId="14" borderId="0" xfId="0" applyFill="1"/>
    <xf numFmtId="164" fontId="0" fillId="14" borderId="0" xfId="0" applyNumberFormat="1" applyFill="1"/>
    <xf numFmtId="164" fontId="0" fillId="14" borderId="14" xfId="0" applyNumberFormat="1" applyFill="1" applyBorder="1"/>
    <xf numFmtId="14" fontId="0" fillId="14" borderId="0" xfId="0" applyNumberFormat="1" applyFill="1" applyAlignment="1">
      <alignment horizontal="center"/>
    </xf>
    <xf numFmtId="0" fontId="4" fillId="14" borderId="0" xfId="0" applyFont="1" applyFill="1"/>
    <xf numFmtId="0" fontId="4" fillId="14" borderId="0" xfId="0" applyFont="1" applyFill="1" applyAlignment="1">
      <alignment horizontal="left"/>
    </xf>
    <xf numFmtId="14" fontId="9" fillId="2" borderId="22" xfId="0" applyNumberFormat="1" applyFont="1" applyFill="1" applyBorder="1" applyAlignment="1">
      <alignment horizontal="center"/>
    </xf>
    <xf numFmtId="0" fontId="9" fillId="2" borderId="22" xfId="0" applyFont="1" applyFill="1" applyBorder="1"/>
    <xf numFmtId="0" fontId="9" fillId="2" borderId="22" xfId="0" applyFont="1" applyFill="1" applyBorder="1" applyAlignment="1">
      <alignment horizontal="center"/>
    </xf>
    <xf numFmtId="0" fontId="9" fillId="2" borderId="22" xfId="0" applyFont="1" applyFill="1" applyBorder="1" applyAlignment="1">
      <alignment horizontal="left"/>
    </xf>
    <xf numFmtId="0" fontId="0" fillId="2" borderId="22" xfId="0" applyFill="1" applyBorder="1"/>
    <xf numFmtId="0" fontId="43" fillId="2" borderId="22" xfId="0" applyFont="1" applyFill="1" applyBorder="1" applyAlignment="1">
      <alignment horizontal="left"/>
    </xf>
    <xf numFmtId="0" fontId="12" fillId="2" borderId="22" xfId="0" applyFont="1" applyFill="1" applyBorder="1"/>
    <xf numFmtId="14" fontId="0" fillId="2" borderId="22" xfId="0" applyNumberFormat="1" applyFill="1" applyBorder="1" applyAlignment="1">
      <alignment horizontal="center"/>
    </xf>
    <xf numFmtId="14" fontId="12" fillId="2" borderId="22" xfId="0" applyNumberFormat="1" applyFont="1" applyFill="1" applyBorder="1" applyAlignment="1">
      <alignment horizontal="center"/>
    </xf>
    <xf numFmtId="0" fontId="0" fillId="2" borderId="22" xfId="0" applyFill="1" applyBorder="1" applyAlignment="1">
      <alignment horizontal="left"/>
    </xf>
    <xf numFmtId="0" fontId="0" fillId="2" borderId="22" xfId="0" applyFill="1" applyBorder="1" applyAlignment="1">
      <alignment horizontal="center"/>
    </xf>
    <xf numFmtId="1" fontId="37" fillId="0" borderId="12" xfId="0" applyNumberFormat="1" applyFont="1" applyBorder="1" applyAlignment="1">
      <alignment horizontal="center"/>
    </xf>
    <xf numFmtId="1" fontId="37" fillId="17" borderId="12" xfId="0" applyNumberFormat="1" applyFont="1" applyFill="1" applyBorder="1" applyAlignment="1">
      <alignment horizontal="center"/>
    </xf>
    <xf numFmtId="1" fontId="37" fillId="0" borderId="13" xfId="0" applyNumberFormat="1" applyFont="1" applyBorder="1" applyAlignment="1">
      <alignment horizontal="center"/>
    </xf>
    <xf numFmtId="1" fontId="37" fillId="17" borderId="13" xfId="0" applyNumberFormat="1" applyFont="1" applyFill="1" applyBorder="1" applyAlignment="1">
      <alignment horizontal="center"/>
    </xf>
    <xf numFmtId="166" fontId="37" fillId="17" borderId="15" xfId="0" applyNumberFormat="1" applyFont="1" applyFill="1" applyBorder="1" applyAlignment="1">
      <alignment horizontal="center"/>
    </xf>
    <xf numFmtId="170" fontId="37" fillId="18" borderId="12" xfId="0" applyNumberFormat="1" applyFont="1" applyFill="1" applyBorder="1" applyAlignment="1">
      <alignment horizontal="center"/>
    </xf>
    <xf numFmtId="170" fontId="37" fillId="17" borderId="12" xfId="0" applyNumberFormat="1" applyFont="1" applyFill="1" applyBorder="1" applyAlignment="1">
      <alignment horizontal="center"/>
    </xf>
    <xf numFmtId="170" fontId="37" fillId="0" borderId="12" xfId="0" applyNumberFormat="1" applyFont="1" applyBorder="1" applyAlignment="1">
      <alignment horizontal="center"/>
    </xf>
    <xf numFmtId="168" fontId="37" fillId="18" borderId="14" xfId="4" applyNumberFormat="1" applyFont="1" applyFill="1" applyBorder="1" applyAlignment="1">
      <alignment horizontal="center"/>
    </xf>
    <xf numFmtId="168" fontId="37" fillId="17" borderId="14" xfId="4" applyNumberFormat="1" applyFont="1" applyFill="1" applyBorder="1" applyAlignment="1">
      <alignment horizontal="center"/>
    </xf>
    <xf numFmtId="168" fontId="37" fillId="0" borderId="7" xfId="4" applyNumberFormat="1" applyFont="1" applyFill="1" applyBorder="1" applyAlignment="1">
      <alignment horizontal="center"/>
    </xf>
    <xf numFmtId="174" fontId="37" fillId="0" borderId="14" xfId="4" applyFont="1" applyFill="1" applyBorder="1" applyAlignment="1">
      <alignment horizontal="center"/>
    </xf>
    <xf numFmtId="166" fontId="37" fillId="17" borderId="14" xfId="4" applyNumberFormat="1" applyFont="1" applyFill="1" applyBorder="1" applyAlignment="1">
      <alignment horizontal="center"/>
    </xf>
    <xf numFmtId="166" fontId="37" fillId="0" borderId="7" xfId="4" applyNumberFormat="1" applyFont="1" applyFill="1" applyBorder="1" applyAlignment="1">
      <alignment horizontal="center"/>
    </xf>
    <xf numFmtId="166" fontId="37" fillId="0" borderId="14" xfId="4" applyNumberFormat="1" applyFont="1" applyFill="1" applyBorder="1" applyAlignment="1">
      <alignment horizontal="center"/>
    </xf>
    <xf numFmtId="168" fontId="37" fillId="0" borderId="14" xfId="4" applyNumberFormat="1" applyFont="1" applyBorder="1" applyAlignment="1">
      <alignment horizontal="center"/>
    </xf>
    <xf numFmtId="166" fontId="37" fillId="17" borderId="3" xfId="4" applyNumberFormat="1" applyFont="1" applyFill="1" applyBorder="1" applyAlignment="1">
      <alignment horizontal="center"/>
    </xf>
    <xf numFmtId="166" fontId="36" fillId="17" borderId="6" xfId="4" applyNumberFormat="1" applyFont="1" applyFill="1" applyBorder="1" applyAlignment="1">
      <alignment horizontal="center"/>
    </xf>
    <xf numFmtId="166" fontId="36" fillId="0" borderId="6" xfId="4" applyNumberFormat="1" applyFont="1" applyFill="1" applyBorder="1" applyAlignment="1">
      <alignment horizontal="center"/>
    </xf>
    <xf numFmtId="166" fontId="3" fillId="0" borderId="5" xfId="0" applyNumberFormat="1" applyFont="1" applyBorder="1" applyAlignment="1">
      <alignment horizontal="center"/>
    </xf>
    <xf numFmtId="166" fontId="37" fillId="17" borderId="6" xfId="4" applyNumberFormat="1" applyFont="1" applyFill="1" applyBorder="1" applyAlignment="1">
      <alignment horizontal="center"/>
    </xf>
    <xf numFmtId="166" fontId="37" fillId="0" borderId="6" xfId="4" applyNumberFormat="1" applyFont="1" applyFill="1" applyBorder="1" applyAlignment="1">
      <alignment horizontal="center"/>
    </xf>
    <xf numFmtId="166" fontId="3" fillId="0" borderId="0" xfId="0" applyNumberFormat="1" applyFont="1" applyAlignment="1">
      <alignment horizontal="center"/>
    </xf>
    <xf numFmtId="168" fontId="37" fillId="0" borderId="15" xfId="4" applyNumberFormat="1" applyFont="1" applyBorder="1" applyAlignment="1">
      <alignment horizontal="center"/>
    </xf>
    <xf numFmtId="166" fontId="37" fillId="17" borderId="13" xfId="4" applyNumberFormat="1" applyFont="1" applyFill="1" applyBorder="1" applyAlignment="1">
      <alignment horizontal="center"/>
    </xf>
    <xf numFmtId="166" fontId="37" fillId="0" borderId="13" xfId="4" applyNumberFormat="1" applyFont="1" applyFill="1" applyBorder="1" applyAlignment="1">
      <alignment horizontal="center"/>
    </xf>
    <xf numFmtId="166" fontId="37" fillId="17" borderId="1" xfId="4" applyNumberFormat="1" applyFont="1" applyFill="1" applyBorder="1" applyAlignment="1">
      <alignment horizontal="center"/>
    </xf>
    <xf numFmtId="168" fontId="36" fillId="17" borderId="12" xfId="4" applyNumberFormat="1" applyFont="1" applyFill="1" applyBorder="1" applyAlignment="1">
      <alignment horizontal="center" vertical="center"/>
    </xf>
    <xf numFmtId="166" fontId="36" fillId="17" borderId="3" xfId="4" applyNumberFormat="1" applyFont="1" applyFill="1" applyBorder="1" applyAlignment="1">
      <alignment horizontal="center"/>
    </xf>
    <xf numFmtId="166" fontId="36" fillId="0" borderId="0" xfId="4" applyNumberFormat="1" applyFont="1" applyBorder="1" applyAlignment="1">
      <alignment horizontal="center"/>
    </xf>
    <xf numFmtId="168" fontId="36" fillId="17" borderId="3" xfId="4" applyNumberFormat="1" applyFont="1" applyFill="1" applyBorder="1" applyAlignment="1">
      <alignment horizontal="center"/>
    </xf>
    <xf numFmtId="168" fontId="36" fillId="17" borderId="7" xfId="4" applyNumberFormat="1" applyFont="1" applyFill="1" applyBorder="1" applyAlignment="1">
      <alignment horizontal="center"/>
    </xf>
    <xf numFmtId="166" fontId="36" fillId="17" borderId="2" xfId="4" applyNumberFormat="1" applyFont="1" applyFill="1" applyBorder="1" applyAlignment="1">
      <alignment horizontal="center"/>
    </xf>
    <xf numFmtId="166" fontId="37" fillId="15" borderId="7" xfId="0" applyNumberFormat="1" applyFont="1" applyFill="1" applyBorder="1" applyAlignment="1">
      <alignment horizontal="center"/>
    </xf>
    <xf numFmtId="166" fontId="0" fillId="15" borderId="0" xfId="0" applyNumberFormat="1" applyFill="1" applyAlignment="1">
      <alignment horizontal="center"/>
    </xf>
    <xf numFmtId="168" fontId="2" fillId="15" borderId="7" xfId="0" applyNumberFormat="1" applyFont="1" applyFill="1" applyBorder="1" applyAlignment="1">
      <alignment horizontal="center"/>
    </xf>
    <xf numFmtId="166" fontId="0" fillId="15" borderId="8" xfId="0" applyNumberFormat="1" applyFill="1" applyBorder="1" applyAlignment="1">
      <alignment horizontal="center"/>
    </xf>
    <xf numFmtId="176" fontId="36" fillId="15" borderId="7" xfId="5" applyNumberFormat="1" applyFont="1" applyFill="1" applyBorder="1" applyAlignment="1">
      <alignment horizontal="center"/>
    </xf>
    <xf numFmtId="178" fontId="37" fillId="15" borderId="7" xfId="5" applyNumberFormat="1" applyFont="1" applyFill="1" applyBorder="1" applyAlignment="1">
      <alignment horizontal="center"/>
    </xf>
    <xf numFmtId="166" fontId="36" fillId="6" borderId="8" xfId="4" applyNumberFormat="1" applyFont="1" applyFill="1" applyBorder="1" applyAlignment="1">
      <alignment horizontal="center"/>
    </xf>
    <xf numFmtId="179" fontId="36" fillId="6" borderId="7" xfId="4" applyNumberFormat="1" applyFont="1" applyFill="1" applyBorder="1" applyAlignment="1">
      <alignment horizontal="center"/>
    </xf>
    <xf numFmtId="168" fontId="36" fillId="6" borderId="7" xfId="4" applyNumberFormat="1" applyFont="1" applyFill="1" applyBorder="1" applyAlignment="1">
      <alignment horizontal="center"/>
    </xf>
    <xf numFmtId="166" fontId="36" fillId="6" borderId="14" xfId="4" applyNumberFormat="1" applyFont="1" applyFill="1" applyBorder="1" applyAlignment="1">
      <alignment horizontal="center"/>
    </xf>
    <xf numFmtId="180" fontId="36" fillId="6" borderId="7" xfId="5" applyNumberFormat="1" applyFont="1" applyFill="1" applyBorder="1" applyAlignment="1">
      <alignment horizontal="center"/>
    </xf>
    <xf numFmtId="166" fontId="36" fillId="6" borderId="7" xfId="4" applyNumberFormat="1" applyFont="1" applyFill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66" fontId="37" fillId="16" borderId="7" xfId="0" applyNumberFormat="1" applyFont="1" applyFill="1" applyBorder="1" applyAlignment="1">
      <alignment horizontal="center"/>
    </xf>
    <xf numFmtId="166" fontId="0" fillId="16" borderId="0" xfId="0" applyNumberFormat="1" applyFill="1" applyAlignment="1">
      <alignment horizontal="center"/>
    </xf>
    <xf numFmtId="168" fontId="2" fillId="16" borderId="7" xfId="0" applyNumberFormat="1" applyFont="1" applyFill="1" applyBorder="1" applyAlignment="1">
      <alignment horizontal="center"/>
    </xf>
    <xf numFmtId="166" fontId="0" fillId="16" borderId="8" xfId="0" applyNumberFormat="1" applyFill="1" applyBorder="1" applyAlignment="1">
      <alignment horizontal="center"/>
    </xf>
    <xf numFmtId="176" fontId="36" fillId="16" borderId="7" xfId="5" applyNumberFormat="1" applyFont="1" applyFill="1" applyBorder="1" applyAlignment="1">
      <alignment horizontal="center"/>
    </xf>
    <xf numFmtId="176" fontId="37" fillId="16" borderId="7" xfId="5" applyNumberFormat="1" applyFont="1" applyFill="1" applyBorder="1" applyAlignment="1">
      <alignment horizontal="center"/>
    </xf>
    <xf numFmtId="168" fontId="36" fillId="8" borderId="14" xfId="4" applyNumberFormat="1" applyFon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166" fontId="37" fillId="26" borderId="4" xfId="0" applyNumberFormat="1" applyFont="1" applyFill="1" applyBorder="1" applyAlignment="1">
      <alignment horizontal="center"/>
    </xf>
    <xf numFmtId="0" fontId="44" fillId="26" borderId="5" xfId="0" applyFont="1" applyFill="1" applyBorder="1" applyAlignment="1">
      <alignment horizontal="center" vertical="center" wrapText="1"/>
    </xf>
    <xf numFmtId="166" fontId="0" fillId="26" borderId="6" xfId="0" applyNumberFormat="1" applyFill="1" applyBorder="1" applyAlignment="1">
      <alignment horizontal="center"/>
    </xf>
    <xf numFmtId="168" fontId="7" fillId="26" borderId="4" xfId="0" applyNumberFormat="1" applyFont="1" applyFill="1" applyBorder="1" applyAlignment="1">
      <alignment horizontal="center"/>
    </xf>
    <xf numFmtId="166" fontId="9" fillId="26" borderId="5" xfId="0" applyNumberFormat="1" applyFont="1" applyFill="1" applyBorder="1" applyAlignment="1">
      <alignment horizontal="center"/>
    </xf>
    <xf numFmtId="166" fontId="9" fillId="26" borderId="6" xfId="0" applyNumberFormat="1" applyFont="1" applyFill="1" applyBorder="1" applyAlignment="1">
      <alignment horizontal="center"/>
    </xf>
    <xf numFmtId="176" fontId="36" fillId="26" borderId="4" xfId="5" applyNumberFormat="1" applyFont="1" applyFill="1" applyBorder="1" applyAlignment="1">
      <alignment horizontal="center"/>
    </xf>
    <xf numFmtId="178" fontId="37" fillId="26" borderId="4" xfId="5" applyNumberFormat="1" applyFont="1" applyFill="1" applyBorder="1" applyAlignment="1">
      <alignment horizontal="center"/>
    </xf>
    <xf numFmtId="168" fontId="36" fillId="26" borderId="12" xfId="4" applyNumberFormat="1" applyFont="1" applyFill="1" applyBorder="1" applyAlignment="1">
      <alignment horizontal="center"/>
    </xf>
    <xf numFmtId="166" fontId="36" fillId="17" borderId="8" xfId="4" applyNumberFormat="1" applyFont="1" applyFill="1" applyBorder="1" applyAlignment="1">
      <alignment horizontal="center"/>
    </xf>
    <xf numFmtId="179" fontId="36" fillId="0" borderId="7" xfId="4" applyNumberFormat="1" applyFont="1" applyFill="1" applyBorder="1" applyAlignment="1">
      <alignment horizontal="center"/>
    </xf>
    <xf numFmtId="166" fontId="36" fillId="17" borderId="14" xfId="4" applyNumberFormat="1" applyFont="1" applyFill="1" applyBorder="1" applyAlignment="1">
      <alignment horizontal="center"/>
    </xf>
    <xf numFmtId="180" fontId="36" fillId="0" borderId="7" xfId="5" applyNumberFormat="1" applyFont="1" applyBorder="1" applyAlignment="1">
      <alignment horizontal="center"/>
    </xf>
    <xf numFmtId="166" fontId="36" fillId="17" borderId="7" xfId="4" applyNumberFormat="1" applyFont="1" applyFill="1" applyBorder="1" applyAlignment="1">
      <alignment horizontal="center"/>
    </xf>
    <xf numFmtId="166" fontId="37" fillId="26" borderId="7" xfId="0" applyNumberFormat="1" applyFont="1" applyFill="1" applyBorder="1" applyAlignment="1">
      <alignment horizontal="center"/>
    </xf>
    <xf numFmtId="0" fontId="44" fillId="26" borderId="0" xfId="0" applyFont="1" applyFill="1" applyAlignment="1">
      <alignment horizontal="center"/>
    </xf>
    <xf numFmtId="166" fontId="0" fillId="26" borderId="0" xfId="0" applyNumberFormat="1" applyFill="1" applyAlignment="1">
      <alignment horizontal="center"/>
    </xf>
    <xf numFmtId="168" fontId="7" fillId="26" borderId="14" xfId="0" applyNumberFormat="1" applyFont="1" applyFill="1" applyBorder="1" applyAlignment="1">
      <alignment horizontal="center"/>
    </xf>
    <xf numFmtId="166" fontId="9" fillId="26" borderId="0" xfId="0" applyNumberFormat="1" applyFont="1" applyFill="1" applyAlignment="1">
      <alignment horizontal="center"/>
    </xf>
    <xf numFmtId="176" fontId="36" fillId="26" borderId="0" xfId="5" applyNumberFormat="1" applyFont="1" applyFill="1" applyBorder="1" applyAlignment="1">
      <alignment horizontal="center"/>
    </xf>
    <xf numFmtId="176" fontId="36" fillId="26" borderId="14" xfId="5" applyNumberFormat="1" applyFont="1" applyFill="1" applyBorder="1" applyAlignment="1">
      <alignment horizontal="center"/>
    </xf>
    <xf numFmtId="178" fontId="37" fillId="26" borderId="8" xfId="5" applyNumberFormat="1" applyFont="1" applyFill="1" applyBorder="1" applyAlignment="1">
      <alignment horizontal="center"/>
    </xf>
    <xf numFmtId="168" fontId="36" fillId="26" borderId="8" xfId="4" applyNumberFormat="1" applyFont="1" applyFill="1" applyBorder="1" applyAlignment="1">
      <alignment horizontal="center"/>
    </xf>
    <xf numFmtId="0" fontId="44" fillId="26" borderId="0" xfId="0" applyFont="1" applyFill="1" applyAlignment="1">
      <alignment horizontal="center" vertical="center" wrapText="1"/>
    </xf>
    <xf numFmtId="166" fontId="37" fillId="26" borderId="9" xfId="0" applyNumberFormat="1" applyFont="1" applyFill="1" applyBorder="1" applyAlignment="1">
      <alignment horizontal="center"/>
    </xf>
    <xf numFmtId="0" fontId="44" fillId="26" borderId="10" xfId="0" applyFont="1" applyFill="1" applyBorder="1" applyAlignment="1">
      <alignment horizontal="center" vertical="center" wrapText="1"/>
    </xf>
    <xf numFmtId="166" fontId="0" fillId="26" borderId="10" xfId="0" applyNumberFormat="1" applyFill="1" applyBorder="1" applyAlignment="1">
      <alignment horizontal="center"/>
    </xf>
    <xf numFmtId="168" fontId="7" fillId="26" borderId="15" xfId="0" applyNumberFormat="1" applyFont="1" applyFill="1" applyBorder="1" applyAlignment="1">
      <alignment horizontal="center"/>
    </xf>
    <xf numFmtId="166" fontId="9" fillId="26" borderId="10" xfId="0" applyNumberFormat="1" applyFont="1" applyFill="1" applyBorder="1" applyAlignment="1">
      <alignment horizontal="center"/>
    </xf>
    <xf numFmtId="176" fontId="36" fillId="26" borderId="10" xfId="5" applyNumberFormat="1" applyFont="1" applyFill="1" applyBorder="1" applyAlignment="1">
      <alignment horizontal="center"/>
    </xf>
    <xf numFmtId="176" fontId="36" fillId="26" borderId="15" xfId="5" applyNumberFormat="1" applyFont="1" applyFill="1" applyBorder="1" applyAlignment="1">
      <alignment horizontal="center"/>
    </xf>
    <xf numFmtId="178" fontId="37" fillId="26" borderId="11" xfId="5" applyNumberFormat="1" applyFont="1" applyFill="1" applyBorder="1" applyAlignment="1">
      <alignment horizontal="center"/>
    </xf>
    <xf numFmtId="168" fontId="36" fillId="26" borderId="11" xfId="4" applyNumberFormat="1" applyFont="1" applyFill="1" applyBorder="1" applyAlignment="1">
      <alignment horizontal="center"/>
    </xf>
    <xf numFmtId="166" fontId="0" fillId="26" borderId="8" xfId="0" applyNumberFormat="1" applyFill="1" applyBorder="1" applyAlignment="1">
      <alignment horizontal="center"/>
    </xf>
    <xf numFmtId="168" fontId="7" fillId="26" borderId="7" xfId="0" applyNumberFormat="1" applyFont="1" applyFill="1" applyBorder="1" applyAlignment="1">
      <alignment horizontal="center"/>
    </xf>
    <xf numFmtId="166" fontId="9" fillId="26" borderId="8" xfId="0" applyNumberFormat="1" applyFont="1" applyFill="1" applyBorder="1" applyAlignment="1">
      <alignment horizontal="center"/>
    </xf>
    <xf numFmtId="176" fontId="36" fillId="26" borderId="7" xfId="5" applyNumberFormat="1" applyFont="1" applyFill="1" applyBorder="1" applyAlignment="1">
      <alignment horizontal="center"/>
    </xf>
    <xf numFmtId="178" fontId="37" fillId="26" borderId="7" xfId="5" applyNumberFormat="1" applyFont="1" applyFill="1" applyBorder="1" applyAlignment="1">
      <alignment horizontal="center"/>
    </xf>
    <xf numFmtId="168" fontId="36" fillId="26" borderId="14" xfId="4" applyNumberFormat="1" applyFont="1" applyFill="1" applyBorder="1" applyAlignment="1">
      <alignment horizontal="center"/>
    </xf>
    <xf numFmtId="166" fontId="0" fillId="26" borderId="11" xfId="0" applyNumberFormat="1" applyFill="1" applyBorder="1" applyAlignment="1">
      <alignment horizontal="center"/>
    </xf>
    <xf numFmtId="168" fontId="7" fillId="26" borderId="9" xfId="0" applyNumberFormat="1" applyFont="1" applyFill="1" applyBorder="1" applyAlignment="1">
      <alignment horizontal="center"/>
    </xf>
    <xf numFmtId="166" fontId="9" fillId="26" borderId="11" xfId="0" applyNumberFormat="1" applyFont="1" applyFill="1" applyBorder="1" applyAlignment="1">
      <alignment horizontal="center"/>
    </xf>
    <xf numFmtId="176" fontId="36" fillId="26" borderId="9" xfId="5" applyNumberFormat="1" applyFont="1" applyFill="1" applyBorder="1" applyAlignment="1">
      <alignment horizontal="center"/>
    </xf>
    <xf numFmtId="178" fontId="37" fillId="26" borderId="9" xfId="5" applyNumberFormat="1" applyFont="1" applyFill="1" applyBorder="1" applyAlignment="1">
      <alignment horizontal="center"/>
    </xf>
    <xf numFmtId="176" fontId="37" fillId="26" borderId="12" xfId="5" applyNumberFormat="1" applyFont="1" applyFill="1" applyBorder="1" applyAlignment="1">
      <alignment horizontal="center"/>
    </xf>
    <xf numFmtId="0" fontId="45" fillId="26" borderId="0" xfId="0" applyFont="1" applyFill="1" applyAlignment="1">
      <alignment horizontal="center" vertical="center" wrapText="1"/>
    </xf>
    <xf numFmtId="178" fontId="37" fillId="26" borderId="14" xfId="5" applyNumberFormat="1" applyFont="1" applyFill="1" applyBorder="1" applyAlignment="1">
      <alignment horizontal="center"/>
    </xf>
    <xf numFmtId="179" fontId="36" fillId="0" borderId="0" xfId="4" applyNumberFormat="1" applyFont="1" applyFill="1" applyBorder="1" applyAlignment="1">
      <alignment horizontal="center"/>
    </xf>
    <xf numFmtId="180" fontId="36" fillId="0" borderId="0" xfId="5" applyNumberFormat="1" applyFont="1" applyBorder="1" applyAlignment="1">
      <alignment horizontal="center"/>
    </xf>
    <xf numFmtId="168" fontId="36" fillId="26" borderId="15" xfId="4" applyNumberFormat="1" applyFont="1" applyFill="1" applyBorder="1" applyAlignment="1">
      <alignment horizontal="center"/>
    </xf>
    <xf numFmtId="166" fontId="15" fillId="0" borderId="0" xfId="0" applyNumberFormat="1" applyFont="1" applyAlignment="1">
      <alignment horizontal="center"/>
    </xf>
    <xf numFmtId="166" fontId="37" fillId="27" borderId="24" xfId="0" applyNumberFormat="1" applyFont="1" applyFill="1" applyBorder="1" applyAlignment="1">
      <alignment horizontal="center"/>
    </xf>
    <xf numFmtId="166" fontId="0" fillId="27" borderId="24" xfId="0" applyNumberFormat="1" applyFill="1" applyBorder="1" applyAlignment="1">
      <alignment horizontal="center"/>
    </xf>
    <xf numFmtId="168" fontId="0" fillId="27" borderId="24" xfId="0" applyNumberFormat="1" applyFill="1" applyBorder="1" applyAlignment="1">
      <alignment horizontal="center"/>
    </xf>
    <xf numFmtId="166" fontId="36" fillId="27" borderId="24" xfId="4" applyNumberFormat="1" applyFont="1" applyFill="1" applyBorder="1" applyAlignment="1">
      <alignment horizontal="center"/>
    </xf>
    <xf numFmtId="168" fontId="36" fillId="27" borderId="24" xfId="4" applyNumberFormat="1" applyFont="1" applyFill="1" applyBorder="1" applyAlignment="1">
      <alignment horizontal="center"/>
    </xf>
    <xf numFmtId="166" fontId="36" fillId="0" borderId="3" xfId="4" applyNumberFormat="1" applyFont="1" applyFill="1" applyBorder="1" applyAlignment="1">
      <alignment horizontal="center"/>
    </xf>
    <xf numFmtId="166" fontId="36" fillId="0" borderId="13" xfId="4" applyNumberFormat="1" applyFont="1" applyFill="1" applyBorder="1" applyAlignment="1">
      <alignment horizontal="center"/>
    </xf>
    <xf numFmtId="166" fontId="40" fillId="0" borderId="3" xfId="0" applyNumberFormat="1" applyFont="1" applyBorder="1" applyAlignment="1">
      <alignment horizontal="center"/>
    </xf>
    <xf numFmtId="166" fontId="46" fillId="0" borderId="0" xfId="0" applyNumberFormat="1" applyFont="1" applyAlignment="1">
      <alignment horizontal="center"/>
    </xf>
    <xf numFmtId="168" fontId="36" fillId="8" borderId="12" xfId="4" applyNumberFormat="1" applyFont="1" applyFill="1" applyBorder="1" applyAlignment="1">
      <alignment horizontal="center"/>
    </xf>
    <xf numFmtId="44" fontId="0" fillId="0" borderId="0" xfId="6" applyFont="1" applyFill="1" applyBorder="1"/>
    <xf numFmtId="44" fontId="2" fillId="0" borderId="0" xfId="6" applyFont="1" applyFill="1" applyBorder="1"/>
    <xf numFmtId="164" fontId="0" fillId="0" borderId="0" xfId="6" applyNumberFormat="1" applyFont="1" applyFill="1" applyBorder="1"/>
    <xf numFmtId="44" fontId="12" fillId="0" borderId="0" xfId="6" applyFont="1" applyFill="1" applyBorder="1"/>
    <xf numFmtId="164" fontId="0" fillId="5" borderId="0" xfId="6" applyNumberFormat="1" applyFont="1" applyFill="1" applyBorder="1"/>
    <xf numFmtId="44" fontId="2" fillId="5" borderId="0" xfId="6" applyFont="1" applyFill="1"/>
    <xf numFmtId="164" fontId="0" fillId="11" borderId="2" xfId="6" applyNumberFormat="1" applyFont="1" applyFill="1" applyBorder="1"/>
    <xf numFmtId="164" fontId="0" fillId="0" borderId="14" xfId="6" applyNumberFormat="1" applyFont="1" applyBorder="1"/>
    <xf numFmtId="164" fontId="0" fillId="0" borderId="0" xfId="6" applyNumberFormat="1" applyFont="1"/>
    <xf numFmtId="44" fontId="0" fillId="0" borderId="0" xfId="6" applyFont="1"/>
    <xf numFmtId="44" fontId="2" fillId="0" borderId="0" xfId="6" applyFont="1"/>
    <xf numFmtId="164" fontId="0" fillId="5" borderId="0" xfId="6" applyNumberFormat="1" applyFont="1" applyFill="1"/>
    <xf numFmtId="44" fontId="0" fillId="5" borderId="0" xfId="6" applyFont="1" applyFill="1"/>
    <xf numFmtId="44" fontId="0" fillId="5" borderId="0" xfId="6" applyFont="1" applyFill="1" applyBorder="1"/>
    <xf numFmtId="164" fontId="4" fillId="10" borderId="2" xfId="6" applyNumberFormat="1" applyFont="1" applyFill="1" applyBorder="1"/>
    <xf numFmtId="44" fontId="0" fillId="23" borderId="0" xfId="6" applyFont="1" applyFill="1"/>
    <xf numFmtId="44" fontId="2" fillId="23" borderId="0" xfId="6" applyFont="1" applyFill="1" applyBorder="1"/>
    <xf numFmtId="164" fontId="0" fillId="23" borderId="0" xfId="6" applyNumberFormat="1" applyFont="1" applyFill="1" applyBorder="1"/>
    <xf numFmtId="44" fontId="1" fillId="0" borderId="0" xfId="6" applyFont="1" applyFill="1" applyBorder="1"/>
    <xf numFmtId="164" fontId="1" fillId="0" borderId="0" xfId="6" applyNumberFormat="1" applyFont="1" applyFill="1" applyBorder="1"/>
    <xf numFmtId="44" fontId="0" fillId="0" borderId="0" xfId="6" applyFont="1" applyFill="1"/>
    <xf numFmtId="44" fontId="2" fillId="23" borderId="0" xfId="6" applyFont="1" applyFill="1"/>
    <xf numFmtId="44" fontId="0" fillId="23" borderId="0" xfId="6" applyFont="1" applyFill="1" applyBorder="1"/>
    <xf numFmtId="164" fontId="2" fillId="0" borderId="0" xfId="6" applyNumberFormat="1" applyFont="1" applyFill="1" applyBorder="1"/>
    <xf numFmtId="44" fontId="0" fillId="14" borderId="0" xfId="6" applyFont="1" applyFill="1"/>
    <xf numFmtId="44" fontId="2" fillId="14" borderId="0" xfId="6" applyFont="1" applyFill="1"/>
    <xf numFmtId="164" fontId="0" fillId="14" borderId="0" xfId="6" applyNumberFormat="1" applyFont="1" applyFill="1" applyBorder="1"/>
    <xf numFmtId="44" fontId="1" fillId="0" borderId="0" xfId="6" applyFont="1"/>
    <xf numFmtId="8" fontId="0" fillId="0" borderId="0" xfId="6" applyNumberFormat="1" applyFont="1"/>
    <xf numFmtId="44" fontId="1" fillId="0" borderId="0" xfId="6" applyFont="1" applyBorder="1"/>
    <xf numFmtId="164" fontId="3" fillId="11" borderId="2" xfId="6" applyNumberFormat="1" applyFont="1" applyFill="1" applyBorder="1"/>
    <xf numFmtId="164" fontId="4" fillId="0" borderId="0" xfId="6" applyNumberFormat="1" applyFont="1" applyFill="1" applyBorder="1"/>
    <xf numFmtId="44" fontId="2" fillId="5" borderId="14" xfId="6" applyFont="1" applyFill="1" applyBorder="1"/>
    <xf numFmtId="164" fontId="2" fillId="5" borderId="0" xfId="6" applyNumberFormat="1" applyFont="1" applyFill="1" applyBorder="1"/>
    <xf numFmtId="164" fontId="9" fillId="0" borderId="14" xfId="6" applyNumberFormat="1" applyFont="1" applyFill="1" applyBorder="1"/>
    <xf numFmtId="44" fontId="9" fillId="0" borderId="0" xfId="6" applyFont="1" applyBorder="1"/>
    <xf numFmtId="44" fontId="2" fillId="0" borderId="0" xfId="6" applyFont="1" applyBorder="1"/>
    <xf numFmtId="44" fontId="0" fillId="0" borderId="0" xfId="6" applyFont="1" applyBorder="1"/>
    <xf numFmtId="164" fontId="9" fillId="23" borderId="14" xfId="6" applyNumberFormat="1" applyFont="1" applyFill="1" applyBorder="1"/>
    <xf numFmtId="44" fontId="9" fillId="23" borderId="0" xfId="6" applyFont="1" applyFill="1" applyBorder="1"/>
    <xf numFmtId="164" fontId="9" fillId="10" borderId="14" xfId="6" applyNumberFormat="1" applyFont="1" applyFill="1" applyBorder="1"/>
    <xf numFmtId="44" fontId="0" fillId="10" borderId="0" xfId="6" applyFont="1" applyFill="1" applyBorder="1"/>
    <xf numFmtId="44" fontId="2" fillId="10" borderId="0" xfId="6" applyFont="1" applyFill="1" applyBorder="1"/>
    <xf numFmtId="44" fontId="0" fillId="10" borderId="0" xfId="6" applyFont="1" applyFill="1"/>
    <xf numFmtId="164" fontId="2" fillId="0" borderId="14" xfId="6" applyNumberFormat="1" applyFont="1" applyFill="1" applyBorder="1"/>
    <xf numFmtId="164" fontId="1" fillId="0" borderId="14" xfId="6" applyNumberFormat="1" applyFont="1" applyFill="1" applyBorder="1"/>
    <xf numFmtId="44" fontId="2" fillId="0" borderId="0" xfId="6" applyFont="1" applyFill="1"/>
    <xf numFmtId="164" fontId="0" fillId="0" borderId="0" xfId="6" applyNumberFormat="1" applyFont="1" applyFill="1"/>
    <xf numFmtId="44" fontId="9" fillId="0" borderId="0" xfId="6" applyFont="1" applyFill="1" applyBorder="1"/>
    <xf numFmtId="44" fontId="7" fillId="0" borderId="0" xfId="6" applyFont="1" applyFill="1"/>
    <xf numFmtId="164" fontId="9" fillId="0" borderId="0" xfId="6" applyNumberFormat="1" applyFont="1" applyFill="1"/>
    <xf numFmtId="164" fontId="1" fillId="23" borderId="14" xfId="6" applyNumberFormat="1" applyFont="1" applyFill="1" applyBorder="1"/>
    <xf numFmtId="44" fontId="1" fillId="23" borderId="0" xfId="6" applyFont="1" applyFill="1" applyBorder="1"/>
    <xf numFmtId="164" fontId="0" fillId="23" borderId="0" xfId="6" applyNumberFormat="1" applyFont="1" applyFill="1"/>
    <xf numFmtId="44" fontId="0" fillId="14" borderId="0" xfId="6" applyFont="1" applyFill="1" applyBorder="1"/>
    <xf numFmtId="44" fontId="2" fillId="14" borderId="0" xfId="6" applyFont="1" applyFill="1" applyBorder="1"/>
    <xf numFmtId="164" fontId="12" fillId="5" borderId="0" xfId="6" applyNumberFormat="1" applyFont="1" applyFill="1" applyBorder="1"/>
    <xf numFmtId="14" fontId="27" fillId="2" borderId="7" xfId="0" applyNumberFormat="1" applyFont="1" applyFill="1" applyBorder="1" applyAlignment="1">
      <alignment horizontal="center"/>
    </xf>
    <xf numFmtId="44" fontId="27" fillId="2" borderId="0" xfId="1" applyFont="1" applyFill="1" applyBorder="1"/>
    <xf numFmtId="44" fontId="13" fillId="2" borderId="0" xfId="1" applyFont="1" applyFill="1" applyBorder="1"/>
    <xf numFmtId="44" fontId="28" fillId="2" borderId="0" xfId="1" applyFont="1" applyFill="1" applyBorder="1"/>
    <xf numFmtId="44" fontId="2" fillId="0" borderId="0" xfId="1" applyFont="1"/>
    <xf numFmtId="14" fontId="45" fillId="10" borderId="2" xfId="0" applyNumberFormat="1" applyFont="1" applyFill="1" applyBorder="1"/>
    <xf numFmtId="0" fontId="44" fillId="10" borderId="2" xfId="0" applyFont="1" applyFill="1" applyBorder="1" applyAlignment="1">
      <alignment horizontal="left"/>
    </xf>
    <xf numFmtId="0" fontId="44" fillId="10" borderId="2" xfId="0" applyFont="1" applyFill="1" applyBorder="1"/>
    <xf numFmtId="0" fontId="45" fillId="10" borderId="2" xfId="0" applyFont="1" applyFill="1" applyBorder="1"/>
    <xf numFmtId="164" fontId="45" fillId="10" borderId="2" xfId="1" applyNumberFormat="1" applyFont="1" applyFill="1" applyBorder="1"/>
    <xf numFmtId="0" fontId="45" fillId="5" borderId="0" xfId="0" applyFont="1" applyFill="1"/>
    <xf numFmtId="0" fontId="45" fillId="5" borderId="0" xfId="0" applyFont="1" applyFill="1" applyAlignment="1">
      <alignment horizontal="left"/>
    </xf>
    <xf numFmtId="0" fontId="44" fillId="5" borderId="0" xfId="0" applyFont="1" applyFill="1"/>
    <xf numFmtId="164" fontId="44" fillId="5" borderId="0" xfId="0" applyNumberFormat="1" applyFont="1" applyFill="1"/>
    <xf numFmtId="0" fontId="45" fillId="0" borderId="0" xfId="0" applyFont="1"/>
    <xf numFmtId="14" fontId="45" fillId="5" borderId="0" xfId="0" applyNumberFormat="1" applyFont="1" applyFill="1" applyAlignment="1">
      <alignment horizontal="center"/>
    </xf>
    <xf numFmtId="0" fontId="45" fillId="0" borderId="14" xfId="0" applyFont="1" applyBorder="1"/>
    <xf numFmtId="0" fontId="20" fillId="5" borderId="0" xfId="0" applyFont="1" applyFill="1"/>
    <xf numFmtId="164" fontId="20" fillId="5" borderId="0" xfId="1" applyNumberFormat="1" applyFont="1" applyFill="1" applyBorder="1"/>
    <xf numFmtId="164" fontId="45" fillId="5" borderId="0" xfId="1" applyNumberFormat="1" applyFont="1" applyFill="1" applyBorder="1"/>
    <xf numFmtId="44" fontId="45" fillId="5" borderId="0" xfId="1" applyFont="1" applyFill="1"/>
    <xf numFmtId="0" fontId="45" fillId="11" borderId="2" xfId="0" applyFont="1" applyFill="1" applyBorder="1"/>
    <xf numFmtId="0" fontId="44" fillId="11" borderId="2" xfId="0" applyFont="1" applyFill="1" applyBorder="1" applyAlignment="1">
      <alignment horizontal="right"/>
    </xf>
    <xf numFmtId="0" fontId="44" fillId="11" borderId="2" xfId="0" applyFont="1" applyFill="1" applyBorder="1" applyAlignment="1">
      <alignment horizontal="left"/>
    </xf>
    <xf numFmtId="164" fontId="45" fillId="11" borderId="2" xfId="1" applyNumberFormat="1" applyFont="1" applyFill="1" applyBorder="1"/>
    <xf numFmtId="44" fontId="45" fillId="11" borderId="2" xfId="0" applyNumberFormat="1" applyFont="1" applyFill="1" applyBorder="1"/>
    <xf numFmtId="0" fontId="50" fillId="5" borderId="0" xfId="0" applyFont="1" applyFill="1" applyAlignment="1">
      <alignment horizontal="left"/>
    </xf>
    <xf numFmtId="44" fontId="45" fillId="5" borderId="0" xfId="1" applyFont="1" applyFill="1" applyBorder="1"/>
    <xf numFmtId="164" fontId="45" fillId="5" borderId="0" xfId="1" applyNumberFormat="1" applyFont="1" applyFill="1"/>
    <xf numFmtId="0" fontId="50" fillId="5" borderId="0" xfId="0" applyFont="1" applyFill="1"/>
    <xf numFmtId="44" fontId="45" fillId="5" borderId="0" xfId="0" applyNumberFormat="1" applyFont="1" applyFill="1"/>
    <xf numFmtId="14" fontId="45" fillId="5" borderId="7" xfId="0" applyNumberFormat="1" applyFont="1" applyFill="1" applyBorder="1"/>
    <xf numFmtId="0" fontId="45" fillId="5" borderId="8" xfId="0" applyFont="1" applyFill="1" applyBorder="1"/>
    <xf numFmtId="14" fontId="20" fillId="5" borderId="7" xfId="0" applyNumberFormat="1" applyFont="1" applyFill="1" applyBorder="1"/>
    <xf numFmtId="0" fontId="20" fillId="5" borderId="0" xfId="0" applyFont="1" applyFill="1" applyAlignment="1">
      <alignment horizontal="right"/>
    </xf>
    <xf numFmtId="0" fontId="54" fillId="5" borderId="0" xfId="0" applyFont="1" applyFill="1" applyAlignment="1">
      <alignment horizontal="right"/>
    </xf>
    <xf numFmtId="171" fontId="19" fillId="5" borderId="0" xfId="0" applyNumberFormat="1" applyFont="1" applyFill="1" applyAlignment="1">
      <alignment horizontal="right"/>
    </xf>
    <xf numFmtId="0" fontId="20" fillId="5" borderId="8" xfId="0" applyFont="1" applyFill="1" applyBorder="1"/>
    <xf numFmtId="0" fontId="45" fillId="10" borderId="10" xfId="0" applyFont="1" applyFill="1" applyBorder="1"/>
    <xf numFmtId="164" fontId="45" fillId="2" borderId="0" xfId="0" applyNumberFormat="1" applyFont="1" applyFill="1"/>
    <xf numFmtId="14" fontId="45" fillId="2" borderId="7" xfId="0" applyNumberFormat="1" applyFont="1" applyFill="1" applyBorder="1"/>
    <xf numFmtId="0" fontId="45" fillId="2" borderId="0" xfId="0" applyFont="1" applyFill="1" applyAlignment="1">
      <alignment horizontal="right"/>
    </xf>
    <xf numFmtId="0" fontId="50" fillId="2" borderId="0" xfId="0" applyFont="1" applyFill="1" applyAlignment="1">
      <alignment horizontal="right"/>
    </xf>
    <xf numFmtId="0" fontId="45" fillId="2" borderId="0" xfId="0" applyFont="1" applyFill="1" applyAlignment="1">
      <alignment horizontal="left"/>
    </xf>
    <xf numFmtId="0" fontId="45" fillId="2" borderId="0" xfId="0" applyFont="1" applyFill="1"/>
    <xf numFmtId="164" fontId="45" fillId="2" borderId="0" xfId="1" applyNumberFormat="1" applyFont="1" applyFill="1" applyBorder="1"/>
    <xf numFmtId="44" fontId="45" fillId="2" borderId="0" xfId="1" applyFont="1" applyFill="1" applyBorder="1"/>
    <xf numFmtId="44" fontId="45" fillId="2" borderId="0" xfId="0" applyNumberFormat="1" applyFont="1" applyFill="1"/>
    <xf numFmtId="0" fontId="45" fillId="2" borderId="8" xfId="0" applyFont="1" applyFill="1" applyBorder="1"/>
    <xf numFmtId="14" fontId="45" fillId="2" borderId="7" xfId="0" applyNumberFormat="1" applyFont="1" applyFill="1" applyBorder="1" applyAlignment="1">
      <alignment horizontal="center"/>
    </xf>
    <xf numFmtId="0" fontId="45" fillId="2" borderId="14" xfId="0" applyFont="1" applyFill="1" applyBorder="1"/>
    <xf numFmtId="0" fontId="44" fillId="2" borderId="0" xfId="0" applyFont="1" applyFill="1" applyAlignment="1">
      <alignment horizontal="right"/>
    </xf>
    <xf numFmtId="0" fontId="44" fillId="2" borderId="0" xfId="0" applyFont="1" applyFill="1"/>
    <xf numFmtId="44" fontId="45" fillId="2" borderId="0" xfId="1" applyFont="1" applyFill="1"/>
    <xf numFmtId="2" fontId="45" fillId="2" borderId="0" xfId="0" applyNumberFormat="1" applyFont="1" applyFill="1" applyAlignment="1">
      <alignment horizontal="right"/>
    </xf>
    <xf numFmtId="2" fontId="45" fillId="2" borderId="0" xfId="0" applyNumberFormat="1" applyFont="1" applyFill="1"/>
    <xf numFmtId="0" fontId="45" fillId="2" borderId="7" xfId="0" applyFont="1" applyFill="1" applyBorder="1"/>
    <xf numFmtId="14" fontId="45" fillId="2" borderId="0" xfId="0" applyNumberFormat="1" applyFont="1" applyFill="1" applyAlignment="1">
      <alignment horizontal="center"/>
    </xf>
    <xf numFmtId="14" fontId="45" fillId="6" borderId="0" xfId="0" applyNumberFormat="1" applyFont="1" applyFill="1" applyAlignment="1">
      <alignment horizontal="center"/>
    </xf>
    <xf numFmtId="0" fontId="44" fillId="6" borderId="0" xfId="0" applyFont="1" applyFill="1" applyAlignment="1">
      <alignment horizontal="right"/>
    </xf>
    <xf numFmtId="0" fontId="50" fillId="6" borderId="0" xfId="0" applyFont="1" applyFill="1" applyAlignment="1">
      <alignment horizontal="right"/>
    </xf>
    <xf numFmtId="0" fontId="45" fillId="6" borderId="0" xfId="0" applyFont="1" applyFill="1"/>
    <xf numFmtId="0" fontId="45" fillId="6" borderId="14" xfId="0" applyFont="1" applyFill="1" applyBorder="1"/>
    <xf numFmtId="0" fontId="51" fillId="2" borderId="0" xfId="0" applyFont="1" applyFill="1"/>
    <xf numFmtId="0" fontId="44" fillId="2" borderId="0" xfId="0" applyFont="1" applyFill="1" applyAlignment="1">
      <alignment horizontal="left"/>
    </xf>
    <xf numFmtId="0" fontId="53" fillId="2" borderId="0" xfId="0" applyFont="1" applyFill="1" applyAlignment="1">
      <alignment horizontal="right"/>
    </xf>
    <xf numFmtId="164" fontId="45" fillId="2" borderId="0" xfId="1" applyNumberFormat="1" applyFont="1" applyFill="1"/>
    <xf numFmtId="14" fontId="45" fillId="2" borderId="0" xfId="0" applyNumberFormat="1" applyFont="1" applyFill="1"/>
    <xf numFmtId="14" fontId="49" fillId="2" borderId="0" xfId="0" applyNumberFormat="1" applyFont="1" applyFill="1"/>
    <xf numFmtId="0" fontId="47" fillId="2" borderId="0" xfId="0" applyFont="1" applyFill="1" applyAlignment="1">
      <alignment horizontal="right"/>
    </xf>
    <xf numFmtId="0" fontId="48" fillId="2" borderId="0" xfId="0" applyFont="1" applyFill="1" applyAlignment="1">
      <alignment horizontal="right"/>
    </xf>
    <xf numFmtId="0" fontId="49" fillId="2" borderId="0" xfId="0" applyFont="1" applyFill="1"/>
    <xf numFmtId="0" fontId="47" fillId="2" borderId="0" xfId="0" applyFont="1" applyFill="1"/>
    <xf numFmtId="2" fontId="49" fillId="2" borderId="0" xfId="0" applyNumberFormat="1" applyFont="1" applyFill="1"/>
    <xf numFmtId="44" fontId="49" fillId="2" borderId="0" xfId="1" applyFont="1" applyFill="1" applyBorder="1"/>
    <xf numFmtId="164" fontId="49" fillId="2" borderId="0" xfId="1" applyNumberFormat="1" applyFont="1" applyFill="1"/>
    <xf numFmtId="0" fontId="50" fillId="2" borderId="0" xfId="0" applyFont="1" applyFill="1"/>
    <xf numFmtId="44" fontId="49" fillId="2" borderId="0" xfId="0" applyNumberFormat="1" applyFont="1" applyFill="1"/>
    <xf numFmtId="0" fontId="49" fillId="2" borderId="14" xfId="0" applyFont="1" applyFill="1" applyBorder="1"/>
    <xf numFmtId="44" fontId="44" fillId="2" borderId="0" xfId="1" applyFont="1" applyFill="1" applyBorder="1"/>
    <xf numFmtId="44" fontId="44" fillId="2" borderId="0" xfId="0" applyNumberFormat="1" applyFont="1" applyFill="1"/>
    <xf numFmtId="2" fontId="44" fillId="2" borderId="0" xfId="0" applyNumberFormat="1" applyFont="1" applyFill="1"/>
    <xf numFmtId="0" fontId="44" fillId="6" borderId="0" xfId="0" applyFont="1" applyFill="1"/>
    <xf numFmtId="0" fontId="44" fillId="6" borderId="0" xfId="0" applyFont="1" applyFill="1" applyAlignment="1">
      <alignment horizontal="left"/>
    </xf>
    <xf numFmtId="164" fontId="44" fillId="6" borderId="0" xfId="1" applyNumberFormat="1" applyFont="1" applyFill="1" applyBorder="1"/>
    <xf numFmtId="164" fontId="44" fillId="6" borderId="0" xfId="0" applyNumberFormat="1" applyFont="1" applyFill="1"/>
    <xf numFmtId="0" fontId="44" fillId="13" borderId="0" xfId="0" applyFont="1" applyFill="1" applyAlignment="1">
      <alignment horizontal="right"/>
    </xf>
    <xf numFmtId="0" fontId="50" fillId="13" borderId="0" xfId="0" applyFont="1" applyFill="1" applyAlignment="1">
      <alignment horizontal="right"/>
    </xf>
    <xf numFmtId="0" fontId="44" fillId="13" borderId="0" xfId="0" applyFont="1" applyFill="1" applyAlignment="1">
      <alignment horizontal="left"/>
    </xf>
    <xf numFmtId="0" fontId="44" fillId="13" borderId="0" xfId="0" applyFont="1" applyFill="1"/>
    <xf numFmtId="164" fontId="44" fillId="13" borderId="0" xfId="1" applyNumberFormat="1" applyFont="1" applyFill="1" applyBorder="1"/>
    <xf numFmtId="0" fontId="50" fillId="13" borderId="0" xfId="0" applyFont="1" applyFill="1" applyAlignment="1">
      <alignment horizontal="left"/>
    </xf>
    <xf numFmtId="14" fontId="44" fillId="13" borderId="0" xfId="0" applyNumberFormat="1" applyFont="1" applyFill="1" applyAlignment="1">
      <alignment horizontal="center"/>
    </xf>
    <xf numFmtId="164" fontId="44" fillId="13" borderId="0" xfId="0" applyNumberFormat="1" applyFont="1" applyFill="1"/>
    <xf numFmtId="0" fontId="44" fillId="13" borderId="14" xfId="0" applyFont="1" applyFill="1" applyBorder="1"/>
    <xf numFmtId="44" fontId="44" fillId="13" borderId="0" xfId="1" applyFont="1" applyFill="1"/>
    <xf numFmtId="2" fontId="44" fillId="13" borderId="0" xfId="0" applyNumberFormat="1" applyFont="1" applyFill="1"/>
    <xf numFmtId="44" fontId="44" fillId="13" borderId="0" xfId="1" applyFont="1" applyFill="1" applyBorder="1"/>
    <xf numFmtId="0" fontId="52" fillId="13" borderId="0" xfId="0" applyFont="1" applyFill="1"/>
    <xf numFmtId="2" fontId="52" fillId="13" borderId="0" xfId="0" applyNumberFormat="1" applyFont="1" applyFill="1"/>
    <xf numFmtId="44" fontId="44" fillId="13" borderId="0" xfId="0" applyNumberFormat="1" applyFont="1" applyFill="1"/>
    <xf numFmtId="0" fontId="44" fillId="6" borderId="0" xfId="0" applyFont="1" applyFill="1" applyAlignment="1">
      <alignment horizontal="center"/>
    </xf>
    <xf numFmtId="44" fontId="47" fillId="6" borderId="0" xfId="0" applyNumberFormat="1" applyFont="1" applyFill="1"/>
    <xf numFmtId="164" fontId="47" fillId="6" borderId="0" xfId="0" applyNumberFormat="1" applyFont="1" applyFill="1"/>
    <xf numFmtId="0" fontId="44" fillId="6" borderId="14" xfId="0" applyFont="1" applyFill="1" applyBorder="1"/>
    <xf numFmtId="44" fontId="44" fillId="6" borderId="0" xfId="1" applyFont="1" applyFill="1"/>
    <xf numFmtId="44" fontId="44" fillId="2" borderId="0" xfId="1" applyFont="1" applyFill="1"/>
    <xf numFmtId="164" fontId="49" fillId="2" borderId="0" xfId="1" applyNumberFormat="1" applyFont="1" applyFill="1" applyBorder="1"/>
    <xf numFmtId="14" fontId="44" fillId="13" borderId="7" xfId="0" applyNumberFormat="1" applyFont="1" applyFill="1" applyBorder="1"/>
    <xf numFmtId="0" fontId="44" fillId="13" borderId="8" xfId="0" applyFont="1" applyFill="1" applyBorder="1"/>
    <xf numFmtId="14" fontId="44" fillId="13" borderId="7" xfId="0" applyNumberFormat="1" applyFont="1" applyFill="1" applyBorder="1" applyAlignment="1">
      <alignment horizontal="center"/>
    </xf>
    <xf numFmtId="170" fontId="45" fillId="2" borderId="0" xfId="0" applyNumberFormat="1" applyFont="1" applyFill="1"/>
    <xf numFmtId="164" fontId="2" fillId="29" borderId="2" xfId="0" applyNumberFormat="1" applyFont="1" applyFill="1" applyBorder="1"/>
    <xf numFmtId="44" fontId="47" fillId="2" borderId="0" xfId="1" applyFont="1" applyFill="1" applyBorder="1"/>
    <xf numFmtId="44" fontId="47" fillId="2" borderId="0" xfId="0" applyNumberFormat="1" applyFont="1" applyFill="1"/>
    <xf numFmtId="1" fontId="45" fillId="2" borderId="0" xfId="0" applyNumberFormat="1" applyFont="1" applyFill="1"/>
    <xf numFmtId="14" fontId="0" fillId="2" borderId="0" xfId="0" applyNumberFormat="1" applyFill="1"/>
    <xf numFmtId="0" fontId="4" fillId="2" borderId="0" xfId="0" applyFont="1" applyFill="1" applyAlignment="1">
      <alignment horizontal="left"/>
    </xf>
    <xf numFmtId="164" fontId="0" fillId="2" borderId="0" xfId="1" applyNumberFormat="1" applyFont="1" applyFill="1" applyBorder="1"/>
    <xf numFmtId="44" fontId="44" fillId="5" borderId="0" xfId="1" applyFont="1" applyFill="1"/>
    <xf numFmtId="14" fontId="47" fillId="2" borderId="7" xfId="0" applyNumberFormat="1" applyFont="1" applyFill="1" applyBorder="1"/>
    <xf numFmtId="0" fontId="47" fillId="2" borderId="0" xfId="0" applyFont="1" applyFill="1" applyAlignment="1">
      <alignment horizontal="right" textRotation="90"/>
    </xf>
    <xf numFmtId="0" fontId="55" fillId="2" borderId="0" xfId="0" applyFont="1" applyFill="1" applyAlignment="1">
      <alignment horizontal="right" textRotation="90"/>
    </xf>
    <xf numFmtId="2" fontId="47" fillId="2" borderId="0" xfId="0" applyNumberFormat="1" applyFont="1" applyFill="1" applyAlignment="1">
      <alignment horizontal="right"/>
    </xf>
    <xf numFmtId="0" fontId="47" fillId="2" borderId="0" xfId="0" applyFont="1" applyFill="1" applyAlignment="1">
      <alignment horizontal="left"/>
    </xf>
    <xf numFmtId="164" fontId="47" fillId="2" borderId="0" xfId="1" applyNumberFormat="1" applyFont="1" applyFill="1" applyBorder="1"/>
    <xf numFmtId="0" fontId="47" fillId="2" borderId="8" xfId="0" applyFont="1" applyFill="1" applyBorder="1"/>
    <xf numFmtId="0" fontId="27" fillId="2" borderId="8" xfId="0" applyFont="1" applyFill="1" applyBorder="1"/>
    <xf numFmtId="44" fontId="25" fillId="2" borderId="0" xfId="1" applyFont="1" applyFill="1" applyBorder="1"/>
    <xf numFmtId="14" fontId="25" fillId="2" borderId="7" xfId="0" applyNumberFormat="1" applyFont="1" applyFill="1" applyBorder="1" applyAlignment="1">
      <alignment horizontal="center"/>
    </xf>
    <xf numFmtId="0" fontId="25" fillId="2" borderId="8" xfId="0" applyFont="1" applyFill="1" applyBorder="1"/>
    <xf numFmtId="167" fontId="32" fillId="2" borderId="0" xfId="1" applyNumberFormat="1" applyFont="1" applyFill="1" applyBorder="1" applyAlignment="1">
      <alignment horizontal="center"/>
    </xf>
    <xf numFmtId="164" fontId="27" fillId="2" borderId="0" xfId="1" applyNumberFormat="1" applyFont="1" applyFill="1" applyBorder="1"/>
    <xf numFmtId="0" fontId="27" fillId="13" borderId="7" xfId="0" applyFont="1" applyFill="1" applyBorder="1" applyAlignment="1">
      <alignment horizontal="center"/>
    </xf>
    <xf numFmtId="0" fontId="27" fillId="13" borderId="8" xfId="0" applyFont="1" applyFill="1" applyBorder="1"/>
    <xf numFmtId="14" fontId="27" fillId="13" borderId="7" xfId="0" applyNumberFormat="1" applyFont="1" applyFill="1" applyBorder="1" applyAlignment="1">
      <alignment horizontal="center"/>
    </xf>
    <xf numFmtId="44" fontId="27" fillId="13" borderId="0" xfId="1" applyFont="1" applyFill="1" applyBorder="1"/>
    <xf numFmtId="167" fontId="32" fillId="13" borderId="0" xfId="1" applyNumberFormat="1" applyFont="1" applyFill="1" applyBorder="1" applyAlignment="1">
      <alignment horizontal="center"/>
    </xf>
    <xf numFmtId="44" fontId="26" fillId="2" borderId="0" xfId="1" applyFont="1" applyFill="1" applyBorder="1"/>
    <xf numFmtId="164" fontId="0" fillId="13" borderId="0" xfId="1" applyNumberFormat="1" applyFont="1" applyFill="1" applyBorder="1"/>
    <xf numFmtId="0" fontId="50" fillId="3" borderId="0" xfId="0" applyFont="1" applyFill="1" applyAlignment="1">
      <alignment horizontal="right"/>
    </xf>
    <xf numFmtId="0" fontId="45" fillId="3" borderId="0" xfId="0" applyFont="1" applyFill="1" applyAlignment="1">
      <alignment horizontal="left"/>
    </xf>
    <xf numFmtId="0" fontId="45" fillId="3" borderId="0" xfId="0" applyFont="1" applyFill="1"/>
    <xf numFmtId="44" fontId="45" fillId="3" borderId="0" xfId="1" applyFont="1" applyFill="1"/>
    <xf numFmtId="44" fontId="45" fillId="3" borderId="0" xfId="0" applyNumberFormat="1" applyFont="1" applyFill="1"/>
    <xf numFmtId="44" fontId="45" fillId="3" borderId="0" xfId="1" applyFont="1" applyFill="1" applyBorder="1"/>
    <xf numFmtId="0" fontId="19" fillId="5" borderId="0" xfId="0" applyFont="1" applyFill="1"/>
    <xf numFmtId="14" fontId="45" fillId="0" borderId="7" xfId="0" applyNumberFormat="1" applyFont="1" applyBorder="1"/>
    <xf numFmtId="0" fontId="45" fillId="23" borderId="0" xfId="0" applyFont="1" applyFill="1"/>
    <xf numFmtId="1" fontId="47" fillId="2" borderId="0" xfId="0" applyNumberFormat="1" applyFont="1" applyFill="1"/>
    <xf numFmtId="0" fontId="49" fillId="2" borderId="0" xfId="0" applyFont="1" applyFill="1" applyAlignment="1">
      <alignment horizontal="left"/>
    </xf>
    <xf numFmtId="44" fontId="49" fillId="2" borderId="0" xfId="1" applyFont="1" applyFill="1"/>
    <xf numFmtId="14" fontId="27" fillId="28" borderId="7" xfId="0" applyNumberFormat="1" applyFont="1" applyFill="1" applyBorder="1" applyAlignment="1">
      <alignment horizontal="center"/>
    </xf>
    <xf numFmtId="0" fontId="27" fillId="28" borderId="8" xfId="0" applyFont="1" applyFill="1" applyBorder="1"/>
    <xf numFmtId="44" fontId="27" fillId="28" borderId="0" xfId="1" applyFont="1" applyFill="1" applyBorder="1"/>
    <xf numFmtId="165" fontId="32" fillId="28" borderId="0" xfId="1" applyNumberFormat="1" applyFont="1" applyFill="1" applyBorder="1" applyAlignment="1">
      <alignment horizontal="center"/>
    </xf>
    <xf numFmtId="0" fontId="25" fillId="2" borderId="5" xfId="0" applyFont="1" applyFill="1" applyBorder="1" applyAlignment="1">
      <alignment horizontal="center" vertical="center" wrapText="1"/>
    </xf>
    <xf numFmtId="44" fontId="25" fillId="13" borderId="0" xfId="0" applyNumberFormat="1" applyFont="1" applyFill="1"/>
    <xf numFmtId="44" fontId="26" fillId="13" borderId="0" xfId="1" applyFont="1" applyFill="1" applyBorder="1"/>
    <xf numFmtId="44" fontId="13" fillId="13" borderId="0" xfId="1" applyFont="1" applyFill="1" applyBorder="1"/>
    <xf numFmtId="44" fontId="25" fillId="28" borderId="0" xfId="1" applyFont="1" applyFill="1" applyBorder="1"/>
    <xf numFmtId="44" fontId="27" fillId="2" borderId="0" xfId="0" applyNumberFormat="1" applyFont="1" applyFill="1"/>
    <xf numFmtId="0" fontId="25" fillId="2" borderId="4" xfId="0" applyFont="1" applyFill="1" applyBorder="1" applyAlignment="1">
      <alignment horizontal="center" vertical="center" wrapText="1"/>
    </xf>
    <xf numFmtId="0" fontId="25" fillId="2" borderId="6" xfId="0" applyFont="1" applyFill="1" applyBorder="1" applyAlignment="1">
      <alignment horizontal="center" vertical="center" wrapText="1"/>
    </xf>
    <xf numFmtId="44" fontId="25" fillId="2" borderId="5" xfId="1" applyFont="1" applyFill="1" applyBorder="1" applyAlignment="1">
      <alignment horizontal="center" vertical="center" wrapText="1"/>
    </xf>
    <xf numFmtId="44" fontId="25" fillId="2" borderId="12" xfId="1" applyFont="1" applyFill="1" applyBorder="1" applyAlignment="1">
      <alignment horizontal="center" vertical="center" wrapText="1"/>
    </xf>
    <xf numFmtId="0" fontId="25" fillId="2" borderId="12" xfId="0" applyFont="1" applyFill="1" applyBorder="1" applyAlignment="1">
      <alignment horizontal="center" vertical="center" wrapText="1"/>
    </xf>
    <xf numFmtId="0" fontId="27" fillId="2" borderId="0" xfId="0" applyFont="1" applyFill="1" applyAlignment="1">
      <alignment horizontal="left"/>
    </xf>
    <xf numFmtId="0" fontId="25" fillId="2" borderId="0" xfId="0" applyFont="1" applyFill="1" applyAlignment="1">
      <alignment horizontal="left"/>
    </xf>
    <xf numFmtId="170" fontId="13" fillId="2" borderId="0" xfId="0" applyNumberFormat="1" applyFont="1" applyFill="1"/>
    <xf numFmtId="9" fontId="27" fillId="2" borderId="0" xfId="2" applyFont="1" applyFill="1" applyBorder="1"/>
    <xf numFmtId="0" fontId="13" fillId="2" borderId="0" xfId="0" applyFont="1" applyFill="1"/>
    <xf numFmtId="169" fontId="13" fillId="2" borderId="0" xfId="2" applyNumberFormat="1" applyFont="1" applyFill="1" applyBorder="1"/>
    <xf numFmtId="44" fontId="26" fillId="2" borderId="0" xfId="0" applyNumberFormat="1" applyFont="1" applyFill="1"/>
    <xf numFmtId="0" fontId="27" fillId="28" borderId="0" xfId="0" applyFont="1" applyFill="1"/>
    <xf numFmtId="0" fontId="29" fillId="2" borderId="0" xfId="0" applyFont="1" applyFill="1"/>
    <xf numFmtId="1" fontId="13" fillId="2" borderId="0" xfId="0" applyNumberFormat="1" applyFont="1" applyFill="1"/>
    <xf numFmtId="0" fontId="28" fillId="2" borderId="0" xfId="0" applyFont="1" applyFill="1"/>
    <xf numFmtId="44" fontId="13" fillId="2" borderId="0" xfId="0" applyNumberFormat="1" applyFont="1" applyFill="1"/>
    <xf numFmtId="1" fontId="26" fillId="3" borderId="0" xfId="0" applyNumberFormat="1" applyFont="1" applyFill="1"/>
    <xf numFmtId="0" fontId="26" fillId="3" borderId="0" xfId="0" applyFont="1" applyFill="1"/>
    <xf numFmtId="164" fontId="25" fillId="3" borderId="0" xfId="1" applyNumberFormat="1" applyFont="1" applyFill="1" applyBorder="1"/>
    <xf numFmtId="164" fontId="25" fillId="2" borderId="0" xfId="1" applyNumberFormat="1" applyFont="1" applyFill="1" applyBorder="1"/>
    <xf numFmtId="0" fontId="27" fillId="27" borderId="0" xfId="0" applyFont="1" applyFill="1"/>
    <xf numFmtId="0" fontId="31" fillId="13" borderId="0" xfId="0" applyFont="1" applyFill="1"/>
    <xf numFmtId="0" fontId="27" fillId="13" borderId="0" xfId="0" applyFont="1" applyFill="1"/>
    <xf numFmtId="44" fontId="27" fillId="13" borderId="0" xfId="0" applyNumberFormat="1" applyFont="1" applyFill="1"/>
    <xf numFmtId="164" fontId="27" fillId="13" borderId="0" xfId="1" applyNumberFormat="1" applyFont="1" applyFill="1" applyBorder="1"/>
    <xf numFmtId="164" fontId="27" fillId="29" borderId="0" xfId="1" applyNumberFormat="1" applyFont="1" applyFill="1" applyBorder="1"/>
    <xf numFmtId="0" fontId="25" fillId="27" borderId="0" xfId="0" applyFont="1" applyFill="1"/>
    <xf numFmtId="164" fontId="25" fillId="13" borderId="0" xfId="0" applyNumberFormat="1" applyFont="1" applyFill="1"/>
    <xf numFmtId="0" fontId="29" fillId="13" borderId="0" xfId="0" applyFont="1" applyFill="1"/>
    <xf numFmtId="0" fontId="27" fillId="13" borderId="0" xfId="0" applyFont="1" applyFill="1" applyAlignment="1">
      <alignment horizontal="left"/>
    </xf>
    <xf numFmtId="0" fontId="29" fillId="2" borderId="0" xfId="0" applyFont="1" applyFill="1" applyAlignment="1">
      <alignment horizontal="left"/>
    </xf>
    <xf numFmtId="0" fontId="29" fillId="13" borderId="0" xfId="0" applyFont="1" applyFill="1" applyAlignment="1">
      <alignment horizontal="left"/>
    </xf>
    <xf numFmtId="164" fontId="25" fillId="29" borderId="0" xfId="0" applyNumberFormat="1" applyFont="1" applyFill="1"/>
    <xf numFmtId="1" fontId="27" fillId="2" borderId="0" xfId="0" applyNumberFormat="1" applyFont="1" applyFill="1"/>
    <xf numFmtId="44" fontId="25" fillId="2" borderId="0" xfId="0" applyNumberFormat="1" applyFont="1" applyFill="1"/>
    <xf numFmtId="164" fontId="25" fillId="13" borderId="0" xfId="1" applyNumberFormat="1" applyFont="1" applyFill="1" applyBorder="1"/>
    <xf numFmtId="0" fontId="30" fillId="28" borderId="0" xfId="0" applyFont="1" applyFill="1" applyAlignment="1">
      <alignment horizontal="left"/>
    </xf>
    <xf numFmtId="0" fontId="25" fillId="28" borderId="0" xfId="0" applyFont="1" applyFill="1" applyAlignment="1">
      <alignment horizontal="left"/>
    </xf>
    <xf numFmtId="0" fontId="25" fillId="28" borderId="0" xfId="0" applyFont="1" applyFill="1"/>
    <xf numFmtId="44" fontId="25" fillId="28" borderId="0" xfId="0" applyNumberFormat="1" applyFont="1" applyFill="1"/>
    <xf numFmtId="164" fontId="25" fillId="28" borderId="0" xfId="0" applyNumberFormat="1" applyFont="1" applyFill="1"/>
    <xf numFmtId="164" fontId="13" fillId="28" borderId="0" xfId="1" applyNumberFormat="1" applyFont="1" applyFill="1" applyBorder="1"/>
    <xf numFmtId="0" fontId="30" fillId="29" borderId="0" xfId="0" applyFont="1" applyFill="1" applyAlignment="1">
      <alignment horizontal="left"/>
    </xf>
    <xf numFmtId="164" fontId="27" fillId="28" borderId="0" xfId="0" applyNumberFormat="1" applyFont="1" applyFill="1"/>
    <xf numFmtId="0" fontId="30" fillId="28" borderId="0" xfId="0" applyFont="1" applyFill="1"/>
    <xf numFmtId="0" fontId="13" fillId="28" borderId="0" xfId="0" applyFont="1" applyFill="1" applyAlignment="1">
      <alignment horizontal="left"/>
    </xf>
    <xf numFmtId="0" fontId="13" fillId="28" borderId="0" xfId="0" applyFont="1" applyFill="1"/>
    <xf numFmtId="0" fontId="30" fillId="13" borderId="0" xfId="0" applyFont="1" applyFill="1" applyAlignment="1">
      <alignment horizontal="left"/>
    </xf>
    <xf numFmtId="0" fontId="30" fillId="2" borderId="0" xfId="0" applyFont="1" applyFill="1" applyAlignment="1">
      <alignment horizontal="left"/>
    </xf>
    <xf numFmtId="164" fontId="13" fillId="2" borderId="0" xfId="1" applyNumberFormat="1" applyFont="1" applyFill="1" applyBorder="1"/>
    <xf numFmtId="164" fontId="25" fillId="12" borderId="0" xfId="1" applyNumberFormat="1" applyFont="1" applyFill="1" applyBorder="1"/>
    <xf numFmtId="0" fontId="27" fillId="2" borderId="0" xfId="0" applyFont="1" applyFill="1" applyAlignment="1">
      <alignment horizontal="right"/>
    </xf>
    <xf numFmtId="0" fontId="25" fillId="3" borderId="8" xfId="0" applyFont="1" applyFill="1" applyBorder="1"/>
    <xf numFmtId="0" fontId="27" fillId="27" borderId="8" xfId="0" applyFont="1" applyFill="1" applyBorder="1"/>
    <xf numFmtId="0" fontId="29" fillId="2" borderId="8" xfId="0" applyFont="1" applyFill="1" applyBorder="1"/>
    <xf numFmtId="14" fontId="27" fillId="2" borderId="7" xfId="0" applyNumberFormat="1" applyFont="1" applyFill="1" applyBorder="1" applyAlignment="1">
      <alignment horizontal="left"/>
    </xf>
    <xf numFmtId="44" fontId="27" fillId="3" borderId="10" xfId="1" applyFont="1" applyFill="1" applyBorder="1"/>
    <xf numFmtId="44" fontId="26" fillId="3" borderId="10" xfId="0" applyNumberFormat="1" applyFont="1" applyFill="1" applyBorder="1" applyAlignment="1">
      <alignment vertical="center"/>
    </xf>
    <xf numFmtId="44" fontId="13" fillId="3" borderId="10" xfId="0" applyNumberFormat="1" applyFont="1" applyFill="1" applyBorder="1" applyAlignment="1">
      <alignment vertical="center"/>
    </xf>
    <xf numFmtId="164" fontId="26" fillId="3" borderId="10" xfId="0" applyNumberFormat="1" applyFont="1" applyFill="1" applyBorder="1" applyAlignment="1">
      <alignment vertical="center"/>
    </xf>
    <xf numFmtId="0" fontId="25" fillId="3" borderId="11" xfId="0" applyFont="1" applyFill="1" applyBorder="1"/>
    <xf numFmtId="164" fontId="26" fillId="28" borderId="0" xfId="1" applyNumberFormat="1" applyFont="1" applyFill="1" applyBorder="1"/>
    <xf numFmtId="14" fontId="27" fillId="25" borderId="7" xfId="0" applyNumberFormat="1" applyFont="1" applyFill="1" applyBorder="1" applyAlignment="1">
      <alignment horizontal="center"/>
    </xf>
    <xf numFmtId="0" fontId="27" fillId="25" borderId="0" xfId="0" applyFont="1" applyFill="1"/>
    <xf numFmtId="44" fontId="27" fillId="25" borderId="0" xfId="1" applyFont="1" applyFill="1" applyBorder="1"/>
    <xf numFmtId="44" fontId="25" fillId="25" borderId="0" xfId="1" applyFont="1" applyFill="1" applyBorder="1"/>
    <xf numFmtId="165" fontId="32" fillId="25" borderId="0" xfId="1" applyNumberFormat="1" applyFont="1" applyFill="1" applyBorder="1" applyAlignment="1">
      <alignment horizontal="center"/>
    </xf>
    <xf numFmtId="164" fontId="13" fillId="25" borderId="0" xfId="1" applyNumberFormat="1" applyFont="1" applyFill="1" applyBorder="1"/>
    <xf numFmtId="0" fontId="27" fillId="25" borderId="8" xfId="0" applyFont="1" applyFill="1" applyBorder="1"/>
    <xf numFmtId="0" fontId="26" fillId="25" borderId="0" xfId="0" applyFont="1" applyFill="1" applyAlignment="1">
      <alignment horizontal="left"/>
    </xf>
    <xf numFmtId="165" fontId="57" fillId="25" borderId="0" xfId="1" applyNumberFormat="1" applyFont="1" applyFill="1" applyBorder="1" applyAlignment="1">
      <alignment horizontal="center"/>
    </xf>
    <xf numFmtId="164" fontId="26" fillId="25" borderId="0" xfId="1" applyNumberFormat="1" applyFont="1" applyFill="1" applyBorder="1"/>
    <xf numFmtId="164" fontId="27" fillId="25" borderId="0" xfId="0" applyNumberFormat="1" applyFont="1" applyFill="1"/>
    <xf numFmtId="164" fontId="25" fillId="25" borderId="0" xfId="0" applyNumberFormat="1" applyFont="1" applyFill="1"/>
    <xf numFmtId="0" fontId="13" fillId="25" borderId="0" xfId="0" applyFont="1" applyFill="1" applyAlignment="1">
      <alignment horizontal="left"/>
    </xf>
    <xf numFmtId="0" fontId="25" fillId="25" borderId="0" xfId="0" applyFont="1" applyFill="1"/>
    <xf numFmtId="0" fontId="13" fillId="25" borderId="0" xfId="0" applyFont="1" applyFill="1"/>
    <xf numFmtId="44" fontId="25" fillId="25" borderId="0" xfId="0" applyNumberFormat="1" applyFont="1" applyFill="1"/>
    <xf numFmtId="0" fontId="30" fillId="25" borderId="0" xfId="0" applyFont="1" applyFill="1"/>
    <xf numFmtId="164" fontId="27" fillId="25" borderId="0" xfId="1" applyNumberFormat="1" applyFont="1" applyFill="1" applyBorder="1"/>
    <xf numFmtId="14" fontId="45" fillId="25" borderId="0" xfId="0" applyNumberFormat="1" applyFont="1" applyFill="1"/>
    <xf numFmtId="0" fontId="44" fillId="25" borderId="0" xfId="0" applyFont="1" applyFill="1"/>
    <xf numFmtId="0" fontId="45" fillId="25" borderId="0" xfId="0" applyFont="1" applyFill="1"/>
    <xf numFmtId="0" fontId="44" fillId="25" borderId="0" xfId="0" applyFont="1" applyFill="1" applyAlignment="1">
      <alignment horizontal="left"/>
    </xf>
    <xf numFmtId="164" fontId="45" fillId="25" borderId="0" xfId="1" applyNumberFormat="1" applyFont="1" applyFill="1" applyBorder="1"/>
    <xf numFmtId="44" fontId="45" fillId="25" borderId="0" xfId="1" applyFont="1" applyFill="1" applyBorder="1"/>
    <xf numFmtId="44" fontId="45" fillId="25" borderId="0" xfId="0" applyNumberFormat="1" applyFont="1" applyFill="1"/>
    <xf numFmtId="14" fontId="45" fillId="25" borderId="0" xfId="0" applyNumberFormat="1" applyFont="1" applyFill="1" applyAlignment="1">
      <alignment horizontal="center"/>
    </xf>
    <xf numFmtId="0" fontId="50" fillId="25" borderId="0" xfId="0" applyFont="1" applyFill="1" applyAlignment="1">
      <alignment horizontal="right"/>
    </xf>
    <xf numFmtId="0" fontId="45" fillId="25" borderId="0" xfId="0" applyFont="1" applyFill="1" applyAlignment="1">
      <alignment horizontal="left"/>
    </xf>
    <xf numFmtId="44" fontId="51" fillId="25" borderId="0" xfId="1" applyFont="1" applyFill="1" applyBorder="1"/>
    <xf numFmtId="0" fontId="50" fillId="25" borderId="0" xfId="0" applyFont="1" applyFill="1" applyAlignment="1">
      <alignment horizontal="left"/>
    </xf>
    <xf numFmtId="0" fontId="2" fillId="25" borderId="0" xfId="0" applyFont="1" applyFill="1"/>
    <xf numFmtId="167" fontId="57" fillId="25" borderId="0" xfId="1" applyNumberFormat="1" applyFont="1" applyFill="1" applyBorder="1" applyAlignment="1">
      <alignment horizontal="center"/>
    </xf>
    <xf numFmtId="167" fontId="26" fillId="25" borderId="0" xfId="1" applyNumberFormat="1" applyFont="1" applyFill="1" applyBorder="1"/>
    <xf numFmtId="0" fontId="30" fillId="25" borderId="0" xfId="0" applyFont="1" applyFill="1" applyAlignment="1">
      <alignment horizontal="left"/>
    </xf>
    <xf numFmtId="0" fontId="33" fillId="2" borderId="7" xfId="0" applyFont="1" applyFill="1" applyBorder="1"/>
    <xf numFmtId="44" fontId="26" fillId="2" borderId="0" xfId="0" applyNumberFormat="1" applyFont="1" applyFill="1" applyAlignment="1">
      <alignment vertical="center"/>
    </xf>
    <xf numFmtId="44" fontId="13" fillId="2" borderId="0" xfId="0" applyNumberFormat="1" applyFont="1" applyFill="1" applyAlignment="1">
      <alignment vertical="center"/>
    </xf>
    <xf numFmtId="164" fontId="26" fillId="2" borderId="0" xfId="0" applyNumberFormat="1" applyFont="1" applyFill="1" applyAlignment="1">
      <alignment vertical="center"/>
    </xf>
    <xf numFmtId="164" fontId="26" fillId="13" borderId="0" xfId="1" applyNumberFormat="1" applyFont="1" applyFill="1" applyBorder="1"/>
    <xf numFmtId="0" fontId="25" fillId="27" borderId="7" xfId="0" applyFont="1" applyFill="1" applyBorder="1"/>
    <xf numFmtId="44" fontId="27" fillId="27" borderId="0" xfId="1" applyFont="1" applyFill="1" applyBorder="1"/>
    <xf numFmtId="44" fontId="25" fillId="27" borderId="0" xfId="1" applyFont="1" applyFill="1" applyBorder="1"/>
    <xf numFmtId="164" fontId="25" fillId="27" borderId="0" xfId="1" applyNumberFormat="1" applyFont="1" applyFill="1" applyBorder="1"/>
    <xf numFmtId="0" fontId="26" fillId="7" borderId="7" xfId="0" applyFont="1" applyFill="1" applyBorder="1"/>
    <xf numFmtId="0" fontId="26" fillId="7" borderId="0" xfId="0" applyFont="1" applyFill="1"/>
    <xf numFmtId="0" fontId="13" fillId="7" borderId="0" xfId="0" applyFont="1" applyFill="1"/>
    <xf numFmtId="1" fontId="13" fillId="7" borderId="0" xfId="0" applyNumberFormat="1" applyFont="1" applyFill="1"/>
    <xf numFmtId="44" fontId="13" fillId="7" borderId="0" xfId="1" applyFont="1" applyFill="1" applyBorder="1"/>
    <xf numFmtId="44" fontId="26" fillId="7" borderId="0" xfId="0" applyNumberFormat="1" applyFont="1" applyFill="1"/>
    <xf numFmtId="164" fontId="26" fillId="7" borderId="0" xfId="1" applyNumberFormat="1" applyFont="1" applyFill="1" applyBorder="1"/>
    <xf numFmtId="0" fontId="27" fillId="7" borderId="0" xfId="0" applyFont="1" applyFill="1"/>
    <xf numFmtId="0" fontId="25" fillId="7" borderId="8" xfId="0" applyFont="1" applyFill="1" applyBorder="1"/>
    <xf numFmtId="0" fontId="25" fillId="7" borderId="7" xfId="0" applyFont="1" applyFill="1" applyBorder="1" applyAlignment="1">
      <alignment horizontal="left"/>
    </xf>
    <xf numFmtId="0" fontId="25" fillId="7" borderId="0" xfId="0" applyFont="1" applyFill="1" applyAlignment="1">
      <alignment horizontal="left"/>
    </xf>
    <xf numFmtId="0" fontId="25" fillId="7" borderId="0" xfId="0" applyFont="1" applyFill="1"/>
    <xf numFmtId="1" fontId="25" fillId="7" borderId="0" xfId="0" applyNumberFormat="1" applyFont="1" applyFill="1"/>
    <xf numFmtId="44" fontId="25" fillId="7" borderId="0" xfId="1" applyFont="1" applyFill="1" applyBorder="1"/>
    <xf numFmtId="164" fontId="25" fillId="7" borderId="0" xfId="1" applyNumberFormat="1" applyFont="1" applyFill="1" applyBorder="1"/>
    <xf numFmtId="0" fontId="25" fillId="7" borderId="7" xfId="0" applyFont="1" applyFill="1" applyBorder="1"/>
    <xf numFmtId="44" fontId="27" fillId="7" borderId="0" xfId="1" applyFont="1" applyFill="1" applyBorder="1"/>
    <xf numFmtId="0" fontId="27" fillId="7" borderId="8" xfId="0" applyFont="1" applyFill="1" applyBorder="1"/>
    <xf numFmtId="14" fontId="25" fillId="7" borderId="7" xfId="0" applyNumberFormat="1" applyFont="1" applyFill="1" applyBorder="1" applyAlignment="1">
      <alignment horizontal="left"/>
    </xf>
    <xf numFmtId="0" fontId="27" fillId="7" borderId="0" xfId="0" applyFont="1" applyFill="1" applyAlignment="1">
      <alignment horizontal="left"/>
    </xf>
    <xf numFmtId="44" fontId="28" fillId="7" borderId="0" xfId="1" applyFont="1" applyFill="1" applyBorder="1"/>
    <xf numFmtId="14" fontId="25" fillId="7" borderId="4" xfId="0" applyNumberFormat="1" applyFont="1" applyFill="1" applyBorder="1" applyAlignment="1">
      <alignment horizontal="left"/>
    </xf>
    <xf numFmtId="0" fontId="25" fillId="7" borderId="5" xfId="0" applyFont="1" applyFill="1" applyBorder="1"/>
    <xf numFmtId="0" fontId="26" fillId="7" borderId="5" xfId="0" applyFont="1" applyFill="1" applyBorder="1"/>
    <xf numFmtId="0" fontId="13" fillId="7" borderId="5" xfId="0" applyFont="1" applyFill="1" applyBorder="1"/>
    <xf numFmtId="0" fontId="13" fillId="7" borderId="5" xfId="0" applyFont="1" applyFill="1" applyBorder="1" applyAlignment="1">
      <alignment horizontal="left"/>
    </xf>
    <xf numFmtId="44" fontId="13" fillId="7" borderId="5" xfId="1" applyFont="1" applyFill="1" applyBorder="1"/>
    <xf numFmtId="44" fontId="26" fillId="7" borderId="5" xfId="0" applyNumberFormat="1" applyFont="1" applyFill="1" applyBorder="1"/>
    <xf numFmtId="164" fontId="26" fillId="7" borderId="5" xfId="1" applyNumberFormat="1" applyFont="1" applyFill="1" applyBorder="1"/>
    <xf numFmtId="0" fontId="13" fillId="7" borderId="6" xfId="0" applyFont="1" applyFill="1" applyBorder="1"/>
    <xf numFmtId="1" fontId="44" fillId="13" borderId="0" xfId="1" applyNumberFormat="1" applyFont="1" applyFill="1"/>
    <xf numFmtId="1" fontId="9" fillId="2" borderId="22" xfId="0" applyNumberFormat="1" applyFont="1" applyFill="1" applyBorder="1" applyAlignment="1">
      <alignment horizontal="center"/>
    </xf>
    <xf numFmtId="0" fontId="9" fillId="2" borderId="22" xfId="0" applyFont="1" applyFill="1" applyBorder="1" applyAlignment="1">
      <alignment horizontal="center" vertical="top"/>
    </xf>
    <xf numFmtId="0" fontId="9" fillId="2" borderId="22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left"/>
    </xf>
    <xf numFmtId="0" fontId="12" fillId="2" borderId="23" xfId="0" applyFont="1" applyFill="1" applyBorder="1" applyAlignment="1">
      <alignment horizontal="center"/>
    </xf>
    <xf numFmtId="0" fontId="45" fillId="29" borderId="0" xfId="0" applyFont="1" applyFill="1"/>
    <xf numFmtId="14" fontId="44" fillId="2" borderId="0" xfId="0" applyNumberFormat="1" applyFont="1" applyFill="1" applyAlignment="1">
      <alignment horizontal="center"/>
    </xf>
    <xf numFmtId="44" fontId="47" fillId="2" borderId="0" xfId="1" applyFont="1" applyFill="1"/>
    <xf numFmtId="0" fontId="44" fillId="2" borderId="14" xfId="0" applyFont="1" applyFill="1" applyBorder="1"/>
    <xf numFmtId="44" fontId="19" fillId="5" borderId="0" xfId="1" applyFont="1" applyFill="1"/>
    <xf numFmtId="0" fontId="45" fillId="2" borderId="0" xfId="0" applyFont="1" applyFill="1" applyAlignment="1">
      <alignment horizontal="left" wrapText="1"/>
    </xf>
    <xf numFmtId="1" fontId="47" fillId="6" borderId="0" xfId="0" applyNumberFormat="1" applyFont="1" applyFill="1"/>
    <xf numFmtId="0" fontId="3" fillId="29" borderId="0" xfId="0" applyFont="1" applyFill="1" applyAlignment="1">
      <alignment horizontal="right"/>
    </xf>
    <xf numFmtId="0" fontId="0" fillId="29" borderId="0" xfId="0" applyFill="1"/>
    <xf numFmtId="0" fontId="3" fillId="29" borderId="0" xfId="0" applyFont="1" applyFill="1" applyAlignment="1">
      <alignment horizontal="left"/>
    </xf>
    <xf numFmtId="164" fontId="0" fillId="29" borderId="0" xfId="1" applyNumberFormat="1" applyFont="1" applyFill="1" applyBorder="1"/>
    <xf numFmtId="164" fontId="2" fillId="29" borderId="0" xfId="0" applyNumberFormat="1" applyFont="1" applyFill="1"/>
    <xf numFmtId="0" fontId="7" fillId="13" borderId="0" xfId="0" applyFont="1" applyFill="1"/>
    <xf numFmtId="0" fontId="9" fillId="13" borderId="0" xfId="0" applyFont="1" applyFill="1"/>
    <xf numFmtId="0" fontId="0" fillId="13" borderId="0" xfId="0" applyFill="1"/>
    <xf numFmtId="14" fontId="0" fillId="13" borderId="0" xfId="0" applyNumberFormat="1" applyFill="1"/>
    <xf numFmtId="0" fontId="2" fillId="13" borderId="0" xfId="0" applyFont="1" applyFill="1" applyAlignment="1">
      <alignment horizontal="left"/>
    </xf>
    <xf numFmtId="0" fontId="2" fillId="13" borderId="0" xfId="0" applyFont="1" applyFill="1"/>
    <xf numFmtId="0" fontId="3" fillId="2" borderId="0" xfId="0" applyFont="1" applyFill="1" applyAlignment="1">
      <alignment horizontal="center" vertical="center" wrapText="1"/>
    </xf>
    <xf numFmtId="1" fontId="0" fillId="13" borderId="0" xfId="0" applyNumberFormat="1" applyFill="1"/>
    <xf numFmtId="14" fontId="0" fillId="5" borderId="1" xfId="0" applyNumberFormat="1" applyFill="1" applyBorder="1"/>
    <xf numFmtId="0" fontId="3" fillId="5" borderId="2" xfId="0" applyFont="1" applyFill="1" applyBorder="1" applyAlignment="1">
      <alignment horizontal="right"/>
    </xf>
    <xf numFmtId="0" fontId="3" fillId="5" borderId="2" xfId="0" applyFont="1" applyFill="1" applyBorder="1"/>
    <xf numFmtId="164" fontId="3" fillId="5" borderId="2" xfId="1" applyNumberFormat="1" applyFont="1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1" xfId="0" applyFill="1" applyBorder="1"/>
    <xf numFmtId="0" fontId="3" fillId="5" borderId="2" xfId="0" applyFont="1" applyFill="1" applyBorder="1" applyAlignment="1">
      <alignment horizontal="left"/>
    </xf>
    <xf numFmtId="164" fontId="0" fillId="5" borderId="2" xfId="1" applyNumberFormat="1" applyFont="1" applyFill="1" applyBorder="1"/>
    <xf numFmtId="0" fontId="0" fillId="5" borderId="13" xfId="0" applyFill="1" applyBorder="1"/>
    <xf numFmtId="0" fontId="44" fillId="3" borderId="0" xfId="0" applyFont="1" applyFill="1" applyAlignment="1">
      <alignment horizontal="right"/>
    </xf>
    <xf numFmtId="1" fontId="45" fillId="3" borderId="0" xfId="0" applyNumberFormat="1" applyFont="1" applyFill="1"/>
    <xf numFmtId="0" fontId="34" fillId="2" borderId="10" xfId="0" applyFont="1" applyFill="1" applyBorder="1" applyAlignment="1">
      <alignment horizontal="right"/>
    </xf>
    <xf numFmtId="164" fontId="9" fillId="2" borderId="0" xfId="1" applyNumberFormat="1" applyFont="1" applyFill="1" applyBorder="1"/>
    <xf numFmtId="172" fontId="9" fillId="2" borderId="0" xfId="2" applyNumberFormat="1" applyFont="1" applyFill="1" applyBorder="1" applyAlignment="1">
      <alignment horizontal="left"/>
    </xf>
    <xf numFmtId="0" fontId="7" fillId="2" borderId="2" xfId="0" applyFont="1" applyFill="1" applyBorder="1"/>
    <xf numFmtId="0" fontId="9" fillId="2" borderId="2" xfId="0" applyFont="1" applyFill="1" applyBorder="1"/>
    <xf numFmtId="0" fontId="9" fillId="2" borderId="10" xfId="0" applyFont="1" applyFill="1" applyBorder="1"/>
    <xf numFmtId="0" fontId="7" fillId="2" borderId="2" xfId="0" applyFont="1" applyFill="1" applyBorder="1" applyAlignment="1">
      <alignment vertical="center"/>
    </xf>
    <xf numFmtId="0" fontId="7" fillId="2" borderId="10" xfId="0" applyFont="1" applyFill="1" applyBorder="1" applyAlignment="1">
      <alignment horizontal="right"/>
    </xf>
    <xf numFmtId="0" fontId="7" fillId="2" borderId="10" xfId="0" applyFont="1" applyFill="1" applyBorder="1"/>
    <xf numFmtId="0" fontId="7" fillId="2" borderId="0" xfId="0" applyFont="1" applyFill="1" applyAlignment="1">
      <alignment vertical="center"/>
    </xf>
    <xf numFmtId="0" fontId="9" fillId="2" borderId="0" xfId="0" applyFont="1" applyFill="1"/>
    <xf numFmtId="0" fontId="7" fillId="2" borderId="0" xfId="0" applyFont="1" applyFill="1"/>
    <xf numFmtId="0" fontId="7" fillId="2" borderId="0" xfId="0" applyFont="1" applyFill="1" applyAlignment="1">
      <alignment horizontal="right"/>
    </xf>
    <xf numFmtId="0" fontId="34" fillId="2" borderId="0" xfId="0" applyFont="1" applyFill="1" applyAlignment="1">
      <alignment horizontal="right"/>
    </xf>
    <xf numFmtId="0" fontId="34" fillId="2" borderId="0" xfId="0" applyFont="1" applyFill="1"/>
    <xf numFmtId="0" fontId="34" fillId="2" borderId="0" xfId="0" applyFont="1" applyFill="1" applyAlignment="1">
      <alignment horizontal="left"/>
    </xf>
    <xf numFmtId="164" fontId="9" fillId="2" borderId="0" xfId="0" applyNumberFormat="1" applyFont="1" applyFill="1"/>
    <xf numFmtId="0" fontId="7" fillId="2" borderId="0" xfId="0" applyFont="1" applyFill="1" applyAlignment="1">
      <alignment vertical="center" textRotation="90"/>
    </xf>
    <xf numFmtId="0" fontId="35" fillId="2" borderId="0" xfId="0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35" fillId="2" borderId="0" xfId="0" applyFont="1" applyFill="1"/>
    <xf numFmtId="0" fontId="7" fillId="2" borderId="10" xfId="0" applyFont="1" applyFill="1" applyBorder="1" applyAlignment="1">
      <alignment horizontal="left"/>
    </xf>
    <xf numFmtId="0" fontId="35" fillId="2" borderId="10" xfId="0" applyFont="1" applyFill="1" applyBorder="1" applyAlignment="1">
      <alignment horizontal="right"/>
    </xf>
    <xf numFmtId="0" fontId="2" fillId="2" borderId="0" xfId="0" applyFont="1" applyFill="1"/>
    <xf numFmtId="0" fontId="0" fillId="2" borderId="0" xfId="0" applyFill="1" applyAlignment="1">
      <alignment horizontal="left"/>
    </xf>
    <xf numFmtId="172" fontId="0" fillId="2" borderId="0" xfId="0" applyNumberFormat="1" applyFill="1" applyAlignment="1">
      <alignment horizontal="right"/>
    </xf>
    <xf numFmtId="164" fontId="7" fillId="2" borderId="2" xfId="0" applyNumberFormat="1" applyFont="1" applyFill="1" applyBorder="1"/>
    <xf numFmtId="168" fontId="7" fillId="2" borderId="2" xfId="0" applyNumberFormat="1" applyFont="1" applyFill="1" applyBorder="1"/>
    <xf numFmtId="9" fontId="7" fillId="2" borderId="2" xfId="2" applyFont="1" applyFill="1" applyBorder="1" applyAlignment="1">
      <alignment horizontal="left"/>
    </xf>
    <xf numFmtId="164" fontId="7" fillId="2" borderId="2" xfId="1" applyNumberFormat="1" applyFont="1" applyFill="1" applyBorder="1"/>
    <xf numFmtId="172" fontId="7" fillId="2" borderId="2" xfId="1" applyNumberFormat="1" applyFont="1" applyFill="1" applyBorder="1" applyAlignment="1">
      <alignment horizontal="left"/>
    </xf>
    <xf numFmtId="164" fontId="7" fillId="2" borderId="0" xfId="1" applyNumberFormat="1" applyFont="1" applyFill="1" applyBorder="1" applyAlignment="1">
      <alignment horizontal="right"/>
    </xf>
    <xf numFmtId="9" fontId="7" fillId="2" borderId="0" xfId="2" applyFont="1" applyFill="1" applyBorder="1" applyAlignment="1">
      <alignment horizontal="left"/>
    </xf>
    <xf numFmtId="172" fontId="7" fillId="2" borderId="0" xfId="1" applyNumberFormat="1" applyFont="1" applyFill="1" applyBorder="1" applyAlignment="1">
      <alignment horizontal="left"/>
    </xf>
    <xf numFmtId="164" fontId="9" fillId="2" borderId="0" xfId="1" applyNumberFormat="1" applyFont="1" applyFill="1" applyBorder="1" applyAlignment="1">
      <alignment horizontal="right"/>
    </xf>
    <xf numFmtId="9" fontId="9" fillId="2" borderId="0" xfId="2" applyFont="1" applyFill="1" applyBorder="1" applyAlignment="1">
      <alignment horizontal="left"/>
    </xf>
    <xf numFmtId="1" fontId="9" fillId="2" borderId="0" xfId="1" applyNumberFormat="1" applyFont="1" applyFill="1" applyBorder="1" applyAlignment="1">
      <alignment horizontal="right"/>
    </xf>
    <xf numFmtId="164" fontId="7" fillId="2" borderId="10" xfId="1" applyNumberFormat="1" applyFont="1" applyFill="1" applyBorder="1"/>
    <xf numFmtId="172" fontId="7" fillId="2" borderId="10" xfId="2" applyNumberFormat="1" applyFont="1" applyFill="1" applyBorder="1" applyAlignment="1">
      <alignment horizontal="left"/>
    </xf>
    <xf numFmtId="2" fontId="7" fillId="2" borderId="2" xfId="2" applyNumberFormat="1" applyFont="1" applyFill="1" applyBorder="1" applyAlignment="1">
      <alignment horizontal="left"/>
    </xf>
    <xf numFmtId="2" fontId="9" fillId="2" borderId="0" xfId="2" applyNumberFormat="1" applyFont="1" applyFill="1" applyBorder="1" applyAlignment="1">
      <alignment horizontal="left"/>
    </xf>
    <xf numFmtId="164" fontId="9" fillId="2" borderId="0" xfId="1" applyNumberFormat="1" applyFont="1" applyFill="1" applyBorder="1" applyAlignment="1">
      <alignment horizontal="center"/>
    </xf>
    <xf numFmtId="2" fontId="7" fillId="2" borderId="10" xfId="1" applyNumberFormat="1" applyFont="1" applyFill="1" applyBorder="1" applyAlignment="1">
      <alignment horizontal="left"/>
    </xf>
    <xf numFmtId="164" fontId="7" fillId="2" borderId="0" xfId="1" applyNumberFormat="1" applyFont="1" applyFill="1" applyBorder="1"/>
    <xf numFmtId="2" fontId="7" fillId="2" borderId="0" xfId="2" applyNumberFormat="1" applyFont="1" applyFill="1" applyBorder="1" applyAlignment="1">
      <alignment horizontal="left"/>
    </xf>
    <xf numFmtId="2" fontId="7" fillId="2" borderId="10" xfId="2" applyNumberFormat="1" applyFont="1" applyFill="1" applyBorder="1" applyAlignment="1">
      <alignment horizontal="left"/>
    </xf>
    <xf numFmtId="2" fontId="7" fillId="2" borderId="0" xfId="1" applyNumberFormat="1" applyFont="1" applyFill="1" applyBorder="1" applyAlignment="1">
      <alignment horizontal="left"/>
    </xf>
    <xf numFmtId="2" fontId="7" fillId="2" borderId="2" xfId="0" applyNumberFormat="1" applyFont="1" applyFill="1" applyBorder="1"/>
    <xf numFmtId="172" fontId="0" fillId="0" borderId="0" xfId="0" applyNumberFormat="1" applyAlignment="1">
      <alignment horizontal="right"/>
    </xf>
    <xf numFmtId="14" fontId="47" fillId="3" borderId="0" xfId="0" applyNumberFormat="1" applyFont="1" applyFill="1" applyAlignment="1">
      <alignment horizontal="center"/>
    </xf>
    <xf numFmtId="0" fontId="47" fillId="3" borderId="0" xfId="0" applyFont="1" applyFill="1" applyAlignment="1">
      <alignment horizontal="right"/>
    </xf>
    <xf numFmtId="0" fontId="55" fillId="3" borderId="0" xfId="0" applyFont="1" applyFill="1" applyAlignment="1">
      <alignment horizontal="right"/>
    </xf>
    <xf numFmtId="0" fontId="47" fillId="3" borderId="0" xfId="0" applyFont="1" applyFill="1"/>
    <xf numFmtId="0" fontId="44" fillId="3" borderId="0" xfId="0" applyFont="1" applyFill="1"/>
    <xf numFmtId="44" fontId="47" fillId="3" borderId="0" xfId="1" applyFont="1" applyFill="1" applyBorder="1"/>
    <xf numFmtId="44" fontId="47" fillId="3" borderId="0" xfId="0" applyNumberFormat="1" applyFont="1" applyFill="1"/>
    <xf numFmtId="44" fontId="47" fillId="3" borderId="0" xfId="1" applyFont="1" applyFill="1"/>
    <xf numFmtId="0" fontId="47" fillId="3" borderId="14" xfId="0" applyFont="1" applyFill="1" applyBorder="1"/>
    <xf numFmtId="14" fontId="44" fillId="3" borderId="0" xfId="0" applyNumberFormat="1" applyFont="1" applyFill="1" applyAlignment="1">
      <alignment horizontal="center"/>
    </xf>
    <xf numFmtId="0" fontId="52" fillId="3" borderId="0" xfId="0" applyFont="1" applyFill="1"/>
    <xf numFmtId="0" fontId="44" fillId="3" borderId="14" xfId="0" applyFont="1" applyFill="1" applyBorder="1"/>
    <xf numFmtId="44" fontId="44" fillId="3" borderId="0" xfId="1" applyFont="1" applyFill="1" applyBorder="1"/>
    <xf numFmtId="44" fontId="44" fillId="3" borderId="0" xfId="0" applyNumberFormat="1" applyFont="1" applyFill="1"/>
    <xf numFmtId="164" fontId="44" fillId="3" borderId="0" xfId="0" applyNumberFormat="1" applyFont="1" applyFill="1"/>
    <xf numFmtId="14" fontId="45" fillId="3" borderId="0" xfId="0" applyNumberFormat="1" applyFont="1" applyFill="1" applyAlignment="1">
      <alignment horizontal="center"/>
    </xf>
    <xf numFmtId="170" fontId="45" fillId="3" borderId="0" xfId="0" applyNumberFormat="1" applyFont="1" applyFill="1"/>
    <xf numFmtId="0" fontId="45" fillId="3" borderId="14" xfId="0" applyFont="1" applyFill="1" applyBorder="1"/>
    <xf numFmtId="170" fontId="45" fillId="3" borderId="0" xfId="0" applyNumberFormat="1" applyFont="1" applyFill="1" applyAlignment="1">
      <alignment horizontal="right"/>
    </xf>
    <xf numFmtId="2" fontId="45" fillId="3" borderId="0" xfId="0" applyNumberFormat="1" applyFont="1" applyFill="1"/>
    <xf numFmtId="8" fontId="45" fillId="3" borderId="0" xfId="1" applyNumberFormat="1" applyFont="1" applyFill="1" applyBorder="1"/>
    <xf numFmtId="8" fontId="45" fillId="3" borderId="0" xfId="0" applyNumberFormat="1" applyFont="1" applyFill="1"/>
    <xf numFmtId="14" fontId="3" fillId="25" borderId="0" xfId="0" applyNumberFormat="1" applyFont="1" applyFill="1" applyAlignment="1">
      <alignment horizontal="right"/>
    </xf>
    <xf numFmtId="0" fontId="3" fillId="25" borderId="0" xfId="0" applyFont="1" applyFill="1" applyAlignment="1">
      <alignment horizontal="right"/>
    </xf>
    <xf numFmtId="14" fontId="0" fillId="25" borderId="0" xfId="0" applyNumberFormat="1" applyFill="1"/>
    <xf numFmtId="0" fontId="0" fillId="25" borderId="0" xfId="0" applyFill="1"/>
    <xf numFmtId="14" fontId="45" fillId="31" borderId="7" xfId="0" applyNumberFormat="1" applyFont="1" applyFill="1" applyBorder="1"/>
    <xf numFmtId="0" fontId="44" fillId="31" borderId="0" xfId="0" applyFont="1" applyFill="1" applyAlignment="1">
      <alignment horizontal="right"/>
    </xf>
    <xf numFmtId="0" fontId="50" fillId="31" borderId="0" xfId="0" applyFont="1" applyFill="1" applyAlignment="1">
      <alignment horizontal="right"/>
    </xf>
    <xf numFmtId="0" fontId="45" fillId="31" borderId="0" xfId="0" applyFont="1" applyFill="1"/>
    <xf numFmtId="0" fontId="45" fillId="31" borderId="0" xfId="0" applyFont="1" applyFill="1" applyAlignment="1">
      <alignment horizontal="right"/>
    </xf>
    <xf numFmtId="2" fontId="45" fillId="31" borderId="0" xfId="0" applyNumberFormat="1" applyFont="1" applyFill="1" applyAlignment="1">
      <alignment horizontal="right"/>
    </xf>
    <xf numFmtId="0" fontId="45" fillId="31" borderId="0" xfId="0" applyFont="1" applyFill="1" applyAlignment="1">
      <alignment horizontal="left"/>
    </xf>
    <xf numFmtId="1" fontId="45" fillId="31" borderId="0" xfId="0" applyNumberFormat="1" applyFont="1" applyFill="1"/>
    <xf numFmtId="164" fontId="45" fillId="31" borderId="0" xfId="1" applyNumberFormat="1" applyFont="1" applyFill="1" applyBorder="1"/>
    <xf numFmtId="44" fontId="45" fillId="31" borderId="0" xfId="1" applyFont="1" applyFill="1" applyBorder="1"/>
    <xf numFmtId="44" fontId="45" fillId="31" borderId="0" xfId="0" applyNumberFormat="1" applyFont="1" applyFill="1"/>
    <xf numFmtId="0" fontId="45" fillId="31" borderId="8" xfId="0" applyFont="1" applyFill="1" applyBorder="1"/>
    <xf numFmtId="14" fontId="49" fillId="31" borderId="7" xfId="0" applyNumberFormat="1" applyFont="1" applyFill="1" applyBorder="1"/>
    <xf numFmtId="0" fontId="49" fillId="31" borderId="0" xfId="0" applyFont="1" applyFill="1" applyAlignment="1">
      <alignment horizontal="right" textRotation="90"/>
    </xf>
    <xf numFmtId="0" fontId="48" fillId="31" borderId="0" xfId="0" applyFont="1" applyFill="1" applyAlignment="1">
      <alignment horizontal="right" textRotation="90"/>
    </xf>
    <xf numFmtId="0" fontId="49" fillId="31" borderId="0" xfId="0" applyFont="1" applyFill="1"/>
    <xf numFmtId="0" fontId="49" fillId="31" borderId="0" xfId="0" applyFont="1" applyFill="1" applyAlignment="1">
      <alignment horizontal="right"/>
    </xf>
    <xf numFmtId="2" fontId="49" fillId="31" borderId="0" xfId="0" applyNumberFormat="1" applyFont="1" applyFill="1" applyAlignment="1">
      <alignment horizontal="right"/>
    </xf>
    <xf numFmtId="0" fontId="49" fillId="31" borderId="0" xfId="0" applyFont="1" applyFill="1" applyAlignment="1">
      <alignment horizontal="left"/>
    </xf>
    <xf numFmtId="1" fontId="49" fillId="31" borderId="0" xfId="0" applyNumberFormat="1" applyFont="1" applyFill="1"/>
    <xf numFmtId="164" fontId="49" fillId="31" borderId="0" xfId="1" applyNumberFormat="1" applyFont="1" applyFill="1" applyBorder="1"/>
    <xf numFmtId="44" fontId="49" fillId="31" borderId="0" xfId="1" applyFont="1" applyFill="1" applyBorder="1"/>
    <xf numFmtId="44" fontId="49" fillId="31" borderId="0" xfId="0" applyNumberFormat="1" applyFont="1" applyFill="1"/>
    <xf numFmtId="0" fontId="49" fillId="31" borderId="8" xfId="0" applyFont="1" applyFill="1" applyBorder="1"/>
    <xf numFmtId="44" fontId="49" fillId="31" borderId="0" xfId="1" applyFont="1" applyFill="1"/>
    <xf numFmtId="0" fontId="48" fillId="31" borderId="0" xfId="0" applyFont="1" applyFill="1" applyAlignment="1">
      <alignment horizontal="right"/>
    </xf>
    <xf numFmtId="44" fontId="45" fillId="31" borderId="0" xfId="1" applyFont="1" applyFill="1"/>
    <xf numFmtId="14" fontId="51" fillId="31" borderId="7" xfId="0" applyNumberFormat="1" applyFont="1" applyFill="1" applyBorder="1"/>
    <xf numFmtId="0" fontId="51" fillId="31" borderId="0" xfId="0" applyFont="1" applyFill="1" applyAlignment="1">
      <alignment horizontal="right"/>
    </xf>
    <xf numFmtId="0" fontId="56" fillId="31" borderId="0" xfId="0" applyFont="1" applyFill="1" applyAlignment="1">
      <alignment horizontal="right"/>
    </xf>
    <xf numFmtId="0" fontId="51" fillId="31" borderId="0" xfId="0" applyFont="1" applyFill="1" applyAlignment="1">
      <alignment horizontal="left"/>
    </xf>
    <xf numFmtId="0" fontId="51" fillId="31" borderId="0" xfId="0" applyFont="1" applyFill="1"/>
    <xf numFmtId="164" fontId="51" fillId="31" borderId="0" xfId="1" applyNumberFormat="1" applyFont="1" applyFill="1" applyBorder="1"/>
    <xf numFmtId="44" fontId="51" fillId="31" borderId="0" xfId="1" applyFont="1" applyFill="1"/>
    <xf numFmtId="44" fontId="51" fillId="31" borderId="0" xfId="1" applyFont="1" applyFill="1" applyBorder="1"/>
    <xf numFmtId="0" fontId="51" fillId="31" borderId="8" xfId="0" applyFont="1" applyFill="1" applyBorder="1"/>
    <xf numFmtId="14" fontId="44" fillId="31" borderId="7" xfId="0" applyNumberFormat="1" applyFont="1" applyFill="1" applyBorder="1"/>
    <xf numFmtId="0" fontId="44" fillId="31" borderId="0" xfId="0" applyFont="1" applyFill="1" applyAlignment="1">
      <alignment horizontal="left"/>
    </xf>
    <xf numFmtId="0" fontId="44" fillId="31" borderId="0" xfId="0" applyFont="1" applyFill="1"/>
    <xf numFmtId="164" fontId="44" fillId="31" borderId="0" xfId="1" applyNumberFormat="1" applyFont="1" applyFill="1" applyBorder="1"/>
    <xf numFmtId="44" fontId="44" fillId="31" borderId="0" xfId="1" applyFont="1" applyFill="1"/>
    <xf numFmtId="44" fontId="44" fillId="31" borderId="0" xfId="0" applyNumberFormat="1" applyFont="1" applyFill="1"/>
    <xf numFmtId="44" fontId="44" fillId="31" borderId="0" xfId="1" applyFont="1" applyFill="1" applyBorder="1"/>
    <xf numFmtId="0" fontId="44" fillId="31" borderId="8" xfId="0" applyFont="1" applyFill="1" applyBorder="1"/>
    <xf numFmtId="14" fontId="47" fillId="31" borderId="7" xfId="0" applyNumberFormat="1" applyFont="1" applyFill="1" applyBorder="1"/>
    <xf numFmtId="0" fontId="47" fillId="31" borderId="0" xfId="0" applyFont="1" applyFill="1" applyAlignment="1">
      <alignment horizontal="right"/>
    </xf>
    <xf numFmtId="0" fontId="55" fillId="31" borderId="0" xfId="0" applyFont="1" applyFill="1" applyAlignment="1">
      <alignment horizontal="right"/>
    </xf>
    <xf numFmtId="0" fontId="47" fillId="31" borderId="0" xfId="0" applyFont="1" applyFill="1" applyAlignment="1">
      <alignment horizontal="left"/>
    </xf>
    <xf numFmtId="0" fontId="47" fillId="31" borderId="0" xfId="0" applyFont="1" applyFill="1"/>
    <xf numFmtId="164" fontId="47" fillId="31" borderId="0" xfId="1" applyNumberFormat="1" applyFont="1" applyFill="1" applyBorder="1"/>
    <xf numFmtId="44" fontId="47" fillId="31" borderId="0" xfId="1" applyFont="1" applyFill="1"/>
    <xf numFmtId="44" fontId="47" fillId="31" borderId="0" xfId="0" applyNumberFormat="1" applyFont="1" applyFill="1"/>
    <xf numFmtId="44" fontId="47" fillId="31" borderId="0" xfId="1" applyFont="1" applyFill="1" applyBorder="1"/>
    <xf numFmtId="0" fontId="47" fillId="31" borderId="8" xfId="0" applyFont="1" applyFill="1" applyBorder="1"/>
    <xf numFmtId="164" fontId="2" fillId="25" borderId="2" xfId="0" applyNumberFormat="1" applyFont="1" applyFill="1" applyBorder="1"/>
    <xf numFmtId="14" fontId="29" fillId="2" borderId="0" xfId="0" applyNumberFormat="1" applyFont="1" applyFill="1"/>
    <xf numFmtId="14" fontId="45" fillId="34" borderId="0" xfId="0" applyNumberFormat="1" applyFont="1" applyFill="1" applyAlignment="1">
      <alignment horizontal="center"/>
    </xf>
    <xf numFmtId="0" fontId="44" fillId="34" borderId="0" xfId="0" applyFont="1" applyFill="1" applyAlignment="1">
      <alignment horizontal="right"/>
    </xf>
    <xf numFmtId="0" fontId="50" fillId="34" borderId="0" xfId="0" applyFont="1" applyFill="1"/>
    <xf numFmtId="0" fontId="45" fillId="34" borderId="0" xfId="0" applyFont="1" applyFill="1"/>
    <xf numFmtId="0" fontId="44" fillId="34" borderId="0" xfId="0" applyFont="1" applyFill="1"/>
    <xf numFmtId="2" fontId="45" fillId="34" borderId="0" xfId="0" applyNumberFormat="1" applyFont="1" applyFill="1"/>
    <xf numFmtId="44" fontId="45" fillId="34" borderId="0" xfId="1" applyFont="1" applyFill="1" applyBorder="1"/>
    <xf numFmtId="44" fontId="45" fillId="34" borderId="0" xfId="0" applyNumberFormat="1" applyFont="1" applyFill="1"/>
    <xf numFmtId="44" fontId="45" fillId="34" borderId="0" xfId="1" applyFont="1" applyFill="1"/>
    <xf numFmtId="0" fontId="45" fillId="34" borderId="14" xfId="0" applyFont="1" applyFill="1" applyBorder="1"/>
    <xf numFmtId="14" fontId="45" fillId="34" borderId="7" xfId="0" applyNumberFormat="1" applyFont="1" applyFill="1" applyBorder="1" applyAlignment="1">
      <alignment horizontal="center"/>
    </xf>
    <xf numFmtId="0" fontId="45" fillId="34" borderId="0" xfId="0" applyFont="1" applyFill="1" applyAlignment="1">
      <alignment horizontal="right"/>
    </xf>
    <xf numFmtId="0" fontId="50" fillId="34" borderId="0" xfId="0" applyFont="1" applyFill="1" applyAlignment="1">
      <alignment horizontal="right"/>
    </xf>
    <xf numFmtId="0" fontId="45" fillId="34" borderId="0" xfId="0" applyFont="1" applyFill="1" applyAlignment="1">
      <alignment horizontal="left"/>
    </xf>
    <xf numFmtId="164" fontId="45" fillId="34" borderId="0" xfId="1" applyNumberFormat="1" applyFont="1" applyFill="1" applyBorder="1"/>
    <xf numFmtId="0" fontId="45" fillId="34" borderId="8" xfId="0" applyFont="1" applyFill="1" applyBorder="1"/>
    <xf numFmtId="14" fontId="45" fillId="34" borderId="7" xfId="0" applyNumberFormat="1" applyFont="1" applyFill="1" applyBorder="1"/>
    <xf numFmtId="0" fontId="51" fillId="3" borderId="0" xfId="0" applyFont="1" applyFill="1"/>
    <xf numFmtId="14" fontId="7" fillId="13" borderId="19" xfId="0" applyNumberFormat="1" applyFont="1" applyFill="1" applyBorder="1" applyAlignment="1">
      <alignment horizontal="center" vertical="center" wrapText="1"/>
    </xf>
    <xf numFmtId="0" fontId="7" fillId="13" borderId="20" xfId="0" applyFont="1" applyFill="1" applyBorder="1" applyAlignment="1">
      <alignment horizontal="center" vertical="center" wrapText="1"/>
    </xf>
    <xf numFmtId="1" fontId="7" fillId="13" borderId="20" xfId="0" applyNumberFormat="1" applyFont="1" applyFill="1" applyBorder="1" applyAlignment="1">
      <alignment horizontal="center" vertical="center" wrapText="1"/>
    </xf>
    <xf numFmtId="44" fontId="7" fillId="13" borderId="20" xfId="1" applyFont="1" applyFill="1" applyBorder="1" applyAlignment="1">
      <alignment horizontal="center" vertical="center" wrapText="1"/>
    </xf>
    <xf numFmtId="0" fontId="7" fillId="13" borderId="25" xfId="0" applyFont="1" applyFill="1" applyBorder="1" applyAlignment="1">
      <alignment horizontal="center" vertical="center" wrapText="1"/>
    </xf>
    <xf numFmtId="0" fontId="7" fillId="13" borderId="21" xfId="0" applyFont="1" applyFill="1" applyBorder="1" applyAlignment="1">
      <alignment horizontal="center" vertical="center" wrapText="1"/>
    </xf>
    <xf numFmtId="0" fontId="9" fillId="13" borderId="22" xfId="0" applyFont="1" applyFill="1" applyBorder="1"/>
    <xf numFmtId="1" fontId="9" fillId="13" borderId="22" xfId="0" applyNumberFormat="1" applyFont="1" applyFill="1" applyBorder="1"/>
    <xf numFmtId="44" fontId="9" fillId="13" borderId="22" xfId="1" applyFont="1" applyFill="1" applyBorder="1"/>
    <xf numFmtId="44" fontId="13" fillId="13" borderId="22" xfId="1" applyFont="1" applyFill="1" applyBorder="1"/>
    <xf numFmtId="164" fontId="27" fillId="13" borderId="22" xfId="1" applyNumberFormat="1" applyFont="1" applyFill="1" applyBorder="1"/>
    <xf numFmtId="0" fontId="9" fillId="13" borderId="22" xfId="0" applyFont="1" applyFill="1" applyBorder="1" applyAlignment="1">
      <alignment horizontal="center"/>
    </xf>
    <xf numFmtId="0" fontId="9" fillId="13" borderId="22" xfId="0" applyFont="1" applyFill="1" applyBorder="1" applyAlignment="1">
      <alignment horizontal="left"/>
    </xf>
    <xf numFmtId="44" fontId="0" fillId="13" borderId="22" xfId="1" applyFont="1" applyFill="1" applyBorder="1"/>
    <xf numFmtId="44" fontId="27" fillId="13" borderId="22" xfId="1" applyFont="1" applyFill="1" applyBorder="1"/>
    <xf numFmtId="0" fontId="0" fillId="13" borderId="22" xfId="0" applyFill="1" applyBorder="1"/>
    <xf numFmtId="1" fontId="0" fillId="13" borderId="22" xfId="0" applyNumberFormat="1" applyFill="1" applyBorder="1" applyAlignment="1">
      <alignment horizontal="left"/>
    </xf>
    <xf numFmtId="0" fontId="0" fillId="13" borderId="22" xfId="0" applyFill="1" applyBorder="1" applyAlignment="1">
      <alignment horizontal="center"/>
    </xf>
    <xf numFmtId="0" fontId="0" fillId="13" borderId="22" xfId="0" applyFill="1" applyBorder="1" applyAlignment="1">
      <alignment horizontal="left"/>
    </xf>
    <xf numFmtId="44" fontId="9" fillId="13" borderId="22" xfId="1" applyFont="1" applyFill="1" applyBorder="1" applyAlignment="1">
      <alignment horizontal="center"/>
    </xf>
    <xf numFmtId="44" fontId="9" fillId="13" borderId="22" xfId="1" applyFont="1" applyFill="1" applyBorder="1" applyAlignment="1">
      <alignment horizontal="left"/>
    </xf>
    <xf numFmtId="44" fontId="13" fillId="13" borderId="22" xfId="1" applyFont="1" applyFill="1" applyBorder="1" applyAlignment="1">
      <alignment horizontal="left"/>
    </xf>
    <xf numFmtId="1" fontId="9" fillId="13" borderId="22" xfId="0" applyNumberFormat="1" applyFont="1" applyFill="1" applyBorder="1" applyAlignment="1">
      <alignment horizontal="left"/>
    </xf>
    <xf numFmtId="44" fontId="27" fillId="13" borderId="22" xfId="1" applyFont="1" applyFill="1" applyBorder="1" applyAlignment="1">
      <alignment horizontal="left"/>
    </xf>
    <xf numFmtId="1" fontId="0" fillId="13" borderId="22" xfId="1" applyNumberFormat="1" applyFont="1" applyFill="1" applyBorder="1" applyAlignment="1">
      <alignment horizontal="left"/>
    </xf>
    <xf numFmtId="44" fontId="0" fillId="13" borderId="22" xfId="1" applyFont="1" applyFill="1" applyBorder="1" applyAlignment="1">
      <alignment horizontal="center"/>
    </xf>
    <xf numFmtId="44" fontId="27" fillId="13" borderId="22" xfId="1" applyFont="1" applyFill="1" applyBorder="1" applyAlignment="1">
      <alignment horizontal="center"/>
    </xf>
    <xf numFmtId="1" fontId="9" fillId="13" borderId="22" xfId="0" applyNumberFormat="1" applyFont="1" applyFill="1" applyBorder="1" applyAlignment="1">
      <alignment horizontal="center"/>
    </xf>
    <xf numFmtId="44" fontId="9" fillId="13" borderId="22" xfId="0" applyNumberFormat="1" applyFont="1" applyFill="1" applyBorder="1" applyAlignment="1">
      <alignment horizontal="left"/>
    </xf>
    <xf numFmtId="44" fontId="9" fillId="13" borderId="22" xfId="0" applyNumberFormat="1" applyFont="1" applyFill="1" applyBorder="1" applyAlignment="1">
      <alignment horizontal="center"/>
    </xf>
    <xf numFmtId="44" fontId="13" fillId="13" borderId="22" xfId="0" applyNumberFormat="1" applyFont="1" applyFill="1" applyBorder="1" applyAlignment="1">
      <alignment horizontal="left"/>
    </xf>
    <xf numFmtId="0" fontId="9" fillId="2" borderId="22" xfId="0" applyFont="1" applyFill="1" applyBorder="1" applyAlignment="1">
      <alignment vertical="center"/>
    </xf>
    <xf numFmtId="1" fontId="9" fillId="13" borderId="22" xfId="1" applyNumberFormat="1" applyFont="1" applyFill="1" applyBorder="1" applyAlignment="1">
      <alignment horizontal="left"/>
    </xf>
    <xf numFmtId="44" fontId="13" fillId="13" borderId="22" xfId="1" applyFont="1" applyFill="1" applyBorder="1" applyAlignment="1">
      <alignment horizontal="center"/>
    </xf>
    <xf numFmtId="14" fontId="9" fillId="35" borderId="22" xfId="0" applyNumberFormat="1" applyFont="1" applyFill="1" applyBorder="1" applyAlignment="1">
      <alignment horizontal="center"/>
    </xf>
    <xf numFmtId="164" fontId="13" fillId="13" borderId="22" xfId="1" applyNumberFormat="1" applyFont="1" applyFill="1" applyBorder="1"/>
    <xf numFmtId="14" fontId="9" fillId="30" borderId="22" xfId="0" applyNumberFormat="1" applyFont="1" applyFill="1" applyBorder="1" applyAlignment="1">
      <alignment horizontal="center"/>
    </xf>
    <xf numFmtId="0" fontId="12" fillId="13" borderId="22" xfId="0" applyFont="1" applyFill="1" applyBorder="1"/>
    <xf numFmtId="1" fontId="12" fillId="13" borderId="22" xfId="0" applyNumberFormat="1" applyFont="1" applyFill="1" applyBorder="1"/>
    <xf numFmtId="44" fontId="12" fillId="13" borderId="22" xfId="1" applyFont="1" applyFill="1" applyBorder="1"/>
    <xf numFmtId="44" fontId="28" fillId="13" borderId="22" xfId="1" applyFont="1" applyFill="1" applyBorder="1"/>
    <xf numFmtId="164" fontId="28" fillId="13" borderId="22" xfId="1" applyNumberFormat="1" applyFont="1" applyFill="1" applyBorder="1"/>
    <xf numFmtId="0" fontId="12" fillId="13" borderId="22" xfId="0" applyFont="1" applyFill="1" applyBorder="1" applyAlignment="1">
      <alignment horizontal="center"/>
    </xf>
    <xf numFmtId="0" fontId="12" fillId="13" borderId="22" xfId="0" applyFont="1" applyFill="1" applyBorder="1" applyAlignment="1">
      <alignment horizontal="left"/>
    </xf>
    <xf numFmtId="44" fontId="0" fillId="13" borderId="0" xfId="1" applyFont="1" applyFill="1" applyBorder="1"/>
    <xf numFmtId="44" fontId="0" fillId="2" borderId="0" xfId="1" applyFont="1" applyFill="1" applyBorder="1"/>
    <xf numFmtId="0" fontId="0" fillId="2" borderId="0" xfId="0" applyFill="1" applyAlignment="1">
      <alignment horizontal="left" indent="2"/>
    </xf>
    <xf numFmtId="44" fontId="0" fillId="2" borderId="0" xfId="0" applyNumberFormat="1" applyFill="1"/>
    <xf numFmtId="164" fontId="0" fillId="2" borderId="0" xfId="0" applyNumberFormat="1" applyFill="1"/>
    <xf numFmtId="44" fontId="0" fillId="2" borderId="0" xfId="1" applyFont="1" applyFill="1"/>
    <xf numFmtId="0" fontId="2" fillId="30" borderId="0" xfId="0" applyFont="1" applyFill="1"/>
    <xf numFmtId="44" fontId="2" fillId="30" borderId="0" xfId="1" applyFont="1" applyFill="1" applyBorder="1"/>
    <xf numFmtId="164" fontId="2" fillId="30" borderId="0" xfId="1" applyNumberFormat="1" applyFont="1" applyFill="1" applyBorder="1"/>
    <xf numFmtId="0" fontId="0" fillId="30" borderId="0" xfId="0" applyFill="1"/>
    <xf numFmtId="164" fontId="2" fillId="29" borderId="10" xfId="0" applyNumberFormat="1" applyFont="1" applyFill="1" applyBorder="1"/>
    <xf numFmtId="44" fontId="2" fillId="2" borderId="5" xfId="1" applyFont="1" applyFill="1" applyBorder="1"/>
    <xf numFmtId="164" fontId="2" fillId="2" borderId="5" xfId="1" applyNumberFormat="1" applyFont="1" applyFill="1" applyBorder="1"/>
    <xf numFmtId="0" fontId="9" fillId="2" borderId="0" xfId="0" applyFont="1" applyFill="1" applyAlignment="1">
      <alignment horizontal="left" indent="2"/>
    </xf>
    <xf numFmtId="44" fontId="9" fillId="2" borderId="0" xfId="1" applyFont="1" applyFill="1"/>
    <xf numFmtId="44" fontId="9" fillId="2" borderId="0" xfId="1" applyFont="1" applyFill="1" applyBorder="1"/>
    <xf numFmtId="0" fontId="7" fillId="32" borderId="0" xfId="0" applyFont="1" applyFill="1"/>
    <xf numFmtId="44" fontId="7" fillId="32" borderId="0" xfId="1" applyFont="1" applyFill="1" applyBorder="1"/>
    <xf numFmtId="164" fontId="7" fillId="32" borderId="10" xfId="1" applyNumberFormat="1" applyFont="1" applyFill="1" applyBorder="1"/>
    <xf numFmtId="164" fontId="2" fillId="32" borderId="10" xfId="0" applyNumberFormat="1" applyFont="1" applyFill="1" applyBorder="1"/>
    <xf numFmtId="0" fontId="8" fillId="2" borderId="0" xfId="0" applyFont="1" applyFill="1"/>
    <xf numFmtId="0" fontId="35" fillId="2" borderId="2" xfId="0" applyFont="1" applyFill="1" applyBorder="1"/>
    <xf numFmtId="2" fontId="7" fillId="2" borderId="0" xfId="1" applyNumberFormat="1" applyFont="1" applyFill="1" applyBorder="1"/>
    <xf numFmtId="0" fontId="7" fillId="2" borderId="10" xfId="0" applyFont="1" applyFill="1" applyBorder="1" applyAlignment="1">
      <alignment vertical="center" textRotation="90"/>
    </xf>
    <xf numFmtId="0" fontId="34" fillId="2" borderId="10" xfId="0" applyFont="1" applyFill="1" applyBorder="1"/>
    <xf numFmtId="164" fontId="9" fillId="2" borderId="10" xfId="1" applyNumberFormat="1" applyFont="1" applyFill="1" applyBorder="1"/>
    <xf numFmtId="2" fontId="9" fillId="2" borderId="10" xfId="2" applyNumberFormat="1" applyFont="1" applyFill="1" applyBorder="1" applyAlignment="1">
      <alignment horizontal="left"/>
    </xf>
    <xf numFmtId="164" fontId="45" fillId="3" borderId="0" xfId="0" applyNumberFormat="1" applyFont="1" applyFill="1"/>
    <xf numFmtId="164" fontId="49" fillId="2" borderId="0" xfId="0" applyNumberFormat="1" applyFont="1" applyFill="1"/>
    <xf numFmtId="164" fontId="49" fillId="34" borderId="0" xfId="1" applyNumberFormat="1" applyFont="1" applyFill="1" applyBorder="1"/>
    <xf numFmtId="164" fontId="45" fillId="2" borderId="8" xfId="1" applyNumberFormat="1" applyFont="1" applyFill="1" applyBorder="1"/>
    <xf numFmtId="164" fontId="44" fillId="13" borderId="8" xfId="0" applyNumberFormat="1" applyFont="1" applyFill="1" applyBorder="1"/>
    <xf numFmtId="164" fontId="49" fillId="3" borderId="8" xfId="1" applyNumberFormat="1" applyFont="1" applyFill="1" applyBorder="1"/>
    <xf numFmtId="164" fontId="49" fillId="2" borderId="8" xfId="1" applyNumberFormat="1" applyFont="1" applyFill="1" applyBorder="1"/>
    <xf numFmtId="164" fontId="45" fillId="2" borderId="8" xfId="0" applyNumberFormat="1" applyFont="1" applyFill="1" applyBorder="1"/>
    <xf numFmtId="164" fontId="44" fillId="3" borderId="8" xfId="0" applyNumberFormat="1" applyFont="1" applyFill="1" applyBorder="1"/>
    <xf numFmtId="164" fontId="47" fillId="3" borderId="0" xfId="0" applyNumberFormat="1" applyFont="1" applyFill="1"/>
    <xf numFmtId="164" fontId="47" fillId="2" borderId="0" xfId="0" applyNumberFormat="1" applyFont="1" applyFill="1"/>
    <xf numFmtId="44" fontId="44" fillId="6" borderId="0" xfId="1" applyFont="1" applyFill="1" applyBorder="1"/>
    <xf numFmtId="164" fontId="19" fillId="5" borderId="8" xfId="0" applyNumberFormat="1" applyFont="1" applyFill="1" applyBorder="1"/>
    <xf numFmtId="164" fontId="45" fillId="31" borderId="8" xfId="0" applyNumberFormat="1" applyFont="1" applyFill="1" applyBorder="1"/>
    <xf numFmtId="164" fontId="49" fillId="31" borderId="8" xfId="0" applyNumberFormat="1" applyFont="1" applyFill="1" applyBorder="1"/>
    <xf numFmtId="164" fontId="47" fillId="2" borderId="8" xfId="0" applyNumberFormat="1" applyFont="1" applyFill="1" applyBorder="1"/>
    <xf numFmtId="164" fontId="44" fillId="5" borderId="8" xfId="0" applyNumberFormat="1" applyFont="1" applyFill="1" applyBorder="1"/>
    <xf numFmtId="164" fontId="45" fillId="34" borderId="8" xfId="0" applyNumberFormat="1" applyFont="1" applyFill="1" applyBorder="1"/>
    <xf numFmtId="164" fontId="51" fillId="31" borderId="8" xfId="0" applyNumberFormat="1" applyFont="1" applyFill="1" applyBorder="1"/>
    <xf numFmtId="164" fontId="44" fillId="31" borderId="8" xfId="0" applyNumberFormat="1" applyFont="1" applyFill="1" applyBorder="1"/>
    <xf numFmtId="164" fontId="47" fillId="31" borderId="8" xfId="0" applyNumberFormat="1" applyFont="1" applyFill="1" applyBorder="1"/>
    <xf numFmtId="164" fontId="49" fillId="2" borderId="8" xfId="0" applyNumberFormat="1" applyFont="1" applyFill="1" applyBorder="1"/>
    <xf numFmtId="0" fontId="45" fillId="2" borderId="11" xfId="0" applyFont="1" applyFill="1" applyBorder="1"/>
    <xf numFmtId="0" fontId="45" fillId="10" borderId="11" xfId="0" applyFont="1" applyFill="1" applyBorder="1"/>
    <xf numFmtId="164" fontId="44" fillId="11" borderId="3" xfId="0" applyNumberFormat="1" applyFont="1" applyFill="1" applyBorder="1"/>
    <xf numFmtId="164" fontId="45" fillId="25" borderId="8" xfId="0" applyNumberFormat="1" applyFont="1" applyFill="1" applyBorder="1"/>
    <xf numFmtId="164" fontId="45" fillId="29" borderId="8" xfId="0" applyNumberFormat="1" applyFont="1" applyFill="1" applyBorder="1"/>
    <xf numFmtId="0" fontId="0" fillId="13" borderId="26" xfId="0" applyFill="1" applyBorder="1"/>
    <xf numFmtId="0" fontId="0" fillId="13" borderId="16" xfId="0" applyFill="1" applyBorder="1"/>
    <xf numFmtId="164" fontId="2" fillId="29" borderId="16" xfId="0" applyNumberFormat="1" applyFont="1" applyFill="1" applyBorder="1"/>
    <xf numFmtId="164" fontId="47" fillId="6" borderId="16" xfId="0" applyNumberFormat="1" applyFont="1" applyFill="1" applyBorder="1"/>
    <xf numFmtId="164" fontId="45" fillId="3" borderId="16" xfId="0" applyNumberFormat="1" applyFont="1" applyFill="1" applyBorder="1"/>
    <xf numFmtId="164" fontId="45" fillId="2" borderId="16" xfId="0" applyNumberFormat="1" applyFont="1" applyFill="1" applyBorder="1"/>
    <xf numFmtId="164" fontId="44" fillId="6" borderId="16" xfId="0" applyNumberFormat="1" applyFont="1" applyFill="1" applyBorder="1"/>
    <xf numFmtId="0" fontId="45" fillId="2" borderId="16" xfId="0" applyFont="1" applyFill="1" applyBorder="1"/>
    <xf numFmtId="164" fontId="44" fillId="29" borderId="16" xfId="0" applyNumberFormat="1" applyFont="1" applyFill="1" applyBorder="1"/>
    <xf numFmtId="164" fontId="44" fillId="13" borderId="16" xfId="0" applyNumberFormat="1" applyFont="1" applyFill="1" applyBorder="1"/>
    <xf numFmtId="164" fontId="49" fillId="2" borderId="16" xfId="1" applyNumberFormat="1" applyFont="1" applyFill="1" applyBorder="1"/>
    <xf numFmtId="164" fontId="44" fillId="3" borderId="16" xfId="0" applyNumberFormat="1" applyFont="1" applyFill="1" applyBorder="1"/>
    <xf numFmtId="164" fontId="47" fillId="3" borderId="16" xfId="0" applyNumberFormat="1" applyFont="1" applyFill="1" applyBorder="1"/>
    <xf numFmtId="164" fontId="47" fillId="2" borderId="16" xfId="0" applyNumberFormat="1" applyFont="1" applyFill="1" applyBorder="1"/>
    <xf numFmtId="0" fontId="45" fillId="6" borderId="16" xfId="0" applyFont="1" applyFill="1" applyBorder="1"/>
    <xf numFmtId="164" fontId="2" fillId="5" borderId="17" xfId="0" applyNumberFormat="1" applyFont="1" applyFill="1" applyBorder="1"/>
    <xf numFmtId="0" fontId="0" fillId="2" borderId="16" xfId="0" applyFill="1" applyBorder="1"/>
    <xf numFmtId="0" fontId="3" fillId="25" borderId="16" xfId="0" applyFont="1" applyFill="1" applyBorder="1" applyAlignment="1">
      <alignment horizontal="right"/>
    </xf>
    <xf numFmtId="164" fontId="19" fillId="5" borderId="16" xfId="0" applyNumberFormat="1" applyFont="1" applyFill="1" applyBorder="1"/>
    <xf numFmtId="164" fontId="45" fillId="31" borderId="16" xfId="0" applyNumberFormat="1" applyFont="1" applyFill="1" applyBorder="1"/>
    <xf numFmtId="164" fontId="49" fillId="31" borderId="16" xfId="0" applyNumberFormat="1" applyFont="1" applyFill="1" applyBorder="1"/>
    <xf numFmtId="164" fontId="44" fillId="5" borderId="16" xfId="0" applyNumberFormat="1" applyFont="1" applyFill="1" applyBorder="1"/>
    <xf numFmtId="164" fontId="44" fillId="32" borderId="16" xfId="0" applyNumberFormat="1" applyFont="1" applyFill="1" applyBorder="1"/>
    <xf numFmtId="164" fontId="45" fillId="33" borderId="16" xfId="0" applyNumberFormat="1" applyFont="1" applyFill="1" applyBorder="1"/>
    <xf numFmtId="164" fontId="45" fillId="33" borderId="16" xfId="1" applyNumberFormat="1" applyFont="1" applyFill="1" applyBorder="1"/>
    <xf numFmtId="164" fontId="51" fillId="31" borderId="16" xfId="0" applyNumberFormat="1" applyFont="1" applyFill="1" applyBorder="1"/>
    <xf numFmtId="164" fontId="44" fillId="31" borderId="16" xfId="0" applyNumberFormat="1" applyFont="1" applyFill="1" applyBorder="1"/>
    <xf numFmtId="164" fontId="47" fillId="31" borderId="16" xfId="0" applyNumberFormat="1" applyFont="1" applyFill="1" applyBorder="1"/>
    <xf numFmtId="164" fontId="49" fillId="2" borderId="16" xfId="0" applyNumberFormat="1" applyFont="1" applyFill="1" applyBorder="1"/>
    <xf numFmtId="164" fontId="44" fillId="13" borderId="16" xfId="1" applyNumberFormat="1" applyFont="1" applyFill="1" applyBorder="1"/>
    <xf numFmtId="0" fontId="45" fillId="10" borderId="27" xfId="0" applyFont="1" applyFill="1" applyBorder="1"/>
    <xf numFmtId="164" fontId="45" fillId="11" borderId="17" xfId="0" applyNumberFormat="1" applyFont="1" applyFill="1" applyBorder="1"/>
    <xf numFmtId="164" fontId="45" fillId="5" borderId="16" xfId="1" applyNumberFormat="1" applyFont="1" applyFill="1" applyBorder="1"/>
    <xf numFmtId="164" fontId="45" fillId="2" borderId="16" xfId="1" applyNumberFormat="1" applyFont="1" applyFill="1" applyBorder="1"/>
    <xf numFmtId="164" fontId="45" fillId="25" borderId="16" xfId="0" applyNumberFormat="1" applyFont="1" applyFill="1" applyBorder="1"/>
    <xf numFmtId="164" fontId="45" fillId="5" borderId="16" xfId="0" applyNumberFormat="1" applyFont="1" applyFill="1" applyBorder="1"/>
    <xf numFmtId="0" fontId="45" fillId="2" borderId="28" xfId="0" applyFont="1" applyFill="1" applyBorder="1"/>
    <xf numFmtId="164" fontId="45" fillId="0" borderId="0" xfId="0" applyNumberFormat="1" applyFont="1"/>
    <xf numFmtId="164" fontId="45" fillId="36" borderId="16" xfId="0" applyNumberFormat="1" applyFont="1" applyFill="1" applyBorder="1"/>
    <xf numFmtId="164" fontId="44" fillId="36" borderId="16" xfId="0" applyNumberFormat="1" applyFont="1" applyFill="1" applyBorder="1"/>
    <xf numFmtId="44" fontId="44" fillId="36" borderId="16" xfId="1" applyFont="1" applyFill="1" applyBorder="1"/>
    <xf numFmtId="0" fontId="50" fillId="2" borderId="0" xfId="0" applyFont="1" applyFill="1" applyAlignment="1">
      <alignment horizontal="left"/>
    </xf>
    <xf numFmtId="164" fontId="44" fillId="2" borderId="0" xfId="0" applyNumberFormat="1" applyFont="1" applyFill="1"/>
    <xf numFmtId="164" fontId="2" fillId="30" borderId="0" xfId="1" quotePrefix="1" applyNumberFormat="1" applyFont="1" applyFill="1" applyBorder="1"/>
    <xf numFmtId="0" fontId="53" fillId="2" borderId="0" xfId="0" applyFont="1" applyFill="1"/>
    <xf numFmtId="0" fontId="3" fillId="13" borderId="0" xfId="0" applyFont="1" applyFill="1"/>
    <xf numFmtId="0" fontId="4" fillId="13" borderId="0" xfId="0" applyFont="1" applyFill="1"/>
    <xf numFmtId="1" fontId="0" fillId="13" borderId="0" xfId="1" applyNumberFormat="1" applyFont="1" applyFill="1" applyBorder="1"/>
    <xf numFmtId="166" fontId="0" fillId="0" borderId="10" xfId="0" applyNumberFormat="1" applyBorder="1" applyAlignment="1">
      <alignment horizontal="center"/>
    </xf>
    <xf numFmtId="14" fontId="9" fillId="25" borderId="22" xfId="0" applyNumberFormat="1" applyFont="1" applyFill="1" applyBorder="1" applyAlignment="1">
      <alignment horizontal="center"/>
    </xf>
    <xf numFmtId="0" fontId="9" fillId="25" borderId="22" xfId="0" applyFont="1" applyFill="1" applyBorder="1"/>
    <xf numFmtId="1" fontId="9" fillId="25" borderId="22" xfId="0" applyNumberFormat="1" applyFont="1" applyFill="1" applyBorder="1"/>
    <xf numFmtId="44" fontId="9" fillId="25" borderId="22" xfId="1" applyFont="1" applyFill="1" applyBorder="1"/>
    <xf numFmtId="44" fontId="7" fillId="25" borderId="22" xfId="1" applyFont="1" applyFill="1" applyBorder="1"/>
    <xf numFmtId="44" fontId="13" fillId="25" borderId="22" xfId="1" applyFont="1" applyFill="1" applyBorder="1"/>
    <xf numFmtId="164" fontId="27" fillId="25" borderId="22" xfId="1" applyNumberFormat="1" applyFont="1" applyFill="1" applyBorder="1"/>
    <xf numFmtId="0" fontId="9" fillId="25" borderId="22" xfId="0" applyFont="1" applyFill="1" applyBorder="1" applyAlignment="1">
      <alignment horizontal="center"/>
    </xf>
    <xf numFmtId="0" fontId="9" fillId="25" borderId="22" xfId="0" applyFont="1" applyFill="1" applyBorder="1" applyAlignment="1">
      <alignment horizontal="left"/>
    </xf>
    <xf numFmtId="0" fontId="43" fillId="25" borderId="22" xfId="0" applyFont="1" applyFill="1" applyBorder="1" applyAlignment="1">
      <alignment horizontal="left"/>
    </xf>
    <xf numFmtId="0" fontId="0" fillId="25" borderId="22" xfId="0" applyFill="1" applyBorder="1" applyAlignment="1">
      <alignment horizontal="center"/>
    </xf>
    <xf numFmtId="44" fontId="0" fillId="25" borderId="22" xfId="1" applyFont="1" applyFill="1" applyBorder="1"/>
    <xf numFmtId="44" fontId="27" fillId="25" borderId="22" xfId="1" applyFont="1" applyFill="1" applyBorder="1"/>
    <xf numFmtId="14" fontId="0" fillId="25" borderId="22" xfId="0" applyNumberFormat="1" applyFill="1" applyBorder="1" applyAlignment="1">
      <alignment horizontal="center"/>
    </xf>
    <xf numFmtId="0" fontId="0" fillId="25" borderId="22" xfId="0" applyFill="1" applyBorder="1"/>
    <xf numFmtId="1" fontId="0" fillId="25" borderId="22" xfId="0" applyNumberFormat="1" applyFill="1" applyBorder="1" applyAlignment="1">
      <alignment horizontal="left"/>
    </xf>
    <xf numFmtId="0" fontId="0" fillId="25" borderId="22" xfId="0" applyFill="1" applyBorder="1" applyAlignment="1">
      <alignment horizontal="left"/>
    </xf>
    <xf numFmtId="166" fontId="2" fillId="0" borderId="0" xfId="0" applyNumberFormat="1" applyFont="1" applyAlignment="1">
      <alignment horizontal="center" vertical="center"/>
    </xf>
    <xf numFmtId="170" fontId="36" fillId="0" borderId="12" xfId="0" applyNumberFormat="1" applyFont="1" applyBorder="1" applyAlignment="1">
      <alignment horizontal="center"/>
    </xf>
    <xf numFmtId="174" fontId="37" fillId="0" borderId="14" xfId="4" applyFont="1" applyFill="1" applyBorder="1" applyAlignment="1"/>
    <xf numFmtId="166" fontId="2" fillId="0" borderId="1" xfId="0" applyNumberFormat="1" applyFont="1" applyBorder="1" applyAlignment="1">
      <alignment horizontal="center" vertical="center"/>
    </xf>
    <xf numFmtId="166" fontId="2" fillId="0" borderId="2" xfId="0" applyNumberFormat="1" applyFont="1" applyBorder="1" applyAlignment="1">
      <alignment horizontal="center" vertical="center"/>
    </xf>
    <xf numFmtId="168" fontId="2" fillId="19" borderId="1" xfId="0" applyNumberFormat="1" applyFont="1" applyFill="1" applyBorder="1" applyAlignment="1">
      <alignment horizontal="center" vertical="center"/>
    </xf>
    <xf numFmtId="168" fontId="36" fillId="19" borderId="2" xfId="0" applyNumberFormat="1" applyFont="1" applyFill="1" applyBorder="1" applyAlignment="1">
      <alignment horizontal="center" vertical="center"/>
    </xf>
    <xf numFmtId="0" fontId="36" fillId="20" borderId="3" xfId="0" applyFont="1" applyFill="1" applyBorder="1" applyAlignment="1">
      <alignment horizontal="center" vertical="center"/>
    </xf>
    <xf numFmtId="168" fontId="36" fillId="17" borderId="13" xfId="4" applyNumberFormat="1" applyFont="1" applyFill="1" applyBorder="1" applyAlignment="1">
      <alignment horizontal="center" vertical="center"/>
    </xf>
    <xf numFmtId="168" fontId="42" fillId="6" borderId="12" xfId="4" applyNumberFormat="1" applyFont="1" applyFill="1" applyBorder="1" applyAlignment="1">
      <alignment horizontal="center" vertical="center"/>
    </xf>
    <xf numFmtId="168" fontId="36" fillId="6" borderId="14" xfId="4" applyNumberFormat="1" applyFont="1" applyFill="1" applyBorder="1" applyAlignment="1">
      <alignment horizontal="center" vertical="center"/>
    </xf>
    <xf numFmtId="168" fontId="36" fillId="8" borderId="14" xfId="4" applyNumberFormat="1" applyFont="1" applyFill="1" applyBorder="1" applyAlignment="1">
      <alignment horizontal="center" vertical="center"/>
    </xf>
    <xf numFmtId="0" fontId="0" fillId="26" borderId="0" xfId="0" applyFill="1"/>
    <xf numFmtId="168" fontId="2" fillId="26" borderId="7" xfId="0" applyNumberFormat="1" applyFont="1" applyFill="1" applyBorder="1" applyAlignment="1">
      <alignment horizontal="center"/>
    </xf>
    <xf numFmtId="168" fontId="36" fillId="26" borderId="14" xfId="4" applyNumberFormat="1" applyFont="1" applyFill="1" applyBorder="1" applyAlignment="1">
      <alignment horizontal="center" vertical="center"/>
    </xf>
    <xf numFmtId="174" fontId="0" fillId="2" borderId="0" xfId="4" applyFont="1" applyFill="1" applyAlignment="1">
      <alignment horizontal="center"/>
    </xf>
    <xf numFmtId="166" fontId="0" fillId="26" borderId="5" xfId="0" applyNumberFormat="1" applyFill="1" applyBorder="1" applyAlignment="1">
      <alignment horizontal="center"/>
    </xf>
    <xf numFmtId="168" fontId="2" fillId="26" borderId="4" xfId="0" applyNumberFormat="1" applyFont="1" applyFill="1" applyBorder="1" applyAlignment="1">
      <alignment horizontal="center"/>
    </xf>
    <xf numFmtId="168" fontId="36" fillId="26" borderId="12" xfId="4" applyNumberFormat="1" applyFont="1" applyFill="1" applyBorder="1" applyAlignment="1">
      <alignment horizontal="center" vertical="center"/>
    </xf>
    <xf numFmtId="0" fontId="45" fillId="26" borderId="0" xfId="0" applyFont="1" applyFill="1" applyAlignment="1">
      <alignment horizontal="center"/>
    </xf>
    <xf numFmtId="0" fontId="45" fillId="26" borderId="10" xfId="0" applyFont="1" applyFill="1" applyBorder="1" applyAlignment="1">
      <alignment horizontal="center" vertical="center" wrapText="1"/>
    </xf>
    <xf numFmtId="168" fontId="2" fillId="26" borderId="9" xfId="0" applyNumberFormat="1" applyFont="1" applyFill="1" applyBorder="1" applyAlignment="1">
      <alignment horizontal="center"/>
    </xf>
    <xf numFmtId="176" fontId="36" fillId="26" borderId="12" xfId="5" applyNumberFormat="1" applyFont="1" applyFill="1" applyBorder="1" applyAlignment="1">
      <alignment horizontal="center"/>
    </xf>
    <xf numFmtId="176" fontId="37" fillId="26" borderId="5" xfId="5" applyNumberFormat="1" applyFont="1" applyFill="1" applyBorder="1" applyAlignment="1">
      <alignment horizontal="center"/>
    </xf>
    <xf numFmtId="0" fontId="47" fillId="26" borderId="0" xfId="0" applyFont="1" applyFill="1" applyAlignment="1">
      <alignment horizontal="center" vertical="center" wrapText="1"/>
    </xf>
    <xf numFmtId="178" fontId="37" fillId="26" borderId="0" xfId="5" applyNumberFormat="1" applyFont="1" applyFill="1" applyBorder="1" applyAlignment="1">
      <alignment horizontal="center"/>
    </xf>
    <xf numFmtId="178" fontId="37" fillId="26" borderId="10" xfId="5" applyNumberFormat="1" applyFont="1" applyFill="1" applyBorder="1" applyAlignment="1">
      <alignment horizontal="center"/>
    </xf>
    <xf numFmtId="168" fontId="36" fillId="26" borderId="15" xfId="4" applyNumberFormat="1" applyFont="1" applyFill="1" applyBorder="1" applyAlignment="1">
      <alignment horizontal="center" vertical="center"/>
    </xf>
    <xf numFmtId="166" fontId="37" fillId="37" borderId="7" xfId="0" applyNumberFormat="1" applyFont="1" applyFill="1" applyBorder="1" applyAlignment="1">
      <alignment horizontal="center"/>
    </xf>
    <xf numFmtId="0" fontId="19" fillId="37" borderId="15" xfId="0" applyFont="1" applyFill="1" applyBorder="1" applyAlignment="1">
      <alignment horizontal="center" vertical="center" wrapText="1"/>
    </xf>
    <xf numFmtId="166" fontId="0" fillId="37" borderId="0" xfId="0" applyNumberFormat="1" applyFill="1" applyAlignment="1">
      <alignment horizontal="center"/>
    </xf>
    <xf numFmtId="168" fontId="2" fillId="37" borderId="7" xfId="0" applyNumberFormat="1" applyFont="1" applyFill="1" applyBorder="1" applyAlignment="1">
      <alignment horizontal="center"/>
    </xf>
    <xf numFmtId="166" fontId="0" fillId="37" borderId="8" xfId="0" applyNumberFormat="1" applyFill="1" applyBorder="1" applyAlignment="1">
      <alignment horizontal="center"/>
    </xf>
    <xf numFmtId="176" fontId="36" fillId="37" borderId="0" xfId="5" applyNumberFormat="1" applyFont="1" applyFill="1" applyBorder="1" applyAlignment="1">
      <alignment horizontal="center"/>
    </xf>
    <xf numFmtId="176" fontId="36" fillId="37" borderId="15" xfId="5" applyNumberFormat="1" applyFont="1" applyFill="1" applyBorder="1" applyAlignment="1">
      <alignment horizontal="center"/>
    </xf>
    <xf numFmtId="178" fontId="37" fillId="37" borderId="0" xfId="5" applyNumberFormat="1" applyFont="1" applyFill="1" applyBorder="1" applyAlignment="1">
      <alignment horizontal="center"/>
    </xf>
    <xf numFmtId="168" fontId="36" fillId="6" borderId="15" xfId="4" applyNumberFormat="1" applyFont="1" applyFill="1" applyBorder="1" applyAlignment="1">
      <alignment horizontal="center" vertical="center"/>
    </xf>
    <xf numFmtId="168" fontId="36" fillId="17" borderId="13" xfId="4" applyNumberFormat="1" applyFont="1" applyFill="1" applyBorder="1" applyAlignment="1">
      <alignment horizontal="center"/>
    </xf>
    <xf numFmtId="168" fontId="36" fillId="0" borderId="14" xfId="4" applyNumberFormat="1" applyFont="1" applyFill="1" applyBorder="1" applyAlignment="1">
      <alignment horizontal="center"/>
    </xf>
    <xf numFmtId="168" fontId="41" fillId="0" borderId="0" xfId="0" applyNumberFormat="1" applyFont="1" applyAlignment="1">
      <alignment horizontal="center"/>
    </xf>
    <xf numFmtId="44" fontId="2" fillId="13" borderId="22" xfId="1" applyFont="1" applyFill="1" applyBorder="1"/>
    <xf numFmtId="44" fontId="7" fillId="13" borderId="22" xfId="1" applyFont="1" applyFill="1" applyBorder="1"/>
    <xf numFmtId="44" fontId="0" fillId="13" borderId="22" xfId="1" applyFont="1" applyFill="1" applyBorder="1" applyAlignment="1">
      <alignment horizontal="left"/>
    </xf>
    <xf numFmtId="0" fontId="58" fillId="2" borderId="22" xfId="0" applyFont="1" applyFill="1" applyBorder="1" applyAlignment="1">
      <alignment horizontal="center"/>
    </xf>
    <xf numFmtId="14" fontId="9" fillId="13" borderId="22" xfId="0" applyNumberFormat="1" applyFont="1" applyFill="1" applyBorder="1" applyAlignment="1">
      <alignment horizontal="center"/>
    </xf>
    <xf numFmtId="0" fontId="9" fillId="2" borderId="23" xfId="0" applyFont="1" applyFill="1" applyBorder="1" applyAlignment="1">
      <alignment horizontal="center"/>
    </xf>
    <xf numFmtId="44" fontId="10" fillId="0" borderId="0" xfId="1" applyFont="1" applyAlignment="1">
      <alignment vertical="center"/>
    </xf>
    <xf numFmtId="44" fontId="2" fillId="0" borderId="0" xfId="0" applyNumberFormat="1" applyFont="1" applyAlignment="1">
      <alignment vertical="center"/>
    </xf>
    <xf numFmtId="0" fontId="4" fillId="13" borderId="0" xfId="0" applyFont="1" applyFill="1" applyAlignment="1">
      <alignment horizontal="left"/>
    </xf>
    <xf numFmtId="172" fontId="4" fillId="13" borderId="0" xfId="0" applyNumberFormat="1" applyFont="1" applyFill="1" applyAlignment="1">
      <alignment horizontal="right"/>
    </xf>
    <xf numFmtId="0" fontId="7" fillId="2" borderId="10" xfId="0" applyFont="1" applyFill="1" applyBorder="1" applyAlignment="1" applyProtection="1">
      <alignment horizontal="left"/>
      <protection locked="0"/>
    </xf>
    <xf numFmtId="172" fontId="7" fillId="2" borderId="10" xfId="0" applyNumberFormat="1" applyFont="1" applyFill="1" applyBorder="1" applyAlignment="1" applyProtection="1">
      <alignment horizontal="right"/>
      <protection locked="0"/>
    </xf>
    <xf numFmtId="164" fontId="7" fillId="2" borderId="1" xfId="0" applyNumberFormat="1" applyFont="1" applyFill="1" applyBorder="1" applyProtection="1">
      <protection locked="0"/>
    </xf>
    <xf numFmtId="172" fontId="7" fillId="2" borderId="3" xfId="2" applyNumberFormat="1" applyFont="1" applyFill="1" applyBorder="1" applyAlignment="1" applyProtection="1">
      <alignment horizontal="right"/>
      <protection locked="0"/>
    </xf>
    <xf numFmtId="164" fontId="7" fillId="2" borderId="1" xfId="1" applyNumberFormat="1" applyFont="1" applyFill="1" applyBorder="1" applyProtection="1">
      <protection locked="0"/>
    </xf>
    <xf numFmtId="164" fontId="9" fillId="2" borderId="7" xfId="1" applyNumberFormat="1" applyFont="1" applyFill="1" applyBorder="1" applyProtection="1">
      <protection locked="0"/>
    </xf>
    <xf numFmtId="172" fontId="9" fillId="2" borderId="8" xfId="2" applyNumberFormat="1" applyFont="1" applyFill="1" applyBorder="1" applyAlignment="1" applyProtection="1">
      <alignment horizontal="right"/>
      <protection locked="0"/>
    </xf>
    <xf numFmtId="164" fontId="7" fillId="2" borderId="7" xfId="1" applyNumberFormat="1" applyFont="1" applyFill="1" applyBorder="1" applyAlignment="1" applyProtection="1">
      <alignment horizontal="right"/>
      <protection locked="0"/>
    </xf>
    <xf numFmtId="172" fontId="7" fillId="2" borderId="8" xfId="2" applyNumberFormat="1" applyFont="1" applyFill="1" applyBorder="1" applyAlignment="1" applyProtection="1">
      <alignment horizontal="right"/>
      <protection locked="0"/>
    </xf>
    <xf numFmtId="164" fontId="9" fillId="2" borderId="7" xfId="1" applyNumberFormat="1" applyFont="1" applyFill="1" applyBorder="1" applyAlignment="1" applyProtection="1">
      <alignment horizontal="right"/>
      <protection locked="0"/>
    </xf>
    <xf numFmtId="1" fontId="9" fillId="2" borderId="7" xfId="1" applyNumberFormat="1" applyFont="1" applyFill="1" applyBorder="1" applyAlignment="1" applyProtection="1">
      <alignment horizontal="right"/>
      <protection locked="0"/>
    </xf>
    <xf numFmtId="164" fontId="7" fillId="2" borderId="9" xfId="1" applyNumberFormat="1" applyFont="1" applyFill="1" applyBorder="1" applyProtection="1">
      <protection locked="0"/>
    </xf>
    <xf numFmtId="172" fontId="7" fillId="2" borderId="11" xfId="2" applyNumberFormat="1" applyFont="1" applyFill="1" applyBorder="1" applyAlignment="1" applyProtection="1">
      <alignment horizontal="right"/>
      <protection locked="0"/>
    </xf>
    <xf numFmtId="164" fontId="9" fillId="2" borderId="7" xfId="0" applyNumberFormat="1" applyFont="1" applyFill="1" applyBorder="1" applyProtection="1">
      <protection locked="0"/>
    </xf>
    <xf numFmtId="164" fontId="7" fillId="2" borderId="2" xfId="0" applyNumberFormat="1" applyFont="1" applyFill="1" applyBorder="1" applyProtection="1">
      <protection locked="0"/>
    </xf>
    <xf numFmtId="164" fontId="7" fillId="2" borderId="7" xfId="1" applyNumberFormat="1" applyFont="1" applyFill="1" applyBorder="1" applyProtection="1">
      <protection locked="0"/>
    </xf>
    <xf numFmtId="164" fontId="9" fillId="2" borderId="9" xfId="0" applyNumberFormat="1" applyFont="1" applyFill="1" applyBorder="1" applyProtection="1">
      <protection locked="0"/>
    </xf>
    <xf numFmtId="164" fontId="7" fillId="2" borderId="2" xfId="1" applyNumberFormat="1" applyFont="1" applyFill="1" applyBorder="1" applyProtection="1">
      <protection locked="0"/>
    </xf>
    <xf numFmtId="0" fontId="7" fillId="28" borderId="10" xfId="0" applyFont="1" applyFill="1" applyBorder="1" applyAlignment="1">
      <alignment horizontal="left" vertical="center"/>
    </xf>
    <xf numFmtId="0" fontId="7" fillId="28" borderId="10" xfId="0" applyFont="1" applyFill="1" applyBorder="1" applyAlignment="1">
      <alignment horizontal="center" vertical="center"/>
    </xf>
    <xf numFmtId="0" fontId="35" fillId="28" borderId="10" xfId="0" applyFont="1" applyFill="1" applyBorder="1" applyAlignment="1">
      <alignment horizontal="center" vertical="center"/>
    </xf>
    <xf numFmtId="164" fontId="7" fillId="28" borderId="10" xfId="1" applyNumberFormat="1" applyFont="1" applyFill="1" applyBorder="1" applyAlignment="1">
      <alignment horizontal="center" vertical="center"/>
    </xf>
    <xf numFmtId="164" fontId="7" fillId="28" borderId="9" xfId="1" applyNumberFormat="1" applyFont="1" applyFill="1" applyBorder="1" applyAlignment="1" applyProtection="1">
      <alignment horizontal="center" vertical="center"/>
      <protection locked="0"/>
    </xf>
    <xf numFmtId="164" fontId="7" fillId="28" borderId="10" xfId="1" applyNumberFormat="1" applyFont="1" applyFill="1" applyBorder="1" applyAlignment="1" applyProtection="1">
      <alignment horizontal="center" vertical="center"/>
      <protection locked="0"/>
    </xf>
    <xf numFmtId="0" fontId="7" fillId="28" borderId="2" xfId="0" applyFont="1" applyFill="1" applyBorder="1"/>
    <xf numFmtId="0" fontId="9" fillId="28" borderId="2" xfId="0" applyFont="1" applyFill="1" applyBorder="1"/>
    <xf numFmtId="164" fontId="7" fillId="28" borderId="2" xfId="0" applyNumberFormat="1" applyFont="1" applyFill="1" applyBorder="1"/>
    <xf numFmtId="172" fontId="7" fillId="28" borderId="3" xfId="2" applyNumberFormat="1" applyFont="1" applyFill="1" applyBorder="1" applyAlignment="1" applyProtection="1">
      <alignment horizontal="right"/>
      <protection locked="0"/>
    </xf>
    <xf numFmtId="172" fontId="9" fillId="28" borderId="8" xfId="2" applyNumberFormat="1" applyFont="1" applyFill="1" applyBorder="1" applyAlignment="1" applyProtection="1">
      <alignment horizontal="right" vertical="center"/>
      <protection locked="0"/>
    </xf>
    <xf numFmtId="164" fontId="9" fillId="2" borderId="0" xfId="1" applyNumberFormat="1" applyFont="1" applyFill="1" applyBorder="1" applyAlignment="1" applyProtection="1">
      <alignment horizontal="right"/>
      <protection locked="0"/>
    </xf>
    <xf numFmtId="164" fontId="9" fillId="2" borderId="0" xfId="1" applyNumberFormat="1" applyFont="1" applyFill="1" applyBorder="1" applyProtection="1">
      <protection locked="0"/>
    </xf>
    <xf numFmtId="164" fontId="7" fillId="2" borderId="0" xfId="1" applyNumberFormat="1" applyFont="1" applyFill="1" applyBorder="1" applyAlignment="1" applyProtection="1">
      <alignment horizontal="right"/>
      <protection locked="0"/>
    </xf>
    <xf numFmtId="1" fontId="9" fillId="2" borderId="0" xfId="1" applyNumberFormat="1" applyFont="1" applyFill="1" applyBorder="1" applyAlignment="1" applyProtection="1">
      <alignment horizontal="right"/>
      <protection locked="0"/>
    </xf>
    <xf numFmtId="164" fontId="7" fillId="2" borderId="10" xfId="1" applyNumberFormat="1" applyFont="1" applyFill="1" applyBorder="1" applyProtection="1">
      <protection locked="0"/>
    </xf>
    <xf numFmtId="164" fontId="9" fillId="2" borderId="0" xfId="0" applyNumberFormat="1" applyFont="1" applyFill="1" applyProtection="1">
      <protection locked="0"/>
    </xf>
    <xf numFmtId="164" fontId="7" fillId="2" borderId="0" xfId="1" applyNumberFormat="1" applyFont="1" applyFill="1" applyBorder="1" applyProtection="1">
      <protection locked="0"/>
    </xf>
    <xf numFmtId="164" fontId="9" fillId="2" borderId="10" xfId="0" applyNumberFormat="1" applyFont="1" applyFill="1" applyBorder="1" applyProtection="1">
      <protection locked="0"/>
    </xf>
    <xf numFmtId="2" fontId="7" fillId="2" borderId="2" xfId="0" applyNumberFormat="1" applyFont="1" applyFill="1" applyBorder="1" applyAlignment="1" applyProtection="1">
      <alignment horizontal="right"/>
      <protection locked="0"/>
    </xf>
    <xf numFmtId="2" fontId="7" fillId="2" borderId="2" xfId="1" applyNumberFormat="1" applyFont="1" applyFill="1" applyBorder="1" applyAlignment="1" applyProtection="1">
      <alignment horizontal="right"/>
      <protection locked="0"/>
    </xf>
    <xf numFmtId="2" fontId="9" fillId="2" borderId="0" xfId="1" applyNumberFormat="1" applyFont="1" applyFill="1" applyBorder="1" applyAlignment="1" applyProtection="1">
      <alignment horizontal="right"/>
      <protection locked="0"/>
    </xf>
    <xf numFmtId="2" fontId="7" fillId="2" borderId="0" xfId="2" applyNumberFormat="1" applyFont="1" applyFill="1" applyBorder="1" applyAlignment="1" applyProtection="1">
      <alignment horizontal="right"/>
      <protection locked="0"/>
    </xf>
    <xf numFmtId="2" fontId="9" fillId="2" borderId="0" xfId="2" applyNumberFormat="1" applyFont="1" applyFill="1" applyBorder="1" applyAlignment="1" applyProtection="1">
      <alignment horizontal="right"/>
      <protection locked="0"/>
    </xf>
    <xf numFmtId="2" fontId="7" fillId="2" borderId="10" xfId="2" applyNumberFormat="1" applyFont="1" applyFill="1" applyBorder="1" applyAlignment="1" applyProtection="1">
      <alignment horizontal="right"/>
      <protection locked="0"/>
    </xf>
    <xf numFmtId="2" fontId="9" fillId="2" borderId="0" xfId="0" applyNumberFormat="1" applyFont="1" applyFill="1" applyAlignment="1" applyProtection="1">
      <alignment horizontal="right"/>
      <protection locked="0"/>
    </xf>
    <xf numFmtId="2" fontId="7" fillId="2" borderId="2" xfId="0" applyNumberFormat="1" applyFont="1" applyFill="1" applyBorder="1" applyProtection="1">
      <protection locked="0"/>
    </xf>
    <xf numFmtId="2" fontId="7" fillId="2" borderId="2" xfId="2" applyNumberFormat="1" applyFont="1" applyFill="1" applyBorder="1" applyAlignment="1" applyProtection="1">
      <alignment horizontal="right"/>
      <protection locked="0"/>
    </xf>
    <xf numFmtId="2" fontId="9" fillId="2" borderId="0" xfId="2" applyNumberFormat="1" applyFont="1" applyFill="1" applyAlignment="1" applyProtection="1">
      <alignment horizontal="right"/>
      <protection locked="0"/>
    </xf>
    <xf numFmtId="2" fontId="9" fillId="2" borderId="10" xfId="2" applyNumberFormat="1" applyFont="1" applyFill="1" applyBorder="1" applyAlignment="1" applyProtection="1">
      <alignment horizontal="right"/>
      <protection locked="0"/>
    </xf>
    <xf numFmtId="2" fontId="7" fillId="28" borderId="10" xfId="2" applyNumberFormat="1" applyFont="1" applyFill="1" applyBorder="1" applyAlignment="1" applyProtection="1">
      <alignment horizontal="right" vertical="center"/>
      <protection locked="0"/>
    </xf>
    <xf numFmtId="2" fontId="9" fillId="2" borderId="2" xfId="2" applyNumberFormat="1" applyFont="1" applyFill="1" applyBorder="1" applyAlignment="1" applyProtection="1">
      <alignment horizontal="right"/>
      <protection locked="0"/>
    </xf>
    <xf numFmtId="2" fontId="9" fillId="28" borderId="2" xfId="2" applyNumberFormat="1" applyFont="1" applyFill="1" applyBorder="1" applyAlignment="1" applyProtection="1">
      <alignment horizontal="right"/>
      <protection locked="0"/>
    </xf>
    <xf numFmtId="0" fontId="2" fillId="2" borderId="0" xfId="0" applyFont="1" applyFill="1" applyAlignment="1">
      <alignment horizontal="right"/>
    </xf>
    <xf numFmtId="44" fontId="2" fillId="2" borderId="0" xfId="1" applyFont="1" applyFill="1" applyBorder="1"/>
    <xf numFmtId="164" fontId="2" fillId="2" borderId="0" xfId="0" applyNumberFormat="1" applyFont="1" applyFill="1"/>
    <xf numFmtId="0" fontId="2" fillId="2" borderId="10" xfId="0" applyFont="1" applyFill="1" applyBorder="1"/>
    <xf numFmtId="44" fontId="2" fillId="2" borderId="10" xfId="0" applyNumberFormat="1" applyFont="1" applyFill="1" applyBorder="1"/>
    <xf numFmtId="164" fontId="2" fillId="2" borderId="10" xfId="0" applyNumberFormat="1" applyFont="1" applyFill="1" applyBorder="1"/>
    <xf numFmtId="2" fontId="0" fillId="2" borderId="0" xfId="1" applyNumberFormat="1" applyFont="1" applyFill="1" applyBorder="1"/>
    <xf numFmtId="164" fontId="2" fillId="2" borderId="0" xfId="1" applyNumberFormat="1" applyFont="1" applyFill="1" applyBorder="1"/>
    <xf numFmtId="1" fontId="2" fillId="2" borderId="0" xfId="1" applyNumberFormat="1" applyFont="1" applyFill="1" applyBorder="1"/>
    <xf numFmtId="0" fontId="2" fillId="2" borderId="10" xfId="0" applyFont="1" applyFill="1" applyBorder="1" applyAlignment="1">
      <alignment horizontal="left" indent="1"/>
    </xf>
    <xf numFmtId="44" fontId="2" fillId="2" borderId="10" xfId="1" applyFont="1" applyFill="1" applyBorder="1"/>
    <xf numFmtId="44" fontId="7" fillId="2" borderId="10" xfId="0" applyNumberFormat="1" applyFont="1" applyFill="1" applyBorder="1"/>
    <xf numFmtId="164" fontId="7" fillId="2" borderId="10" xfId="0" applyNumberFormat="1" applyFont="1" applyFill="1" applyBorder="1"/>
    <xf numFmtId="0" fontId="0" fillId="2" borderId="8" xfId="0" applyFill="1" applyBorder="1"/>
    <xf numFmtId="0" fontId="7" fillId="2" borderId="0" xfId="0" applyFont="1" applyFill="1" applyAlignment="1" applyProtection="1">
      <alignment horizontal="left"/>
      <protection locked="0"/>
    </xf>
    <xf numFmtId="164" fontId="7" fillId="2" borderId="5" xfId="0" applyNumberFormat="1" applyFont="1" applyFill="1" applyBorder="1" applyProtection="1">
      <protection locked="0"/>
    </xf>
    <xf numFmtId="164" fontId="7" fillId="28" borderId="2" xfId="0" applyNumberFormat="1" applyFont="1" applyFill="1" applyBorder="1" applyProtection="1">
      <protection locked="0"/>
    </xf>
    <xf numFmtId="164" fontId="7" fillId="2" borderId="4" xfId="0" applyNumberFormat="1" applyFont="1" applyFill="1" applyBorder="1" applyProtection="1">
      <protection locked="0"/>
    </xf>
    <xf numFmtId="44" fontId="2" fillId="2" borderId="0" xfId="1" applyFont="1" applyFill="1"/>
    <xf numFmtId="9" fontId="0" fillId="2" borderId="0" xfId="0" applyNumberFormat="1" applyFill="1"/>
    <xf numFmtId="9" fontId="0" fillId="2" borderId="0" xfId="2" applyFont="1" applyFill="1"/>
    <xf numFmtId="181" fontId="0" fillId="2" borderId="0" xfId="0" applyNumberFormat="1" applyFill="1"/>
    <xf numFmtId="166" fontId="0" fillId="0" borderId="10" xfId="0" applyNumberFormat="1" applyBorder="1" applyAlignment="1">
      <alignment horizontal="center"/>
    </xf>
    <xf numFmtId="0" fontId="18" fillId="4" borderId="1" xfId="0" applyFont="1" applyFill="1" applyBorder="1" applyAlignment="1">
      <alignment horizontal="center" vertical="center" wrapText="1"/>
    </xf>
    <xf numFmtId="0" fontId="18" fillId="4" borderId="2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</cellXfs>
  <cellStyles count="7">
    <cellStyle name="Millares 2" xfId="5" xr:uid="{6E2893B3-10F8-4D9C-BD92-431E19FC4363}"/>
    <cellStyle name="Moneda" xfId="1" builtinId="4"/>
    <cellStyle name="Moneda 2" xfId="4" xr:uid="{16B0B20A-B27D-4295-9C40-221DDADFDE86}"/>
    <cellStyle name="Moneda 2 2" xfId="6" xr:uid="{D5C5997E-3F3A-449D-89EE-B4639601BFA1}"/>
    <cellStyle name="Normal" xfId="0" builtinId="0"/>
    <cellStyle name="Porcentaje" xfId="2" builtinId="5"/>
    <cellStyle name="Porcentaje 2" xfId="3" xr:uid="{601FFD28-2AFC-46E3-A59F-D0CE22D320B3}"/>
  </cellStyles>
  <dxfs count="224">
    <dxf>
      <font>
        <strike val="0"/>
        <outline val="0"/>
        <shadow val="0"/>
        <u val="none"/>
        <vertAlign val="baseline"/>
        <sz val="8"/>
        <name val="Calibri"/>
        <family val="2"/>
      </font>
    </dxf>
    <dxf>
      <font>
        <strike val="0"/>
        <outline val="0"/>
        <shadow val="0"/>
        <u val="none"/>
        <vertAlign val="baseline"/>
        <sz val="8"/>
        <name val="Calibri"/>
        <family val="2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8"/>
        <name val="Calibri"/>
        <family val="2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8"/>
        <name val="Calibri"/>
        <family val="2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_-[$USD]\ * #,##0.00_-;\-[$USD]\ * #,##0.00_-;_-[$USD]\ * &quot;-&quot;??_-;_-@_-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</border>
    </dxf>
    <dxf>
      <font>
        <strike val="0"/>
        <outline val="0"/>
        <shadow val="0"/>
        <u val="none"/>
        <vertAlign val="baseline"/>
        <sz val="8"/>
        <name val="Calibri"/>
        <family val="2"/>
      </font>
    </dxf>
    <dxf>
      <font>
        <b/>
        <strike val="0"/>
        <outline val="0"/>
        <shadow val="0"/>
        <u val="none"/>
        <vertAlign val="baseline"/>
        <sz val="8"/>
        <name val="Calibri"/>
        <family val="2"/>
      </font>
      <numFmt numFmtId="34" formatCode="_-&quot;$&quot;\ * #,##0.00_-;\-&quot;$&quot;\ * #,##0.00_-;_-&quot;$&quot;\ * &quot;-&quot;??_-;_-@_-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4" formatCode="_-&quot;$&quot;\ * #,##0.00_-;\-&quot;$&quot;\ * #,##0.00_-;_-&quot;$&quot;\ * &quot;-&quot;??_-;_-@_-"/>
      <fill>
        <patternFill patternType="none">
          <fgColor indexed="64"/>
          <bgColor indexed="65"/>
        </patternFill>
      </fill>
    </dxf>
    <dxf>
      <font>
        <b/>
        <strike val="0"/>
        <outline val="0"/>
        <shadow val="0"/>
        <u val="none"/>
        <vertAlign val="baseline"/>
        <sz val="8"/>
        <name val="Calibri"/>
        <family val="2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8"/>
        <name val="Calibri"/>
        <family val="2"/>
      </font>
    </dxf>
    <dxf>
      <font>
        <strike val="0"/>
        <outline val="0"/>
        <shadow val="0"/>
        <u val="none"/>
        <vertAlign val="baseline"/>
        <sz val="8"/>
        <name val="Calibri"/>
        <family val="2"/>
      </font>
    </dxf>
    <dxf>
      <font>
        <strike val="0"/>
        <outline val="0"/>
        <shadow val="0"/>
        <u val="none"/>
        <vertAlign val="baseline"/>
        <sz val="8"/>
        <name val="Calibri"/>
        <family val="2"/>
      </font>
    </dxf>
    <dxf>
      <font>
        <strike val="0"/>
        <outline val="0"/>
        <shadow val="0"/>
        <u val="none"/>
        <vertAlign val="baseline"/>
        <sz val="8"/>
        <name val="Calibri"/>
        <family val="2"/>
      </font>
    </dxf>
    <dxf>
      <font>
        <strike val="0"/>
        <outline val="0"/>
        <shadow val="0"/>
        <u val="none"/>
        <vertAlign val="baseline"/>
        <sz val="8"/>
        <name val="Calibri"/>
        <family val="2"/>
      </font>
    </dxf>
    <dxf>
      <font>
        <strike val="0"/>
        <outline val="0"/>
        <shadow val="0"/>
        <u val="none"/>
        <vertAlign val="baseline"/>
        <sz val="8"/>
        <name val="Calibri"/>
        <family val="2"/>
      </font>
    </dxf>
    <dxf>
      <font>
        <strike val="0"/>
        <outline val="0"/>
        <shadow val="0"/>
        <u val="none"/>
        <vertAlign val="baseline"/>
        <sz val="8"/>
        <name val="Calibri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8"/>
        <name val="Calibri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8"/>
        <name val="Calibri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8"/>
        <name val="Calibri"/>
        <family val="2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8"/>
        <name val="Calibri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8"/>
        <name val="Calibri"/>
        <family val="2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8"/>
        <name val="Calibri"/>
        <family val="2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8"/>
        <name val="Calibri"/>
        <family val="2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8"/>
        <name val="Calibri"/>
        <family val="2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8"/>
        <name val="Calibri"/>
        <family val="2"/>
      </font>
    </dxf>
    <dxf>
      <font>
        <strike val="0"/>
        <outline val="0"/>
        <shadow val="0"/>
        <u val="none"/>
        <vertAlign val="baseline"/>
        <sz val="8"/>
        <name val="Calibri"/>
        <family val="2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8"/>
        <name val="Calibri"/>
        <family val="2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8"/>
        <name val="Calibri"/>
        <family val="2"/>
      </font>
      <numFmt numFmtId="19" formatCode="d/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8"/>
        <name val="Calibri"/>
        <family val="2"/>
      </font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family val="2"/>
      </font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8"/>
        <name val="Calibri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_-[$USD]\ * #,##0.00_-;\-[$USD]\ * #,##0.00_-;_-[$USD]\ * &quot;-&quot;??_-;_-@_-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name val="Calibri"/>
        <family val="2"/>
      </font>
    </dxf>
    <dxf>
      <font>
        <b/>
        <strike val="0"/>
        <outline val="0"/>
        <shadow val="0"/>
        <u val="none"/>
        <vertAlign val="baseline"/>
        <sz val="8"/>
        <name val="Calibri"/>
        <family val="2"/>
      </font>
      <numFmt numFmtId="34" formatCode="_-&quot;$&quot;\ * #,##0.00_-;\-&quot;$&quot;\ * #,##0.00_-;_-&quot;$&quot;\ * &quot;-&quot;??_-;_-@_-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4" formatCode="_-&quot;$&quot;\ * #,##0.00_-;\-&quot;$&quot;\ * #,##0.00_-;_-&quot;$&quot;\ * &quot;-&quot;??_-;_-@_-"/>
      <fill>
        <patternFill patternType="none">
          <fgColor indexed="64"/>
          <bgColor indexed="65"/>
        </patternFill>
      </fill>
    </dxf>
    <dxf>
      <font>
        <b/>
        <strike val="0"/>
        <outline val="0"/>
        <shadow val="0"/>
        <u val="none"/>
        <vertAlign val="baseline"/>
        <sz val="8"/>
        <name val="Calibri"/>
        <family val="2"/>
      </font>
    </dxf>
    <dxf>
      <font>
        <strike val="0"/>
        <outline val="0"/>
        <shadow val="0"/>
        <u val="none"/>
        <vertAlign val="baseline"/>
        <sz val="8"/>
        <name val="Calibri"/>
        <family val="2"/>
      </font>
    </dxf>
    <dxf>
      <font>
        <strike val="0"/>
        <outline val="0"/>
        <shadow val="0"/>
        <u val="none"/>
        <vertAlign val="baseline"/>
        <sz val="8"/>
        <name val="Calibri"/>
        <family val="2"/>
      </font>
    </dxf>
    <dxf>
      <font>
        <strike val="0"/>
        <outline val="0"/>
        <shadow val="0"/>
        <u val="none"/>
        <vertAlign val="baseline"/>
        <sz val="8"/>
        <name val="Calibri"/>
        <family val="2"/>
      </font>
    </dxf>
    <dxf>
      <font>
        <strike val="0"/>
        <outline val="0"/>
        <shadow val="0"/>
        <u val="none"/>
        <vertAlign val="baseline"/>
        <sz val="8"/>
        <name val="Calibri"/>
        <family val="2"/>
      </font>
    </dxf>
    <dxf>
      <font>
        <strike val="0"/>
        <outline val="0"/>
        <shadow val="0"/>
        <u val="none"/>
        <vertAlign val="baseline"/>
        <sz val="8"/>
        <name val="Calibri"/>
        <family val="2"/>
      </font>
    </dxf>
    <dxf>
      <font>
        <strike val="0"/>
        <outline val="0"/>
        <shadow val="0"/>
        <u val="none"/>
        <vertAlign val="baseline"/>
        <sz val="8"/>
        <name val="Calibri"/>
        <family val="2"/>
      </font>
    </dxf>
    <dxf>
      <font>
        <strike val="0"/>
        <outline val="0"/>
        <shadow val="0"/>
        <u val="none"/>
        <vertAlign val="baseline"/>
        <sz val="8"/>
        <name val="Calibri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8"/>
        <name val="Calibri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8"/>
        <name val="Calibri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8"/>
        <name val="Calibri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8"/>
        <name val="Calibri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8"/>
        <name val="Calibri"/>
        <family val="2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8"/>
        <name val="Calibri"/>
        <family val="2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8"/>
        <name val="Calibri"/>
        <family val="2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8"/>
        <name val="Calibri"/>
        <family val="2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8"/>
        <name val="Calibri"/>
        <family val="2"/>
      </font>
    </dxf>
    <dxf>
      <font>
        <strike val="0"/>
        <outline val="0"/>
        <shadow val="0"/>
        <u val="none"/>
        <vertAlign val="baseline"/>
        <sz val="8"/>
        <name val="Calibri"/>
        <family val="2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8"/>
        <name val="Calibri"/>
        <family val="2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8"/>
        <name val="Calibri"/>
        <family val="2"/>
      </font>
      <numFmt numFmtId="19" formatCode="d/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"/>
        <family val="2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family val="2"/>
      </font>
    </dxf>
    <dxf>
      <font>
        <strike val="0"/>
        <outline val="0"/>
        <shadow val="0"/>
        <u val="none"/>
        <vertAlign val="baseline"/>
        <sz val="8"/>
        <name val="Calibri"/>
        <family val="2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8"/>
        <name val="Calibri"/>
        <family val="2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8"/>
        <name val="Calibri"/>
        <family val="2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_-[$USD]\ * #,##0.00_-;\-[$USD]\ * #,##0.00_-;_-[$USD]\ * &quot;-&quot;??_-;_-@_-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</border>
    </dxf>
    <dxf>
      <font>
        <strike val="0"/>
        <outline val="0"/>
        <shadow val="0"/>
        <u val="none"/>
        <vertAlign val="baseline"/>
        <sz val="8"/>
        <name val="Calibri"/>
        <family val="2"/>
      </font>
    </dxf>
    <dxf>
      <font>
        <b/>
        <strike val="0"/>
        <outline val="0"/>
        <shadow val="0"/>
        <u val="none"/>
        <vertAlign val="baseline"/>
        <sz val="8"/>
        <name val="Calibri"/>
        <family val="2"/>
      </font>
      <numFmt numFmtId="34" formatCode="_-&quot;$&quot;\ * #,##0.00_-;\-&quot;$&quot;\ * #,##0.00_-;_-&quot;$&quot;\ * &quot;-&quot;??_-;_-@_-"/>
      <fill>
        <patternFill patternType="none">
          <fgColor indexed="64"/>
          <bgColor indexed="65"/>
        </patternFill>
      </fill>
    </dxf>
    <dxf>
      <font>
        <b/>
        <strike val="0"/>
        <outline val="0"/>
        <shadow val="0"/>
        <u val="none"/>
        <vertAlign val="baseline"/>
        <sz val="8"/>
        <name val="Calibri"/>
        <family val="2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8"/>
        <name val="Calibri"/>
        <family val="2"/>
      </font>
    </dxf>
    <dxf>
      <font>
        <strike val="0"/>
        <outline val="0"/>
        <shadow val="0"/>
        <u val="none"/>
        <vertAlign val="baseline"/>
        <sz val="8"/>
        <name val="Calibri"/>
        <family val="2"/>
      </font>
    </dxf>
    <dxf>
      <font>
        <strike val="0"/>
        <outline val="0"/>
        <shadow val="0"/>
        <u val="none"/>
        <vertAlign val="baseline"/>
        <sz val="8"/>
        <name val="Calibri"/>
        <family val="2"/>
      </font>
    </dxf>
    <dxf>
      <font>
        <strike val="0"/>
        <outline val="0"/>
        <shadow val="0"/>
        <u val="none"/>
        <vertAlign val="baseline"/>
        <sz val="8"/>
        <name val="Calibri"/>
        <family val="2"/>
      </font>
    </dxf>
    <dxf>
      <font>
        <strike val="0"/>
        <outline val="0"/>
        <shadow val="0"/>
        <u val="none"/>
        <vertAlign val="baseline"/>
        <sz val="8"/>
        <name val="Calibri"/>
        <family val="2"/>
      </font>
    </dxf>
    <dxf>
      <font>
        <strike val="0"/>
        <outline val="0"/>
        <shadow val="0"/>
        <u val="none"/>
        <vertAlign val="baseline"/>
        <sz val="8"/>
        <name val="Calibri"/>
        <family val="2"/>
      </font>
    </dxf>
    <dxf>
      <font>
        <strike val="0"/>
        <outline val="0"/>
        <shadow val="0"/>
        <u val="none"/>
        <vertAlign val="baseline"/>
        <sz val="8"/>
        <name val="Calibri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8"/>
        <name val="Calibri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8"/>
        <name val="Calibri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8"/>
        <name val="Calibri"/>
        <family val="2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8"/>
        <name val="Calibri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8"/>
        <name val="Calibri"/>
        <family val="2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8"/>
        <name val="Calibri"/>
        <family val="2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8"/>
        <name val="Calibri"/>
        <family val="2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8"/>
        <name val="Calibri"/>
        <family val="2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8"/>
        <name val="Calibri"/>
        <family val="2"/>
      </font>
    </dxf>
    <dxf>
      <font>
        <strike val="0"/>
        <outline val="0"/>
        <shadow val="0"/>
        <u val="none"/>
        <vertAlign val="baseline"/>
        <sz val="8"/>
        <name val="Calibri"/>
        <family val="2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8"/>
        <name val="Calibri"/>
        <family val="2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8"/>
        <name val="Calibri"/>
        <family val="2"/>
      </font>
      <numFmt numFmtId="19" formatCode="d/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8"/>
        <name val="Calibri"/>
        <family val="2"/>
      </font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\ * #,##0.00_-;\-&quot;$&quot;\ * #,##0.00_-;_-&quot;$&quot;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\ * #,##0.00_-;\-&quot;$&quot;\ * #,##0.00_-;_-&quot;$&quot;\ * &quot;-&quot;??_-;_-@_-"/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\ * #,##0.00_-;\-&quot;$&quot;\ * #,##0.00_-;_-&quot;$&quot;\ * &quot;-&quot;??_-;_-@_-"/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\ * #,##0.00_-;\-&quot;$&quot;\ * #,##0.00_-;_-&quot;$&quot;\ * &quot;-&quot;??_-;_-@_-"/>
      <border diagonalUp="0" diagonalDown="0" outline="0">
        <left/>
        <right style="thin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[$USD]\ * #,##0.00_-;\-[$USD]\ * #,##0.00_-;_-[$USD]\ 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\ * #,##0.00_-;\-&quot;$&quot;\ * #,##0.00_-;_-&quot;$&quot;\ * &quot;-&quot;??_-;_-@_-"/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\ * #,##0.00_-;\-&quot;$&quot;\ * #,##0.00_-;_-&quot;$&quot;\ * &quot;-&quot;??_-;_-@_-"/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\ * #,##0.00_-;\-&quot;$&quot;\ * #,##0.00_-;_-&quot;$&quot;\ * &quot;-&quot;??_-;_-@_-"/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\ * #,##0.00_-;\-&quot;$&quot;\ * #,##0.00_-;_-&quot;$&quot;\ * &quot;-&quot;??_-;_-@_-"/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\ * #,##0.00_-;\-&quot;$&quot;\ * #,##0.00_-;_-&quot;$&quot;\ * &quot;-&quot;??_-;_-@_-"/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\ * #,##0.00_-;\-&quot;$&quot;\ * #,##0.00_-;_-&quot;$&quot;\ * &quot;-&quot;??_-;_-@_-"/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\ * #,##0.00_-;\-&quot;$&quot;\ * #,##0.00_-;_-&quot;$&quot;\ * &quot;-&quot;??_-;_-@_-"/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\ * #,##0.00_-;\-&quot;$&quot;\ * #,##0.00_-;_-&quot;$&quot;\ * &quot;-&quot;??_-;_-@_-"/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\ * #,##0.00_-;\-&quot;$&quot;\ * #,##0.00_-;_-&quot;$&quot;\ * &quot;-&quot;??_-;_-@_-"/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\ * #,##0.00_-;\-&quot;$&quot;\ * #,##0.00_-;_-&quot;$&quot;\ * &quot;-&quot;??_-;_-@_-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 outline="0">
        <left/>
        <right/>
        <top/>
        <bottom/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 outline="0">
        <left/>
        <right/>
        <top/>
        <bottom/>
      </border>
    </dxf>
    <dxf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000000"/>
          <bgColor rgb="FFFFFFFF"/>
        </patternFill>
      </fill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/m/yyyy"/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164" formatCode="_-[$USD]\ * #,##0.00_-;\-[$USD]\ * #,##0.00_-;_-[$USD]\ * &quot;-&quot;??_-;_-@_-"/>
      <fill>
        <patternFill patternType="solid">
          <fgColor indexed="64"/>
          <bgColor theme="0" tint="-4.9989318521683403E-2"/>
        </patternFill>
      </fill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164" formatCode="_-[$USD]\ * #,##0.00_-;\-[$USD]\ * #,##0.00_-;_-[$USD]\ * &quot;-&quot;??_-;_-@_-"/>
      <fill>
        <patternFill patternType="solid">
          <fgColor indexed="64"/>
          <bgColor theme="0" tint="-4.9989318521683403E-2"/>
        </patternFill>
      </fill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0" tint="-4.9989318521683403E-2"/>
        </patternFill>
      </fill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/m/yyyy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Calibri"/>
        <family val="2"/>
        <scheme val="minor"/>
      </font>
      <numFmt numFmtId="164" formatCode="_-[$USD]\ * #,##0.00_-;\-[$USD]\ * #,##0.00_-;_-[$USD]\ * &quot;-&quot;??_-;_-@_-"/>
      <fill>
        <patternFill patternType="solid">
          <fgColor indexed="64"/>
          <bgColor theme="0" tint="-4.9989318521683403E-2"/>
        </patternFill>
      </fill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Calibri"/>
        <family val="2"/>
        <scheme val="minor"/>
      </font>
      <numFmt numFmtId="164" formatCode="_-[$USD]\ * #,##0.00_-;\-[$USD]\ * #,##0.00_-;_-[$USD]\ * &quot;-&quot;??_-;_-@_-"/>
      <fill>
        <patternFill patternType="solid">
          <fgColor indexed="64"/>
          <bgColor theme="0" tint="-4.9989318521683403E-2"/>
        </patternFill>
      </fill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Calibri"/>
        <family val="2"/>
        <scheme val="minor"/>
      </font>
      <numFmt numFmtId="34" formatCode="_-&quot;$&quot;\ * #,##0.00_-;\-&quot;$&quot;\ * #,##0.00_-;_-&quot;$&quot;\ * &quot;-&quot;??_-;_-@_-"/>
      <fill>
        <patternFill patternType="solid">
          <fgColor indexed="64"/>
          <bgColor theme="0" tint="-4.9989318521683403E-2"/>
        </patternFill>
      </fill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Calibri"/>
        <family val="2"/>
        <scheme val="minor"/>
      </font>
      <numFmt numFmtId="34" formatCode="_-&quot;$&quot;\ * #,##0.00_-;\-&quot;$&quot;\ * #,##0.00_-;_-&quot;$&quot;\ * &quot;-&quot;??_-;_-@_-"/>
      <fill>
        <patternFill patternType="solid">
          <fgColor indexed="64"/>
          <bgColor theme="0" tint="-4.9989318521683403E-2"/>
        </patternFill>
      </fill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34" formatCode="_-&quot;$&quot;\ * #,##0.00_-;\-&quot;$&quot;\ * #,##0.00_-;_-&quot;$&quot;\ * &quot;-&quot;??_-;_-@_-"/>
      <fill>
        <patternFill patternType="solid">
          <fgColor indexed="64"/>
          <bgColor theme="0" tint="-4.9989318521683403E-2"/>
        </patternFill>
      </fill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34" formatCode="_-&quot;$&quot;\ * #,##0.00_-;\-&quot;$&quot;\ * #,##0.00_-;_-&quot;$&quot;\ * &quot;-&quot;??_-;_-@_-"/>
      <fill>
        <patternFill patternType="solid">
          <fgColor indexed="64"/>
          <bgColor theme="0" tint="-4.9989318521683403E-2"/>
        </patternFill>
      </fill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" formatCode="0"/>
      <fill>
        <patternFill patternType="solid">
          <fgColor indexed="64"/>
          <bgColor theme="0" tint="-4.9989318521683403E-2"/>
        </patternFill>
      </fill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9" formatCode="d/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/m/yyyy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</font>
      <fill>
        <patternFill>
          <bgColor theme="0"/>
        </patternFill>
      </fill>
      <border>
        <horizontal style="hair">
          <color auto="1"/>
        </horizontal>
      </border>
    </dxf>
  </dxfs>
  <tableStyles count="1" defaultTableStyle="TableStyleMedium2" defaultPivotStyle="PivotStyleLight16">
    <tableStyle name="SIMPLE" pivot="0" count="1" xr9:uid="{A034C98A-6E73-40EF-B746-DA6799E302BD}">
      <tableStyleElement type="wholeTable" dxfId="223"/>
    </tableStyle>
  </tableStyles>
  <colors>
    <mruColors>
      <color rgb="FF60FF3B"/>
      <color rgb="FFB5FFA3"/>
      <color rgb="FFFF9999"/>
      <color rgb="FF93FF79"/>
      <color rgb="FF047E0A"/>
      <color rgb="FF9AFCBB"/>
      <color rgb="FFD0716A"/>
      <color rgb="FFFCFF93"/>
      <color rgb="FFFEEA54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evin\Desktop\01.xlsx" TargetMode="External"/><Relationship Id="rId1" Type="http://schemas.openxmlformats.org/officeDocument/2006/relationships/externalLinkPath" Target="/Users/Kevin/Desktop/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AB_DINAMICA"/>
      <sheetName val="Hoja2"/>
      <sheetName val="20 10 2022"/>
      <sheetName val="BD_ADM"/>
      <sheetName val="Borrador Ganaderia"/>
      <sheetName val="Borrador Agricultura"/>
      <sheetName val="DIA A DIAvehic asist pagos "/>
      <sheetName val="Walter Medina PAGO"/>
      <sheetName val="Aplicaciones camp 2023 2024"/>
      <sheetName val="DIARIO GRAL"/>
      <sheetName val="MOV HACIENDA"/>
      <sheetName val="Tropa ingresada 30 03 2023 "/>
      <sheetName val="REMITOS INSUMOS"/>
      <sheetName val="ORDEN DE TRABAJO"/>
      <sheetName val="BD COMERCIAL"/>
      <sheetName val="REMITOS"/>
      <sheetName val="LISTAS"/>
      <sheetName val="BORRADOR"/>
      <sheetName val="COMPRA VENTA HACIEND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3">
          <cell r="A3" t="str">
            <v>ADMINISTRACION</v>
          </cell>
          <cell r="O3" t="str">
            <v>PAGADO</v>
          </cell>
          <cell r="S3" t="str">
            <v>A</v>
          </cell>
        </row>
        <row r="4">
          <cell r="A4" t="str">
            <v>AGRICULTURA</v>
          </cell>
          <cell r="O4" t="str">
            <v>PENDIENTE</v>
          </cell>
          <cell r="S4" t="str">
            <v>B</v>
          </cell>
        </row>
        <row r="5">
          <cell r="A5" t="str">
            <v>ESTRUCTURA</v>
          </cell>
          <cell r="O5" t="str">
            <v>CONTRATO SOJA</v>
          </cell>
          <cell r="S5" t="str">
            <v>C</v>
          </cell>
        </row>
        <row r="6">
          <cell r="A6" t="str">
            <v>FORRAJE</v>
          </cell>
          <cell r="O6" t="str">
            <v>CONTRATO MAIZ</v>
          </cell>
          <cell r="S6" t="str">
            <v>X</v>
          </cell>
        </row>
        <row r="7">
          <cell r="A7" t="str">
            <v>GANADERIA</v>
          </cell>
          <cell r="S7" t="str">
            <v>NOTA DE DEBITO</v>
          </cell>
        </row>
        <row r="8">
          <cell r="A8" t="str">
            <v>GENERAL</v>
          </cell>
        </row>
        <row r="9">
          <cell r="A9" t="str">
            <v>MAQUINARIA</v>
          </cell>
        </row>
        <row r="10">
          <cell r="A10" t="str">
            <v>SOCIOS</v>
          </cell>
        </row>
        <row r="11">
          <cell r="A11" t="str">
            <v>INMOBILIARIA</v>
          </cell>
        </row>
        <row r="12">
          <cell r="A12" t="str">
            <v>IMPUESTOS</v>
          </cell>
        </row>
        <row r="13">
          <cell r="A13" t="str">
            <v>OVINO</v>
          </cell>
        </row>
        <row r="14">
          <cell r="A14" t="str">
            <v>CABRAS</v>
          </cell>
        </row>
        <row r="15">
          <cell r="A15" t="str">
            <v>PORCINOS</v>
          </cell>
        </row>
        <row r="16">
          <cell r="A16" t="str">
            <v>OTRA</v>
          </cell>
        </row>
      </sheetData>
      <sheetData sheetId="17" refreshError="1"/>
      <sheetData sheetId="18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ECC313-0363-4B61-8D6C-E27D992CBD7F}" name="Tabla1" displayName="Tabla1" ref="A1:AA200" totalsRowShown="0" headerRowDxfId="222" tableBorderDxfId="221">
  <autoFilter ref="A1:AA200" xr:uid="{2D18BE4F-B84F-4DCA-863E-93815A65DD6F}"/>
  <tableColumns count="27">
    <tableColumn id="1" xr3:uid="{14E86D4E-60C3-4FBE-B207-FFCC3FE404DB}" name="FECHA" dataDxfId="220"/>
    <tableColumn id="2" xr3:uid="{FC433C08-6CF9-4D7D-962D-5FC215F25B10}" name="DESCRIPCION" dataDxfId="219"/>
    <tableColumn id="3" xr3:uid="{45555DA4-2425-4239-B45F-4C3055260B34}" name="CONCEPTO" dataDxfId="218"/>
    <tableColumn id="4" xr3:uid="{4AE0ED2D-2D28-4A98-A62D-870F3F675F63}" name="DETALLES"/>
    <tableColumn id="5" xr3:uid="{16DBAD37-139D-4336-A141-CDDB65589A43}" name="LOTE"/>
    <tableColumn id="6" xr3:uid="{BD77C3D8-499A-440D-8600-0D14CBA25560}" name="HAS" dataDxfId="217"/>
    <tableColumn id="8" xr3:uid="{86F5318D-0E47-4241-A02F-195D5F883187}" name="KM RECORRIDOS" dataDxfId="216"/>
    <tableColumn id="9" xr3:uid="{DA9B3074-E62E-4E03-B119-4B89EF764BF8}" name="KG TARA"/>
    <tableColumn id="10" xr3:uid="{8ECCC487-BF43-417D-8D4F-9C41797EE25E}" name="KG BRUTOS"/>
    <tableColumn id="11" xr3:uid="{99960AFE-0662-4D21-988E-01AFE8E55886}" name="KG NETOS TOT"/>
    <tableColumn id="29" xr3:uid="{DC04D708-746E-4444-979B-2FE412791CBB}" name="KG/HA (REND)"/>
    <tableColumn id="12" xr3:uid="{5B7F1F3B-7F68-48C3-8043-24FF8A7729CB}" name="$/TN" dataDxfId="215" dataCellStyle="Moneda"/>
    <tableColumn id="13" xr3:uid="{C344601C-FB42-4636-BEC7-412201C3BE11}" name="PRECIO UNITARIO USD/TN"/>
    <tableColumn id="14" xr3:uid="{D1F0BDB6-1A83-4B4E-A046-D1793248A9C4}" name="SUBTOTAL"/>
    <tableColumn id="15" xr3:uid="{0F0CC45C-D0F0-4F3D-ADEE-696A6C0C1185}" name="IVA 10,5"/>
    <tableColumn id="16" xr3:uid="{C1352935-D333-4C21-B057-592AA148CCC8}" name="IVA 21"/>
    <tableColumn id="17" xr3:uid="{F0D83C53-2E19-4A89-8D7A-2B49ABD3B13F}" name="TOTAL*"/>
    <tableColumn id="18" xr3:uid="{DC604BC8-1322-407F-93BC-69AAE5E12419}" name="DEDUCCIONES"/>
    <tableColumn id="19" xr3:uid="{9BA10A09-6A45-4051-B99D-C2EBEE89D2C0}" name="COMISIONES"/>
    <tableColumn id="20" xr3:uid="{FD51B939-1C9C-4820-9C75-C5E327F4548A}" name="RETENCION IVA"/>
    <tableColumn id="21" xr3:uid="{3665A1FF-A6D2-4352-B658-9D171D1568FE}" name="IVA RG 2300/2007"/>
    <tableColumn id="22" xr3:uid="{2A27EAC8-C53E-464C-B8A0-115888E6A27D}" name="TOTAL A LIQUIDAR"/>
    <tableColumn id="23" xr3:uid="{79A93061-ABED-43AE-BEFF-EB4FFD6B7ED6}" name="TIPO DE CAMBIO"/>
    <tableColumn id="24" xr3:uid="{D3BF6AFB-9F80-444D-B63F-CE07156691E9}" name="TOTAL USD" dataDxfId="214"/>
    <tableColumn id="25" xr3:uid="{556B5675-BD70-4610-8D99-06A59AA56978}" name="USD/HA" dataDxfId="213"/>
    <tableColumn id="28" xr3:uid="{C96FA6FD-C9DE-4D90-9D2C-2D1A5E496548}" name="PROVEEDOR"/>
    <tableColumn id="27" xr3:uid="{D3545BF1-C21E-48F0-8739-E9622E5342FB}" name="N DE FACTUR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9AE769E-5CC8-4734-8028-CB457C34DABA}" name="Tabla19" displayName="Tabla19" ref="A1:U161" totalsRowShown="0" headerRowDxfId="212" dataDxfId="210" headerRowBorderDxfId="211" tableBorderDxfId="209" totalsRowBorderDxfId="208">
  <autoFilter ref="A1:U161" xr:uid="{5B055DC0-511D-4ED0-8D0E-F109EF07593F}"/>
  <tableColumns count="21">
    <tableColumn id="1" xr3:uid="{0FEF8EDA-5719-47E3-859D-A83382D1BE51}" name="FECHA" dataDxfId="207"/>
    <tableColumn id="2" xr3:uid="{15752A74-25FE-43E9-ACAF-DC73C016DDD4}" name="DESCRIPCION" dataDxfId="206"/>
    <tableColumn id="3" xr3:uid="{2C822B6D-44C2-4103-9C09-6FDE28FEBC66}" name="N DE REFERENCIA" dataDxfId="205"/>
    <tableColumn id="4" xr3:uid="{0CC66742-3983-45B7-AB48-C9096569659F}" name="EGRESOS" dataDxfId="204" dataCellStyle="Moneda"/>
    <tableColumn id="5" xr3:uid="{BBE79BA8-090B-4605-8DB7-BD2031566572}" name="INGRESOS" dataDxfId="203" dataCellStyle="Moneda"/>
    <tableColumn id="6" xr3:uid="{A970C0BC-5C88-47E3-A08B-610E69E5A430}" name="SALDO" dataDxfId="202" dataCellStyle="Moneda"/>
    <tableColumn id="7" xr3:uid="{AFE85FF8-B3AB-4AF3-BA9C-C33D0C5C6DA5}" name="TC" dataDxfId="201" dataCellStyle="Moneda"/>
    <tableColumn id="8" xr3:uid="{FDE1FD6C-3F93-4CF5-9FF0-5991A54BD631}" name="EGRES USD" dataDxfId="200" dataCellStyle="Moneda"/>
    <tableColumn id="9" xr3:uid="{A64CE0A3-4933-42A7-907E-CE3675D8C6F1}" name="INGRES USD" dataDxfId="199" dataCellStyle="Moneda"/>
    <tableColumn id="10" xr3:uid="{6F00A782-C57A-4788-AC36-4B5C81C50A61}" name="MONEDA" dataDxfId="198"/>
    <tableColumn id="11" xr3:uid="{9A5A3D80-69F5-45A8-966D-22E84D98A745}" name="CUENTA" dataDxfId="197"/>
    <tableColumn id="12" xr3:uid="{71097798-830C-4948-AD08-F1A7F8652285}" name="BANCO" dataDxfId="196"/>
    <tableColumn id="13" xr3:uid="{BCD4AC80-3363-4293-9C55-59C1CD776598}" name="ACTIVIDAD" dataDxfId="195"/>
    <tableColumn id="14" xr3:uid="{34E9D8DC-9787-4F69-B5D5-F8C58FFD8BB0}" name="RUBRO" dataDxfId="194"/>
    <tableColumn id="15" xr3:uid="{4D5875B0-90BE-4632-BD11-EBA4F87ADD32}" name="CONCEPTO" dataDxfId="193"/>
    <tableColumn id="16" xr3:uid="{40DB3774-F597-45FA-A6CF-C7E3ABBBBE28}" name="DETALLES" dataDxfId="192"/>
    <tableColumn id="17" xr3:uid="{02505282-B737-420F-ACD9-5B02CD715300}" name="PROVEEDOR CLIENTE" dataDxfId="191"/>
    <tableColumn id="18" xr3:uid="{6D561830-35A4-4F31-95AB-0F5FF45EE48F}" name="FACTURA" dataDxfId="190"/>
    <tableColumn id="19" xr3:uid="{302BAEB3-3C64-4D0D-BC7B-EF09B150F524}" name="RDS" dataDxfId="189"/>
    <tableColumn id="20" xr3:uid="{77C392D1-DD1A-449D-BF88-2C23D249406E}" name="SOCIO" dataDxfId="188"/>
    <tableColumn id="21" xr3:uid="{3817D880-FC18-4477-AF92-35CB665E6AC2}" name="CAMPAÑA" dataDxfId="18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0CBA091-7743-4FB4-A4DB-278A3EF30F3B}" name="Tabla7" displayName="Tabla7" ref="A2:U149" totalsRowShown="0" headerRowDxfId="186" dataDxfId="184" headerRowBorderDxfId="185" tableBorderDxfId="183" totalsRowBorderDxfId="182">
  <autoFilter ref="A2:U149" xr:uid="{40CBA091-7743-4FB4-A4DB-278A3EF30F3B}"/>
  <tableColumns count="21">
    <tableColumn id="1" xr3:uid="{DBA998FF-D809-4134-85D0-251BB8BBF62B}" name="FECHA" dataDxfId="181"/>
    <tableColumn id="2" xr3:uid="{02A46ADE-D2E8-4DF4-9EE5-2C679C6C97B6}" name="DESCRIPCION" dataDxfId="180"/>
    <tableColumn id="3" xr3:uid="{5D033F82-A6EA-4369-8227-32F3F32F2D6E}" name="N DE REFERENCIA" dataDxfId="179"/>
    <tableColumn id="4" xr3:uid="{0EF19C28-7F1D-48DB-BE8E-1E41D51F8BD7}" name="EGRESOS" dataDxfId="178" dataCellStyle="Moneda"/>
    <tableColumn id="5" xr3:uid="{5AF78FFC-0793-4B69-BEDA-B524ECD079FC}" name="INGRESOS" dataDxfId="177" dataCellStyle="Moneda"/>
    <tableColumn id="6" xr3:uid="{62202F0E-31A9-43E0-B2BB-64EE573AD235}" name="SALDO" dataDxfId="176" dataCellStyle="Moneda"/>
    <tableColumn id="7" xr3:uid="{D61321E2-32C6-4BD6-A5A8-600025C51DB7}" name="TC" dataDxfId="175" dataCellStyle="Moneda"/>
    <tableColumn id="8" xr3:uid="{B93CAC09-E381-4234-8A21-EE156B5FB224}" name="EGRES USD" dataDxfId="174" dataCellStyle="Moneda"/>
    <tableColumn id="9" xr3:uid="{6BB1DD5C-16ED-4E84-8B92-9FC4BAA6D98B}" name="INGRES USD" dataDxfId="173" dataCellStyle="Moneda"/>
    <tableColumn id="10" xr3:uid="{D1383BF3-9F6C-49D6-B499-3DB95DDF855D}" name="MONEDA" dataDxfId="172"/>
    <tableColumn id="11" xr3:uid="{3D7D5D31-5407-455C-A75D-7F20A6178D4E}" name="CUENTA" dataDxfId="171"/>
    <tableColumn id="12" xr3:uid="{38871121-4A9E-4574-84A3-0D25C1378CA3}" name="BANCO" dataDxfId="170"/>
    <tableColumn id="13" xr3:uid="{E3036571-DD64-4D0C-9948-821D5A07B6F6}" name="ACTIVIDAD" dataDxfId="169"/>
    <tableColumn id="14" xr3:uid="{3F08C2F5-DE07-43DD-A391-76CD4F0D9D40}" name="RUBRO" dataDxfId="168"/>
    <tableColumn id="15" xr3:uid="{6517694A-C01D-4298-B51F-F84F4662D011}" name="CONCEPTO" dataDxfId="167"/>
    <tableColumn id="16" xr3:uid="{F3182FC4-82C9-401F-BFE4-94F67E42E062}" name="DETALLES" dataDxfId="166"/>
    <tableColumn id="17" xr3:uid="{AA007D6D-4ADA-483C-A904-F24BC5ACE70A}" name="PROVEEDOR CLIENTE" dataDxfId="165"/>
    <tableColumn id="18" xr3:uid="{1AD863A1-5080-43A3-8C02-D7D55BB406CF}" name="FACTURA" dataDxfId="164"/>
    <tableColumn id="19" xr3:uid="{DFB51EA4-97A9-48E7-A08B-D8C55211591D}" name="RDS" dataDxfId="163"/>
    <tableColumn id="20" xr3:uid="{A2371D82-1682-44B2-8E21-539B19145405}" name="SOCIO" dataDxfId="162"/>
    <tableColumn id="21" xr3:uid="{7C9F136B-8E8C-441B-A37B-ECA806CCF9CC}" name="CAMPAÑA" dataDxfId="16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DACC2B-F75F-442B-8957-8E53FB5DB9A4}" name="Tabla13" displayName="Tabla13" ref="A1:AC134" totalsRowShown="0" headerRowDxfId="160" headerRowBorderDxfId="159" tableBorderDxfId="158">
  <autoFilter ref="A1:AC134" xr:uid="{2D18BE4F-B84F-4DCA-863E-93815A65DD6F}"/>
  <tableColumns count="29">
    <tableColumn id="1" xr3:uid="{DE500B56-F0F2-49F6-82BB-6EBE5A867616}" name="FECHA" dataDxfId="157"/>
    <tableColumn id="2" xr3:uid="{A50A5803-BDFF-4269-BDC3-2FEF44E1D476}" name="DESCRIPCION" dataDxfId="156"/>
    <tableColumn id="3" xr3:uid="{96248222-376B-444C-9DBA-0E24AD729A94}" name="CONCEPTO" dataDxfId="155"/>
    <tableColumn id="4" xr3:uid="{E9539F16-73D1-4BB3-9E26-35D7EB6E048B}" name="DETALLES"/>
    <tableColumn id="5" xr3:uid="{4453394B-E7E0-460B-8D66-2033AFFE4545}" name="LOTE"/>
    <tableColumn id="6" xr3:uid="{FABA5958-F6B2-4A54-90B7-C93CC727114F}" name="HAS" dataDxfId="154"/>
    <tableColumn id="8" xr3:uid="{B07501E1-7868-4A0B-9F72-FA5E4577887E}" name="KM RECORRIDOS" dataDxfId="153"/>
    <tableColumn id="9" xr3:uid="{56CF2BC9-417A-4E60-BCFC-1C8B14EE2880}" name="KG TARA"/>
    <tableColumn id="10" xr3:uid="{C462E3B6-E048-43E0-A922-127E791BF439}" name="KG BRUTOS"/>
    <tableColumn id="11" xr3:uid="{7C8FDBF8-2891-4D42-92EB-AC4452CE8E04}" name="KG NETOS TOT"/>
    <tableColumn id="29" xr3:uid="{EA77D40B-698B-434F-9E88-E7F7D07A617D}" name="KG/HA (REND)"/>
    <tableColumn id="12" xr3:uid="{447C3359-014C-4861-B981-4771F7A0B5D6}" name="$/TN" dataDxfId="152" dataCellStyle="Moneda"/>
    <tableColumn id="13" xr3:uid="{FD92E757-1C0E-4B28-9BA5-72E347892B21}" name="PRECIO UNITARIO USD/TN"/>
    <tableColumn id="14" xr3:uid="{1EF7B20F-9F18-4E02-807C-B7DA31523D09}" name="SUBTOTAL"/>
    <tableColumn id="15" xr3:uid="{9D250802-28DC-4CF5-8568-FCC9EA0B7835}" name="IVA 10,5"/>
    <tableColumn id="16" xr3:uid="{2933B666-CAD6-49B5-9BCF-A634F9A19FFB}" name="IVA 21"/>
    <tableColumn id="17" xr3:uid="{2F15583D-A53D-4B4E-9401-88111973D29C}" name="TOTAL"/>
    <tableColumn id="7" xr3:uid="{C636024D-3135-438D-98B1-67E72EF08578}" name="GASTOS ADM"/>
    <tableColumn id="18" xr3:uid="{919333EA-A6D9-4330-AE90-4560509A2E25}" name="DEDUCCIONES"/>
    <tableColumn id="19" xr3:uid="{A072A9F1-0912-4AB4-B50B-0C0B2FA6DA13}" name="COMISIONES"/>
    <tableColumn id="20" xr3:uid="{1F008C03-82C5-4644-BA2B-3E98D268F638}" name="RETENCION IVA"/>
    <tableColumn id="26" xr3:uid="{0DE097FE-B4BF-4C16-B66A-86326A83CD5F}" name="RETENCIONE S CALIDAD"/>
    <tableColumn id="21" xr3:uid="{A50AA9E1-771B-4CB9-83EC-A4D881474EE0}" name="IVA RG 2300/2007"/>
    <tableColumn id="22" xr3:uid="{DFBD5134-E450-49EB-A135-A189F8A76901}" name="TOTAL A LIQUIDAR" dataDxfId="151"/>
    <tableColumn id="23" xr3:uid="{63EFC726-1EF1-4C96-A2AA-FB93D5388597}" name="TIPO DE CAMBIO"/>
    <tableColumn id="24" xr3:uid="{A6DF069B-B1D5-49F1-9182-A4FBF8B81D7A}" name="TOTAL USD"/>
    <tableColumn id="25" xr3:uid="{9D9B10A7-5F20-434F-8957-FD8C6537C658}" name="USD/HA" dataDxfId="150"/>
    <tableColumn id="27" xr3:uid="{2250CA36-0E42-4FF1-94EB-A8F52A89C077}" name="N DE FACTURA"/>
    <tableColumn id="28" xr3:uid="{439747AD-68EF-47FC-9163-B31198A67BB3}" name="PROVEEDOR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4DBD238-D78D-4609-87A2-9C801113A81A}" name="Tabla15" displayName="Tabla15" ref="A2:AB108" totalsRowShown="0" headerRowDxfId="149" dataDxfId="147" headerRowBorderDxfId="148">
  <autoFilter ref="A2:AB108" xr:uid="{C0B6725F-5594-4A6E-844F-4D76DED854AC}"/>
  <tableColumns count="28">
    <tableColumn id="1" xr3:uid="{B85F8E68-FA4E-4030-8321-11B6DBDD82FC}" name="FECHA" dataDxfId="146" totalsRowDxfId="145"/>
    <tableColumn id="3" xr3:uid="{895DED7B-1184-4E10-AAA6-BD8AC806C960}" name="DESCRIPCION" dataDxfId="144" totalsRowDxfId="143"/>
    <tableColumn id="5" xr3:uid="{504ECA07-8813-4089-9C36-6E5FB3BD1AAC}" name="CONCEPTO"/>
    <tableColumn id="6" xr3:uid="{99D6BB6A-B777-4D26-B36E-581C05122633}" name="DETALLES" dataDxfId="142" totalsRowDxfId="141"/>
    <tableColumn id="2" xr3:uid="{72EC7130-2EC1-41FE-9024-BA6DA83E8A37}" name="LOTE" dataDxfId="140" totalsRowDxfId="139"/>
    <tableColumn id="12" xr3:uid="{63969A4E-B690-4DC3-84BD-AFD44619A54E}" name="HAS" dataDxfId="138" totalsRowDxfId="137"/>
    <tableColumn id="8" xr3:uid="{16D1B987-9A1E-429A-82D9-91CA915C57FC}" name="KG TARA" dataDxfId="136" totalsRowDxfId="135"/>
    <tableColumn id="9" xr3:uid="{08701AE6-55E8-46D5-AE25-AFC2DB7999E9}" name="KG BRUTOS" dataDxfId="134" totalsRowDxfId="133"/>
    <tableColumn id="11" xr3:uid="{02F2D8FA-D51C-4525-A30F-9CCCCE2B1459}" name="KG NETOS TOT" dataDxfId="132" totalsRowDxfId="131"/>
    <tableColumn id="13" xr3:uid="{375FB8A0-301B-411B-9B90-AE4BDABF6AC8}" name="U$S/TN" dataDxfId="130" totalsRowDxfId="129"/>
    <tableColumn id="14" xr3:uid="{7CA508A7-4C0A-4CA2-812E-619BB00829C7}" name="MÉTRICA" dataDxfId="128" totalsRowDxfId="127"/>
    <tableColumn id="15" xr3:uid="{286D837A-B6AD-4D4B-AE07-C1D518C72083}" name="TOTAL U$S" dataDxfId="126" totalsRowDxfId="125"/>
    <tableColumn id="16" xr3:uid="{C559D8D2-5D58-4C8F-BA1F-7AFFAC18CD96}" name="T DE CAMBIO $/U$s" dataDxfId="124" totalsRowDxfId="123"/>
    <tableColumn id="17" xr3:uid="{30EF1618-DA5C-4B61-9BA9-288D4030481D}" name="SUBTOTAL $" dataDxfId="122" totalsRowDxfId="121"/>
    <tableColumn id="18" xr3:uid="{CB48C398-8A7C-4FE4-A19C-9B1AE7AFC37D}" name="s/REG" dataDxfId="120" totalsRowDxfId="119"/>
    <tableColumn id="19" xr3:uid="{9A3AE73C-DB20-457A-A795-6CAB19284FB4}" name="IVA 10,5" dataDxfId="118" totalsRowDxfId="117"/>
    <tableColumn id="22" xr3:uid="{CA1CCC07-CE93-4CF9-A22B-1191E75DB067}" name="IVA 21" dataDxfId="116" totalsRowDxfId="115"/>
    <tableColumn id="23" xr3:uid="{F2EFD4FA-3867-469F-948F-9471E472F50F}" name="TOTAL" dataDxfId="114" totalsRowDxfId="113"/>
    <tableColumn id="7" xr3:uid="{62C49603-7FCE-4D1E-9B8F-DB15CDD3A452}" name="DEDUCCIONES (comisiones 2%)" dataDxfId="112" totalsRowDxfId="111"/>
    <tableColumn id="4" xr3:uid="{698AE50D-0C0D-4176-81FD-2681EB30C7EA}" name="RETENCIONES IVA 7%" dataDxfId="110" totalsRowDxfId="109"/>
    <tableColumn id="10" xr3:uid="{4DBD91B2-EA27-482D-86AC-079B9BDA33C5}" name="IMPORTE NETO" dataDxfId="108" totalsRowDxfId="107"/>
    <tableColumn id="29" xr3:uid="{18D5517B-3CA5-4C6A-9C7E-BDD6C3A386CA}" name="IVA RG 2300/07" dataDxfId="106" totalsRowDxfId="105"/>
    <tableColumn id="30" xr3:uid="{8AF68899-A02C-4334-83CA-2E054D65489E}" name="Descuentos  x cmbustib" dataDxfId="104" totalsRowDxfId="103"/>
    <tableColumn id="27" xr3:uid="{CB61CBC1-4AA3-4C9A-B8F0-20114259BA53}" name="U$S/HA" dataDxfId="102" totalsRowDxfId="101"/>
    <tableColumn id="26" xr3:uid="{E20E7D61-252E-4F16-90D1-D43AC8F18BC2}" name="LIQUIDACION" dataDxfId="100" totalsRowDxfId="99"/>
    <tableColumn id="28" xr3:uid="{ABF348EB-B4F4-42CE-84E5-0DAACDA7725C}" name="TOTAL U$S2" dataDxfId="98" totalsRowDxfId="97"/>
    <tableColumn id="24" xr3:uid="{DEC177E9-661E-4BE3-B64A-0F2EF4F2054E}" name="N DOCUMENTO" dataDxfId="96" totalsRowDxfId="95"/>
    <tableColumn id="25" xr3:uid="{3703828C-6D9B-4E06-9181-4A9028E4827F}" name="PROVEEDOR" dataDxfId="94" totalsRowDxfId="93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C55E9CA-C383-4DBF-AD4D-33F09067F414}" name="Tabla367" displayName="Tabla367" ref="A2:AA66" totalsRowShown="0" headerRowDxfId="92" dataDxfId="90" headerRowBorderDxfId="91" tableBorderDxfId="89" headerRowCellStyle="Moneda">
  <autoFilter ref="A2:AA66" xr:uid="{5AC104BD-7975-436D-9305-448ACE73545C}"/>
  <tableColumns count="27">
    <tableColumn id="1" xr3:uid="{D2B98075-F204-4434-8930-6463D1992E82}" name="FECHA" dataDxfId="88"/>
    <tableColumn id="5" xr3:uid="{49E07226-0BD5-44C0-83CF-B3F2CD093F23}" name="CONCEPTO" dataDxfId="87"/>
    <tableColumn id="6" xr3:uid="{5CF8DE18-402F-4877-9371-7FAE879CC729}" name="DETALLES" dataDxfId="86"/>
    <tableColumn id="25" xr3:uid="{7C558CD1-F657-4C85-984D-4195447181C2}" name="HAS destinadas" dataDxfId="85"/>
    <tableColumn id="7" xr3:uid="{ACA74F34-530D-4BAA-A1D0-F23E5054549B}" name="cant" dataDxfId="84"/>
    <tableColumn id="8" xr3:uid="{14928E4C-AC53-4BCA-BA0D-AE42E59D1AC4}" name="KG TARA" dataDxfId="83"/>
    <tableColumn id="9" xr3:uid="{9FC8D06B-2D9B-455B-86A0-5D1E1A737847}" name="KG BRUTOS" dataDxfId="82"/>
    <tableColumn id="10" xr3:uid="{A28C8BE1-712E-42E2-AE0B-39552EE336D4}" name="KG P/ANIM" dataDxfId="81"/>
    <tableColumn id="11" xr3:uid="{3D87E791-FCA2-459A-94D2-4E54428939B9}" name="KG NETOS TOT" dataDxfId="80"/>
    <tableColumn id="12" xr3:uid="{C343FDAA-2D7B-4573-A055-FB5EC4A4FD91}" name="DESBASTE 7%" dataDxfId="79"/>
    <tableColumn id="13" xr3:uid="{D152E516-ED6E-4AEE-8596-AFB30A139D66}" name=" $  MERCADO" dataDxfId="78"/>
    <tableColumn id="14" xr3:uid="{BAE4466C-40FF-4C06-9430-0D490E1C1806}" name="METRICA" dataDxfId="77"/>
    <tableColumn id="17" xr3:uid="{A8818358-C87F-4653-81B9-85DB1712B4A4}" name="TOTAL $" dataDxfId="76"/>
    <tableColumn id="24" xr3:uid="{BBEDA490-A9B7-4CAD-9D78-884862CD5C67}" name="SEGUROS" dataDxfId="75"/>
    <tableColumn id="28" xr3:uid="{22BEC130-38B4-4C82-8E7F-0CDA030928BF}" name="COMISIONES" dataDxfId="74"/>
    <tableColumn id="18" xr3:uid="{D7A40E37-CB41-45D1-AEB6-889DB4E2E493}" name="GASTOS ADM" dataDxfId="73"/>
    <tableColumn id="19" xr3:uid="{94B520ED-DEEA-4F4B-85CD-B0B9386F0BBB}" name="IVA 10,5" dataDxfId="72"/>
    <tableColumn id="22" xr3:uid="{23965D61-5943-4DE2-A52C-CDDDE59D938F}" name="IMP GANANCIAS " dataDxfId="71"/>
    <tableColumn id="20" xr3:uid="{280D06CC-9D3A-41A5-A9EC-7A16B3F0BC0B}" name="SEMOVIENTES Y DERECHOS" dataDxfId="70"/>
    <tableColumn id="23" xr3:uid="{1B7F8BDF-0A85-4A3C-B510-09F092A4726A}" name="TOTAL C/IVA " dataDxfId="69"/>
    <tableColumn id="16" xr3:uid="{D351C41D-8743-47F3-8575-0B5AF874C911}" name="TC $/U$s" dataDxfId="68"/>
    <tableColumn id="4" xr3:uid="{F473D5BB-EF77-4649-8905-3E06DF2B6A87}" name="U$S/HA" dataDxfId="67"/>
    <tableColumn id="15" xr3:uid="{F4EB1637-0B76-42AD-A1DE-961E84059A3D}" name="TOTAL U$S" dataDxfId="66" dataCellStyle="Moneda"/>
    <tableColumn id="26" xr3:uid="{A229B0B2-2B72-476B-963B-880712254693}" name="TC=2024" dataDxfId="65"/>
    <tableColumn id="21" xr3:uid="{984C434C-E3D4-41EC-B8B4-07704CF393BC}" name="VALORES CONSTANTES" dataDxfId="64"/>
    <tableColumn id="3" xr3:uid="{9A078EC3-0880-4937-9547-84B80A80CA32}" name="N DE LIQUIDACION" dataDxfId="63"/>
    <tableColumn id="2" xr3:uid="{FC87BD05-5667-4631-94F8-BD14C8D9C34F}" name="CLIENTE" dataDxfId="62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AC104BD-7975-436D-9305-448ACE73545C}" name="Tabla36" displayName="Tabla36" ref="A2:Z132" totalsRowShown="0" headerRowDxfId="61" dataDxfId="59" headerRowBorderDxfId="60" tableBorderDxfId="58" headerRowCellStyle="Moneda">
  <autoFilter ref="A2:Z132" xr:uid="{5AC104BD-7975-436D-9305-448ACE73545C}"/>
  <tableColumns count="26">
    <tableColumn id="1" xr3:uid="{D1F128EA-257E-4EEC-9428-A1AB19AC594A}" name="FECHA" dataDxfId="57"/>
    <tableColumn id="5" xr3:uid="{4213B473-2991-49D1-9B86-358406F23A5F}" name="CONCEPTO" dataDxfId="56"/>
    <tableColumn id="6" xr3:uid="{0375C101-D2A1-4BCD-BD2F-01525DBB2924}" name="DETALLES" dataDxfId="55"/>
    <tableColumn id="25" xr3:uid="{5EB21964-EB74-4516-9834-AFDFBFBF478F}" name="HAS destinadas" dataDxfId="54"/>
    <tableColumn id="7" xr3:uid="{A6BA4C49-F055-48F5-AB6D-94844AF12241}" name="cant" dataDxfId="53"/>
    <tableColumn id="8" xr3:uid="{943354D9-FA94-45CA-B7E1-722FF53AC0BB}" name="KG TARA" dataDxfId="52"/>
    <tableColumn id="9" xr3:uid="{C3AE44C7-7FBC-47F1-A65D-5B94D4EECDF5}" name="KG BRUTOS" dataDxfId="51"/>
    <tableColumn id="10" xr3:uid="{1053AB16-22ED-40A6-B031-66C9BBF4B10C}" name="KG P/ANIM" dataDxfId="50"/>
    <tableColumn id="11" xr3:uid="{71336989-C54E-413A-A9B7-D0AC6210D6C1}" name="KG NETOS TOT" dataDxfId="49"/>
    <tableColumn id="12" xr3:uid="{7F0EB169-770B-417B-9A53-EAF03D76847D}" name="DESBASTE 7%" dataDxfId="48"/>
    <tableColumn id="13" xr3:uid="{2866EE88-7B18-4876-8148-0C9A24355A81}" name=" $  MERCADO" dataDxfId="47"/>
    <tableColumn id="14" xr3:uid="{F8E55604-5BAA-4A0F-BFD7-467061722212}" name="METRICA" dataDxfId="46"/>
    <tableColumn id="17" xr3:uid="{DB30AFA7-0C70-44E2-92C7-80BE26060306}" name="TOTAL $" dataDxfId="45"/>
    <tableColumn id="24" xr3:uid="{A993DDA5-DA65-4061-A7D3-582A01B1C1C1}" name="SEGUROS" dataDxfId="44"/>
    <tableColumn id="28" xr3:uid="{6A087FA5-0392-4843-80CE-B09ED49674B0}" name="COMISIONES" dataDxfId="43"/>
    <tableColumn id="18" xr3:uid="{37B4B491-12D7-40F2-B5F4-125B0DAF3AD8}" name="EFECT" dataDxfId="42"/>
    <tableColumn id="19" xr3:uid="{3F8D73CA-EBEC-44B0-8637-B54B9E0CA923}" name="IVA 10,5" dataDxfId="41"/>
    <tableColumn id="22" xr3:uid="{96330933-4F4A-4F00-82E4-0FEF57E7D17B}" name="IVA 21" dataDxfId="40"/>
    <tableColumn id="20" xr3:uid="{EBC4DE0E-1F29-41BD-8A7D-8C2FECCAE8FE}" name="TOTAL C/IVA EFEC" dataDxfId="39"/>
    <tableColumn id="23" xr3:uid="{C701ADB2-2546-454B-A5D4-0053FBE315F0}" name="TOTAL C/IVA " dataDxfId="38"/>
    <tableColumn id="27" xr3:uid="{B78F4CF8-514C-4628-AF90-1DF0F150C47D}" name="PERCEPCION-RETENCIONES" dataDxfId="37"/>
    <tableColumn id="16" xr3:uid="{56B46FDC-3D82-4CBE-A940-DBB1C7A7E9AD}" name="TC $/U$s" dataDxfId="36"/>
    <tableColumn id="4" xr3:uid="{43074A37-93A3-4372-9D60-1AF3874CC6E9}" name="U$S/HA" dataDxfId="35"/>
    <tableColumn id="15" xr3:uid="{E0A2715B-3F27-4311-87B0-769F1905AC2A}" name="TOTAL U$S" dataDxfId="34" dataCellStyle="Moneda"/>
    <tableColumn id="3" xr3:uid="{4026BA2A-1BEF-42D4-A499-F3BE55A866F1}" name="N DE LIQUIDACION" dataDxfId="33"/>
    <tableColumn id="2" xr3:uid="{EB959DE1-9E9F-4D22-8D7A-70D8679465EA}" name="CLIENTE" dataDxfId="3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DD7DEAA-6A12-4DC0-A98C-82D8B653A1C5}" name="Tabla364" displayName="Tabla364" ref="A2:AF69" totalsRowShown="0" headerRowDxfId="31" dataDxfId="29" headerRowBorderDxfId="30" tableBorderDxfId="28" headerRowCellStyle="Moneda">
  <autoFilter ref="A2:AF69" xr:uid="{5AC104BD-7975-436D-9305-448ACE73545C}"/>
  <tableColumns count="32">
    <tableColumn id="1" xr3:uid="{3A05C797-1B96-4132-842F-F12325A41028}" name="FECHA" dataDxfId="27"/>
    <tableColumn id="5" xr3:uid="{71D1F68A-16BB-41A8-A8EA-61E29BED8712}" name="CONCEPTO" dataDxfId="26"/>
    <tableColumn id="6" xr3:uid="{1B3AADB4-C949-4D6E-A43D-A242B38E66F2}" name="DETALLES" dataDxfId="25"/>
    <tableColumn id="25" xr3:uid="{87FF6ADC-9EB3-45F3-8DC9-585572111480}" name="HAS destinadas" dataDxfId="24"/>
    <tableColumn id="7" xr3:uid="{4880CFD7-898C-47FD-AD3D-00C262440E96}" name="cant" dataDxfId="23"/>
    <tableColumn id="30" xr3:uid="{95A28129-4821-4F26-9E3D-3260A38B3927}" name="MUERTOS"/>
    <tableColumn id="29" xr3:uid="{7F34DE4A-3E0D-47A8-898B-2318EF3E880A}" name="CANTIDAD NETA"/>
    <tableColumn id="8" xr3:uid="{6E7BA7E0-2985-44F6-9611-936AF2D69AAE}" name="KG TARA" dataDxfId="22"/>
    <tableColumn id="9" xr3:uid="{DDDD8958-5CE1-4370-A949-2F502A3B0D82}" name="KG BRUTOS" dataDxfId="21"/>
    <tableColumn id="10" xr3:uid="{15191945-DB72-4187-8C9D-4FE46D4A2E03}" name="KG P/ANIM" dataDxfId="20"/>
    <tableColumn id="11" xr3:uid="{6503A9BA-5837-43BA-92ED-763C8E598B67}" name="KG NETOS TOT" dataDxfId="19"/>
    <tableColumn id="12" xr3:uid="{C9DF66A4-6AA2-463E-B7EA-48F3DB8BFAB3}" name="DESBASTE 7%" dataDxfId="18"/>
    <tableColumn id="13" xr3:uid="{F587B502-659E-4B73-BDEA-BA3C02E7E937}" name=" $  MERCADO" dataDxfId="17"/>
    <tableColumn id="14" xr3:uid="{2EE84BDE-C79E-4A05-9AC8-40EC7BCB8B53}" name="METRICA" dataDxfId="16"/>
    <tableColumn id="17" xr3:uid="{D8576CCA-03D1-439F-A629-B1CB06D9FE39}" name="TOTAL $" dataDxfId="15"/>
    <tableColumn id="24" xr3:uid="{0754018A-F29E-4DFD-8FEA-66DD0DB51A39}" name="SEGUROS" dataDxfId="14"/>
    <tableColumn id="28" xr3:uid="{18BB22AD-55EF-4BB1-B64C-0F139F93672E}" name="COMISIONES" dataDxfId="13"/>
    <tableColumn id="18" xr3:uid="{1BC2F48D-BE69-446A-9E7C-E9198D46CB53}" name="EFECT" dataDxfId="12"/>
    <tableColumn id="19" xr3:uid="{D7BAFCD2-3520-4EC5-9BCF-88347F5D0164}" name="IVA 10,5" dataDxfId="11"/>
    <tableColumn id="22" xr3:uid="{572F27F0-99C6-4C21-A3D1-3240AA5EA3A9}" name="IVA 21" dataDxfId="10"/>
    <tableColumn id="20" xr3:uid="{4DE4E98E-1BB1-4131-988F-90C6B808EB21}" name="Semovientes Bs.As. ag.4-88-0003-9" dataDxfId="9"/>
    <tableColumn id="31" xr3:uid="{BF5F2AAB-BDE4-40F0-B613-22131A9EB070}" name="Derecho Registro"/>
    <tableColumn id="32" xr3:uid="{C0539E81-7D97-4980-AC97-9DA2F58BE7FD}" name="NOTA DE CREEDITO"/>
    <tableColumn id="23" xr3:uid="{2983C8D6-471E-43AE-B417-990FB60BCEF3}" name="TOTAL C/IVA " dataDxfId="8"/>
    <tableColumn id="27" xr3:uid="{F78B5919-F217-49A9-92E5-171CB85E4063}" name="PERCEPCION-RETENCIONES" dataDxfId="7"/>
    <tableColumn id="16" xr3:uid="{EA7846EB-7CE6-482A-A96C-D80EBFFABEE6}" name="TC $/U$s" dataDxfId="6"/>
    <tableColumn id="4" xr3:uid="{D8C3A476-111E-46DE-B3F4-9A22763BBDFC}" name="U$S/HA" dataDxfId="5"/>
    <tableColumn id="15" xr3:uid="{E7844446-AEB7-4F01-ABD3-86402AFE321C}" name="TOTAL U$S" dataDxfId="4" dataCellStyle="Moneda"/>
    <tableColumn id="26" xr3:uid="{21BF8127-FE2D-46FB-BDF8-0CB73D561DAD}" name="TC=2024" dataDxfId="3"/>
    <tableColumn id="21" xr3:uid="{982B88C4-C134-471A-9138-3747B1E1113C}" name="VALORES CONSTANTES" dataDxfId="2"/>
    <tableColumn id="3" xr3:uid="{A5EE6634-3E41-4273-BEBE-92B93FB433A4}" name="N DE LIQUIDACION" dataDxfId="1"/>
    <tableColumn id="2" xr3:uid="{2BE0AE2B-E350-44EA-BBEC-19AE0DF45DE2}" name="CLIENT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Azul cálido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5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6BE7D-2E39-43AD-8A1D-5729810808C3}">
  <dimension ref="A1:O105"/>
  <sheetViews>
    <sheetView tabSelected="1" topLeftCell="A49" zoomScale="110" zoomScaleNormal="110" workbookViewId="0">
      <selection activeCell="H21" sqref="H21"/>
    </sheetView>
  </sheetViews>
  <sheetFormatPr baseColWidth="10" defaultColWidth="11.42578125" defaultRowHeight="15" x14ac:dyDescent="0.25"/>
  <cols>
    <col min="1" max="1" width="1" customWidth="1"/>
    <col min="2" max="2" width="3.28515625" customWidth="1"/>
    <col min="3" max="3" width="16.28515625" customWidth="1"/>
    <col min="4" max="4" width="6.28515625" customWidth="1"/>
    <col min="5" max="5" width="24.28515625" customWidth="1"/>
    <col min="6" max="6" width="17.28515625" bestFit="1" customWidth="1"/>
    <col min="7" max="7" width="7.42578125" style="11" customWidth="1"/>
    <col min="8" max="8" width="17.7109375" customWidth="1"/>
    <col min="9" max="9" width="7.42578125" style="11" customWidth="1"/>
    <col min="10" max="10" width="17.85546875" bestFit="1" customWidth="1"/>
    <col min="11" max="11" width="14.7109375" customWidth="1"/>
    <col min="12" max="12" width="7.28515625" style="11" customWidth="1"/>
    <col min="13" max="13" width="11.140625" style="1207" bestFit="1" customWidth="1"/>
    <col min="14" max="14" width="4.28515625" customWidth="1"/>
    <col min="15" max="15" width="17.140625" bestFit="1" customWidth="1"/>
  </cols>
  <sheetData>
    <row r="1" spans="1:15" ht="15.75" x14ac:dyDescent="0.25">
      <c r="A1" s="36"/>
      <c r="B1" s="1452"/>
      <c r="C1" s="1451" t="s">
        <v>293</v>
      </c>
      <c r="D1" s="1452"/>
      <c r="E1" s="1452"/>
      <c r="F1" s="1452"/>
      <c r="G1" s="1520"/>
      <c r="H1" s="1452"/>
      <c r="I1" s="1520"/>
      <c r="J1" s="1452"/>
      <c r="K1" s="1452"/>
      <c r="L1" s="1520"/>
      <c r="M1" s="1521"/>
      <c r="N1" s="36"/>
      <c r="O1" s="36"/>
    </row>
    <row r="2" spans="1:15" x14ac:dyDescent="0.25">
      <c r="A2" s="36"/>
      <c r="B2" s="1167"/>
      <c r="C2" s="1164"/>
      <c r="D2" s="1164"/>
      <c r="E2" s="1164"/>
      <c r="F2" s="1166" t="s">
        <v>294</v>
      </c>
      <c r="G2" s="1180" t="s">
        <v>295</v>
      </c>
      <c r="H2" s="1166" t="s">
        <v>296</v>
      </c>
      <c r="I2" s="1180" t="s">
        <v>295</v>
      </c>
      <c r="J2" s="1522" t="s">
        <v>297</v>
      </c>
      <c r="K2" s="1587" t="s">
        <v>370</v>
      </c>
      <c r="L2" s="1522" t="s">
        <v>295</v>
      </c>
      <c r="M2" s="1523" t="s">
        <v>298</v>
      </c>
      <c r="N2" s="36"/>
      <c r="O2" s="36"/>
    </row>
    <row r="3" spans="1:15" ht="15.75" customHeight="1" x14ac:dyDescent="0.25">
      <c r="A3" s="1586"/>
      <c r="B3" s="1165" t="s">
        <v>299</v>
      </c>
      <c r="C3" s="1163"/>
      <c r="D3" s="1163"/>
      <c r="E3" s="1163"/>
      <c r="F3" s="1185">
        <f>+F4+F14+F16</f>
        <v>487121.28548422904</v>
      </c>
      <c r="G3" s="1186"/>
      <c r="H3" s="1185">
        <f>+H4+H14+H16</f>
        <v>710592.63160282723</v>
      </c>
      <c r="I3" s="1187"/>
      <c r="J3" s="1524">
        <f>+J4++J14+J16</f>
        <v>744662.14720358257</v>
      </c>
      <c r="K3" s="1588">
        <f>+K4++K14+K16</f>
        <v>1946.053023899176</v>
      </c>
      <c r="L3" s="1559"/>
      <c r="M3" s="1525">
        <f>(J3/H3)-1</f>
        <v>4.7945213735058667E-2</v>
      </c>
      <c r="N3" s="36"/>
      <c r="O3" s="1356">
        <f>J4/(J8+J10)</f>
        <v>969.71633640193431</v>
      </c>
    </row>
    <row r="4" spans="1:15" x14ac:dyDescent="0.25">
      <c r="A4" s="1586"/>
      <c r="B4" s="1168"/>
      <c r="C4" s="1162" t="s">
        <v>300</v>
      </c>
      <c r="D4" s="1162"/>
      <c r="E4" s="1162"/>
      <c r="F4" s="1188">
        <f>SUM(F5:F6)</f>
        <v>158135.51078775269</v>
      </c>
      <c r="G4" s="1188"/>
      <c r="H4" s="1188">
        <f>SUM(H5:H6)</f>
        <v>402381.61008778872</v>
      </c>
      <c r="I4" s="1189"/>
      <c r="J4" s="1526">
        <f>SUM(J5:J6)</f>
        <v>478070.15384615364</v>
      </c>
      <c r="K4" s="1539">
        <f>SUM(K5:K6)</f>
        <v>1946.053023899176</v>
      </c>
      <c r="L4" s="1560"/>
      <c r="M4" s="1525">
        <f>(J4/H4)-1</f>
        <v>0.18810139892290745</v>
      </c>
      <c r="N4" s="36"/>
      <c r="O4" s="36"/>
    </row>
    <row r="5" spans="1:15" x14ac:dyDescent="0.25">
      <c r="A5" s="1586"/>
      <c r="B5" s="1168"/>
      <c r="C5" s="1171" t="s">
        <v>38</v>
      </c>
      <c r="D5" s="1169"/>
      <c r="E5" s="1169"/>
      <c r="F5" s="1160"/>
      <c r="G5" s="1161"/>
      <c r="H5" s="1160"/>
      <c r="I5" s="1161"/>
      <c r="J5" s="1527"/>
      <c r="K5" s="1552"/>
      <c r="L5" s="1561"/>
      <c r="M5" s="1528"/>
      <c r="N5" s="36"/>
      <c r="O5" s="36"/>
    </row>
    <row r="6" spans="1:15" x14ac:dyDescent="0.25">
      <c r="A6" s="1586"/>
      <c r="B6" s="1168"/>
      <c r="C6" s="1170"/>
      <c r="D6" s="1170" t="s">
        <v>301</v>
      </c>
      <c r="E6" s="1170"/>
      <c r="F6" s="1190">
        <f>SUM(F9,F7)</f>
        <v>158135.51078775269</v>
      </c>
      <c r="G6" s="1191">
        <v>1</v>
      </c>
      <c r="H6" s="1190">
        <f>SUM(H9:H12,H7)</f>
        <v>402381.61008778872</v>
      </c>
      <c r="I6" s="1192">
        <f>SUM(I7:I12)</f>
        <v>0.99957254507738946</v>
      </c>
      <c r="J6" s="1529">
        <f>SUM(J9,J7,J11)</f>
        <v>478070.15384615364</v>
      </c>
      <c r="K6" s="1553">
        <f>SUM(K7:K9)</f>
        <v>1946.053023899176</v>
      </c>
      <c r="L6" s="1562">
        <v>1</v>
      </c>
      <c r="M6" s="1530">
        <f>(J6/H6)-1</f>
        <v>0.18810139892290745</v>
      </c>
      <c r="N6" s="36"/>
      <c r="O6" s="36"/>
    </row>
    <row r="7" spans="1:15" x14ac:dyDescent="0.25">
      <c r="A7" s="1586"/>
      <c r="B7" s="1168"/>
      <c r="C7" s="1170"/>
      <c r="D7" s="1169"/>
      <c r="E7" s="1172" t="s">
        <v>55</v>
      </c>
      <c r="F7" s="1193">
        <v>55100.771758680967</v>
      </c>
      <c r="G7" s="1161">
        <v>0.34844021740718606</v>
      </c>
      <c r="H7" s="1193">
        <v>184404.60073408706</v>
      </c>
      <c r="I7" s="1161">
        <f>H7/H6</f>
        <v>0.45828287404549872</v>
      </c>
      <c r="J7" s="1531">
        <v>337800</v>
      </c>
      <c r="K7" s="1551">
        <f>J7/J8</f>
        <v>965.14285714285711</v>
      </c>
      <c r="L7" s="1563">
        <v>0.32745878339965889</v>
      </c>
      <c r="M7" s="1528">
        <f>(J7/H7)-1</f>
        <v>0.83184149774609129</v>
      </c>
      <c r="N7" s="36"/>
      <c r="O7" s="36" t="s">
        <v>1159</v>
      </c>
    </row>
    <row r="8" spans="1:15" x14ac:dyDescent="0.25">
      <c r="A8" s="1586"/>
      <c r="B8" s="1168"/>
      <c r="C8" s="1170"/>
      <c r="D8" s="1169"/>
      <c r="E8" s="1172" t="s">
        <v>302</v>
      </c>
      <c r="F8" s="1195">
        <v>206</v>
      </c>
      <c r="G8" s="1161"/>
      <c r="H8" s="1195">
        <v>233</v>
      </c>
      <c r="I8" s="1161"/>
      <c r="J8" s="1532">
        <v>350</v>
      </c>
      <c r="K8" s="1554"/>
      <c r="L8" s="1563"/>
      <c r="M8" s="1528"/>
      <c r="N8" s="1356"/>
      <c r="O8" s="36"/>
    </row>
    <row r="9" spans="1:15" x14ac:dyDescent="0.25">
      <c r="A9" s="1586"/>
      <c r="B9" s="1168"/>
      <c r="C9" s="1170"/>
      <c r="D9" s="1173"/>
      <c r="E9" s="1172" t="s">
        <v>111</v>
      </c>
      <c r="F9" s="1193">
        <v>103034.73902907172</v>
      </c>
      <c r="G9" s="1161">
        <v>0.65155978259281389</v>
      </c>
      <c r="H9" s="1193">
        <v>84147.237427385888</v>
      </c>
      <c r="I9" s="1161">
        <f>H9/$H$6</f>
        <v>0.20912297013033784</v>
      </c>
      <c r="J9" s="1531">
        <v>109864.769230769</v>
      </c>
      <c r="K9" s="1551">
        <f>(J9+J11)/(J10)</f>
        <v>980.91016675631897</v>
      </c>
      <c r="L9" s="1563">
        <v>0.67254121660034105</v>
      </c>
      <c r="M9" s="1528">
        <f>(J9/H9)-1</f>
        <v>0.30562538461914257</v>
      </c>
      <c r="N9" s="1356"/>
      <c r="O9" s="36" t="s">
        <v>1159</v>
      </c>
    </row>
    <row r="10" spans="1:15" x14ac:dyDescent="0.25">
      <c r="A10" s="1586"/>
      <c r="B10" s="1168"/>
      <c r="C10" s="1170"/>
      <c r="D10" s="1173"/>
      <c r="E10" s="1172" t="s">
        <v>302</v>
      </c>
      <c r="F10" s="1193"/>
      <c r="G10" s="1161"/>
      <c r="H10" s="1195">
        <v>172</v>
      </c>
      <c r="I10" s="1161"/>
      <c r="J10" s="1532">
        <v>143</v>
      </c>
      <c r="K10" s="1554"/>
      <c r="L10" s="1563"/>
      <c r="M10" s="1528"/>
      <c r="N10" s="36"/>
      <c r="O10" s="36"/>
    </row>
    <row r="11" spans="1:15" x14ac:dyDescent="0.25">
      <c r="A11" s="1586"/>
      <c r="B11" s="1168"/>
      <c r="C11" s="1170"/>
      <c r="D11" s="1173"/>
      <c r="E11" s="1172" t="s">
        <v>303</v>
      </c>
      <c r="F11" s="1193"/>
      <c r="G11" s="1161"/>
      <c r="H11" s="1193">
        <v>90000</v>
      </c>
      <c r="I11" s="1161">
        <f t="shared" ref="I11:I12" si="0">H11/$H$6</f>
        <v>0.22366827345902923</v>
      </c>
      <c r="J11" s="1531">
        <v>30405.384615384617</v>
      </c>
      <c r="K11" s="1551"/>
      <c r="L11" s="1563"/>
      <c r="M11" s="1530"/>
      <c r="N11" s="36"/>
      <c r="O11" s="36"/>
    </row>
    <row r="12" spans="1:15" x14ac:dyDescent="0.25">
      <c r="A12" s="1586"/>
      <c r="B12" s="1168"/>
      <c r="C12" s="1170"/>
      <c r="D12" s="1173"/>
      <c r="E12" s="1172" t="s">
        <v>304</v>
      </c>
      <c r="F12" s="1193"/>
      <c r="G12" s="1161"/>
      <c r="H12" s="1193">
        <v>43657.771926315792</v>
      </c>
      <c r="I12" s="1161">
        <f t="shared" si="0"/>
        <v>0.10849842744252366</v>
      </c>
      <c r="J12" s="1531">
        <v>43657.771926315792</v>
      </c>
      <c r="K12" s="1551"/>
      <c r="L12" s="1563"/>
      <c r="M12" s="1530"/>
      <c r="N12" s="36"/>
      <c r="O12" s="36"/>
    </row>
    <row r="13" spans="1:15" x14ac:dyDescent="0.25">
      <c r="A13" s="1586"/>
      <c r="B13" s="1168"/>
      <c r="C13" s="1170"/>
      <c r="D13" s="1169"/>
      <c r="E13" s="1172" t="s">
        <v>302</v>
      </c>
      <c r="F13" s="1195">
        <v>312</v>
      </c>
      <c r="G13" s="1161"/>
      <c r="H13" s="1195">
        <v>172</v>
      </c>
      <c r="I13" s="1161"/>
      <c r="J13" s="1532"/>
      <c r="K13" s="1554"/>
      <c r="L13" s="1563"/>
      <c r="M13" s="1530"/>
      <c r="N13" s="36"/>
      <c r="O13" s="36"/>
    </row>
    <row r="14" spans="1:15" x14ac:dyDescent="0.25">
      <c r="A14" s="1586"/>
      <c r="B14" s="1168"/>
      <c r="C14" s="1167" t="s">
        <v>305</v>
      </c>
      <c r="D14" s="1166"/>
      <c r="E14" s="1181"/>
      <c r="F14" s="1196">
        <f>SUM(F15:F15)</f>
        <v>268441.3238116171</v>
      </c>
      <c r="G14" s="1197">
        <v>1</v>
      </c>
      <c r="H14" s="1196">
        <f>SUM(H15:H15)</f>
        <v>306303.22582136479</v>
      </c>
      <c r="I14" s="1197">
        <v>1</v>
      </c>
      <c r="J14" s="1533">
        <f>SUM(J15)</f>
        <v>266591.99335742887</v>
      </c>
      <c r="K14" s="1555"/>
      <c r="L14" s="1564">
        <v>1</v>
      </c>
      <c r="M14" s="1534">
        <f>(J14/H14)-1</f>
        <v>-0.12964679806243828</v>
      </c>
      <c r="N14" s="36"/>
      <c r="O14" s="36"/>
    </row>
    <row r="15" spans="1:15" x14ac:dyDescent="0.25">
      <c r="A15" s="1586"/>
      <c r="B15" s="1168"/>
      <c r="C15" s="1171" t="s">
        <v>47</v>
      </c>
      <c r="D15" s="1169"/>
      <c r="E15" s="1172" t="s">
        <v>171</v>
      </c>
      <c r="F15" s="1160">
        <v>268441.3238116171</v>
      </c>
      <c r="G15" s="1161">
        <v>1</v>
      </c>
      <c r="H15" s="1160">
        <v>306303.22582136479</v>
      </c>
      <c r="I15" s="1161">
        <v>1</v>
      </c>
      <c r="J15" s="1527">
        <v>266591.99335742887</v>
      </c>
      <c r="K15" s="1552"/>
      <c r="L15" s="1563">
        <v>1</v>
      </c>
      <c r="M15" s="1528">
        <f>(J15/H15)-1</f>
        <v>-0.12964679806243828</v>
      </c>
      <c r="N15" s="36"/>
      <c r="O15" s="36" t="s">
        <v>1159</v>
      </c>
    </row>
    <row r="16" spans="1:15" x14ac:dyDescent="0.25">
      <c r="A16" s="1586"/>
      <c r="B16" s="1168"/>
      <c r="C16" s="1167" t="s">
        <v>306</v>
      </c>
      <c r="D16" s="1166"/>
      <c r="E16" s="1166"/>
      <c r="F16" s="1196">
        <f>SUM(F17:F19)</f>
        <v>60544.450884859252</v>
      </c>
      <c r="G16" s="1197">
        <v>0</v>
      </c>
      <c r="H16" s="1196">
        <f>SUM(H17:H19)</f>
        <v>1907.7956936736957</v>
      </c>
      <c r="I16" s="1197">
        <v>0</v>
      </c>
      <c r="J16" s="1533">
        <f>SUM(J17:J19)</f>
        <v>0</v>
      </c>
      <c r="K16" s="1555"/>
      <c r="L16" s="1564"/>
      <c r="M16" s="1534"/>
      <c r="N16" s="36"/>
      <c r="O16" s="36"/>
    </row>
    <row r="17" spans="1:15" x14ac:dyDescent="0.25">
      <c r="A17" s="1586"/>
      <c r="B17" s="1168"/>
      <c r="C17" s="1169"/>
      <c r="D17" s="1169"/>
      <c r="E17" s="1174" t="s">
        <v>307</v>
      </c>
      <c r="F17" s="1160"/>
      <c r="G17" s="1161"/>
      <c r="H17" s="1160"/>
      <c r="I17" s="1161"/>
      <c r="J17" s="1535"/>
      <c r="K17" s="1556"/>
      <c r="L17" s="1565"/>
      <c r="M17" s="1530"/>
      <c r="N17" s="36"/>
      <c r="O17" s="36"/>
    </row>
    <row r="18" spans="1:15" x14ac:dyDescent="0.25">
      <c r="A18" s="1586"/>
      <c r="B18" s="1168"/>
      <c r="C18" s="1169"/>
      <c r="D18" s="1169"/>
      <c r="E18" s="1174" t="s">
        <v>308</v>
      </c>
      <c r="F18" s="1160">
        <v>60544.450884859252</v>
      </c>
      <c r="G18" s="1183"/>
      <c r="H18" s="36"/>
      <c r="I18" s="1161"/>
      <c r="J18" s="1535"/>
      <c r="K18" s="1556"/>
      <c r="L18" s="1565"/>
      <c r="M18" s="1530"/>
      <c r="N18" s="36"/>
      <c r="O18" s="36"/>
    </row>
    <row r="19" spans="1:15" x14ac:dyDescent="0.25">
      <c r="A19" s="1586"/>
      <c r="B19" s="1168"/>
      <c r="C19" s="1169"/>
      <c r="D19" s="1169"/>
      <c r="E19" s="1174" t="s">
        <v>309</v>
      </c>
      <c r="F19" s="1160"/>
      <c r="G19" s="1161"/>
      <c r="H19" s="1160">
        <v>1907.7956936736957</v>
      </c>
      <c r="I19" s="1161"/>
      <c r="J19" s="1535"/>
      <c r="K19" s="1556"/>
      <c r="L19" s="1565"/>
      <c r="M19" s="1530"/>
      <c r="N19" s="36"/>
      <c r="O19" s="36"/>
    </row>
    <row r="20" spans="1:15" ht="15" customHeight="1" x14ac:dyDescent="0.25">
      <c r="A20" s="1586"/>
      <c r="B20" s="1165" t="s">
        <v>310</v>
      </c>
      <c r="C20" s="1162"/>
      <c r="D20" s="1163"/>
      <c r="E20" s="1163"/>
      <c r="F20" s="1185">
        <f>+F21+F29+F40+F52+F57+F63</f>
        <v>343914.89296977804</v>
      </c>
      <c r="G20" s="1206"/>
      <c r="H20" s="1185">
        <f>+H21+H29+H40+H52+H57+H63</f>
        <v>573640.34467781452</v>
      </c>
      <c r="I20" s="1185"/>
      <c r="J20" s="1524">
        <f>+J21+J29+J40+J52+J57+J63</f>
        <v>576654.52995006391</v>
      </c>
      <c r="K20" s="1536">
        <f>+K21+K29+K40+K52+K57+K63</f>
        <v>1433.7573517123249</v>
      </c>
      <c r="L20" s="1566"/>
      <c r="M20" s="1525">
        <f>(J20/H20)-1</f>
        <v>5.2544861954266775E-3</v>
      </c>
      <c r="N20" s="36"/>
      <c r="O20" s="36"/>
    </row>
    <row r="21" spans="1:15" x14ac:dyDescent="0.25">
      <c r="A21" s="1586"/>
      <c r="B21" s="1169"/>
      <c r="C21" s="1162" t="s">
        <v>311</v>
      </c>
      <c r="D21" s="1163"/>
      <c r="E21" s="1163"/>
      <c r="F21" s="1185">
        <f t="shared" ref="F21:J21" si="1">SUM(F22:F28)</f>
        <v>31547.307379564991</v>
      </c>
      <c r="G21" s="1198">
        <f t="shared" si="1"/>
        <v>0.19949540253426923</v>
      </c>
      <c r="H21" s="1185">
        <f>SUM(H22:H28)</f>
        <v>29548.455313011298</v>
      </c>
      <c r="I21" s="1198">
        <f t="shared" si="1"/>
        <v>4.158283381909153E-2</v>
      </c>
      <c r="J21" s="1524">
        <f t="shared" si="1"/>
        <v>30547.881346288144</v>
      </c>
      <c r="K21" s="1536">
        <f>SUM(K22:K28)</f>
        <v>56.154193651264976</v>
      </c>
      <c r="L21" s="1567">
        <f>SUM(L22:L28)</f>
        <v>6.3898323500275786E-2</v>
      </c>
      <c r="M21" s="1525">
        <f>(J21/H21)-1</f>
        <v>3.3823292036411878E-2</v>
      </c>
      <c r="N21" s="36"/>
      <c r="O21" s="36"/>
    </row>
    <row r="22" spans="1:15" x14ac:dyDescent="0.25">
      <c r="A22" s="1586"/>
      <c r="B22" s="1176"/>
      <c r="C22" s="1170"/>
      <c r="D22" s="1169"/>
      <c r="E22" s="1174" t="s">
        <v>312</v>
      </c>
      <c r="F22" s="1160">
        <v>12512.842263724375</v>
      </c>
      <c r="G22" s="1199">
        <v>7.9127339592426779E-2</v>
      </c>
      <c r="H22" s="1160">
        <v>18037.117971346182</v>
      </c>
      <c r="I22" s="1199">
        <f>H22/$H$3</f>
        <v>2.538320434122894E-2</v>
      </c>
      <c r="J22" s="1527">
        <v>15274.980117535279</v>
      </c>
      <c r="K22" s="1552">
        <f>J22/544</f>
        <v>28.079007568998673</v>
      </c>
      <c r="L22" s="1563">
        <f>J22/$J$4</f>
        <v>3.1951336000889265E-2</v>
      </c>
      <c r="M22" s="1528">
        <f>(J22/H22)-1</f>
        <v>-0.15313631912808046</v>
      </c>
      <c r="N22" s="36"/>
      <c r="O22" s="36"/>
    </row>
    <row r="23" spans="1:15" x14ac:dyDescent="0.25">
      <c r="A23" s="1586"/>
      <c r="B23" s="1176"/>
      <c r="C23" s="1170"/>
      <c r="D23" s="1169"/>
      <c r="E23" s="1174" t="s">
        <v>313</v>
      </c>
      <c r="F23" s="1200">
        <v>2388.0044567679283</v>
      </c>
      <c r="G23" s="1199">
        <v>1.5101000685248205E-2</v>
      </c>
      <c r="H23" s="1200">
        <v>3055.110892543933</v>
      </c>
      <c r="I23" s="1199">
        <f t="shared" ref="I23:I28" si="2">H23/$H$3</f>
        <v>4.2993844245932614E-3</v>
      </c>
      <c r="J23" s="1527">
        <v>2721.5576746559309</v>
      </c>
      <c r="K23" s="1552">
        <f>J23/544</f>
        <v>5.0028633725292844</v>
      </c>
      <c r="L23" s="1563">
        <f t="shared" ref="L23:L28" si="3">J23/$J$4</f>
        <v>5.6927997967673744E-3</v>
      </c>
      <c r="M23" s="1528">
        <f>(J23/H23)-1</f>
        <v>-0.1091787596653353</v>
      </c>
      <c r="N23" s="36"/>
      <c r="O23" s="36"/>
    </row>
    <row r="24" spans="1:15" x14ac:dyDescent="0.25">
      <c r="A24" s="1586"/>
      <c r="B24" s="1176"/>
      <c r="C24" s="1170"/>
      <c r="D24" s="1169"/>
      <c r="E24" s="1174" t="s">
        <v>60</v>
      </c>
      <c r="F24" s="1200">
        <v>642.42005159134601</v>
      </c>
      <c r="G24" s="1199">
        <v>4.0624654664289375E-3</v>
      </c>
      <c r="H24" s="1200">
        <f>2360.96+8.69</f>
        <v>2369.65</v>
      </c>
      <c r="I24" s="1199">
        <f t="shared" si="2"/>
        <v>3.3347517193570799E-3</v>
      </c>
      <c r="J24" s="1527">
        <v>1506.0350257956729</v>
      </c>
      <c r="K24" s="1552">
        <f t="shared" ref="K24:K28" si="4">J24/544</f>
        <v>2.7684467385949869</v>
      </c>
      <c r="L24" s="1563">
        <f t="shared" si="3"/>
        <v>3.1502385448649566E-3</v>
      </c>
      <c r="M24" s="1528">
        <f>(J24/H24)-1</f>
        <v>-0.36444832536633132</v>
      </c>
      <c r="N24" s="36"/>
      <c r="O24" s="36"/>
    </row>
    <row r="25" spans="1:15" x14ac:dyDescent="0.25">
      <c r="A25" s="1586"/>
      <c r="B25" s="1176"/>
      <c r="C25" s="1170"/>
      <c r="D25" s="1169"/>
      <c r="E25" s="1174" t="s">
        <v>314</v>
      </c>
      <c r="F25" s="1200">
        <v>519.19071623819821</v>
      </c>
      <c r="G25" s="1199">
        <v>3.2832013103941521E-3</v>
      </c>
      <c r="H25" s="1200">
        <v>0</v>
      </c>
      <c r="I25" s="1199">
        <f t="shared" si="2"/>
        <v>0</v>
      </c>
      <c r="J25" s="1527">
        <v>259.5953581190991</v>
      </c>
      <c r="K25" s="1552">
        <f t="shared" si="4"/>
        <v>0.47719734948363807</v>
      </c>
      <c r="L25" s="1563">
        <f t="shared" si="3"/>
        <v>5.4300682866439455E-4</v>
      </c>
      <c r="M25" s="1528"/>
      <c r="N25" s="36"/>
      <c r="O25" s="36"/>
    </row>
    <row r="26" spans="1:15" x14ac:dyDescent="0.25">
      <c r="A26" s="1586"/>
      <c r="B26" s="1176"/>
      <c r="C26" s="1170"/>
      <c r="D26" s="1169"/>
      <c r="E26" s="1173" t="s">
        <v>315</v>
      </c>
      <c r="F26" s="1160">
        <v>3682.3431486708332</v>
      </c>
      <c r="G26" s="1199">
        <v>2.3285997751720824E-2</v>
      </c>
      <c r="H26" s="1160">
        <v>1344.3743548913003</v>
      </c>
      <c r="I26" s="1199">
        <f t="shared" si="2"/>
        <v>1.89190584745989E-3</v>
      </c>
      <c r="J26" s="1527">
        <v>2513.3587517810665</v>
      </c>
      <c r="K26" s="1552">
        <f t="shared" si="4"/>
        <v>4.620144764303431</v>
      </c>
      <c r="L26" s="1563">
        <f t="shared" si="3"/>
        <v>5.2573011127356071E-3</v>
      </c>
      <c r="M26" s="1528">
        <f>(J26/H26)-1</f>
        <v>0.86953785799066718</v>
      </c>
      <c r="N26" s="36"/>
      <c r="O26" s="36"/>
    </row>
    <row r="27" spans="1:15" x14ac:dyDescent="0.25">
      <c r="A27" s="1586"/>
      <c r="B27" s="1176"/>
      <c r="C27" s="1170"/>
      <c r="D27" s="1169"/>
      <c r="E27" s="1173" t="s">
        <v>316</v>
      </c>
      <c r="F27" s="1160">
        <v>3073.0300517837877</v>
      </c>
      <c r="G27" s="1199">
        <v>1.9432890414527868E-2</v>
      </c>
      <c r="H27" s="1160">
        <v>425.98043692063322</v>
      </c>
      <c r="I27" s="1199">
        <f t="shared" si="2"/>
        <v>5.9947207158591426E-4</v>
      </c>
      <c r="J27" s="1527">
        <v>1749.5052443522104</v>
      </c>
      <c r="K27" s="1552">
        <f t="shared" si="4"/>
        <v>3.2160022874121514</v>
      </c>
      <c r="L27" s="1563">
        <f>J27/$J$4</f>
        <v>3.6595157222787298E-3</v>
      </c>
      <c r="M27" s="1528">
        <f>(J27/H27)-1</f>
        <v>3.1070084274273153</v>
      </c>
      <c r="N27" s="36"/>
      <c r="O27" s="36"/>
    </row>
    <row r="28" spans="1:15" x14ac:dyDescent="0.25">
      <c r="A28" s="1586"/>
      <c r="B28" s="1176"/>
      <c r="C28" s="1170"/>
      <c r="D28" s="1169"/>
      <c r="E28" s="1173" t="s">
        <v>36</v>
      </c>
      <c r="F28" s="1160">
        <v>8729.4766907885223</v>
      </c>
      <c r="G28" s="1199">
        <v>5.5202507313522428E-2</v>
      </c>
      <c r="H28" s="1160">
        <v>4316.2216573092473</v>
      </c>
      <c r="I28" s="1199">
        <f t="shared" si="2"/>
        <v>6.0741154148664473E-3</v>
      </c>
      <c r="J28" s="1527">
        <v>6522.8491740488844</v>
      </c>
      <c r="K28" s="1552">
        <f t="shared" si="4"/>
        <v>11.990531569942803</v>
      </c>
      <c r="L28" s="1563">
        <f t="shared" si="3"/>
        <v>1.3644125494075465E-2</v>
      </c>
      <c r="M28" s="1528">
        <f>(J28/H28)-1</f>
        <v>0.51124054599996116</v>
      </c>
      <c r="N28" s="36"/>
      <c r="O28" s="36"/>
    </row>
    <row r="29" spans="1:15" x14ac:dyDescent="0.25">
      <c r="A29" s="1586"/>
      <c r="B29" s="1176"/>
      <c r="C29" s="1167" t="s">
        <v>317</v>
      </c>
      <c r="D29" s="1167"/>
      <c r="E29" s="1167"/>
      <c r="F29" s="1196">
        <f>+F32+F30</f>
        <v>72489.895376805536</v>
      </c>
      <c r="G29" s="1201">
        <v>1.3155876599021494</v>
      </c>
      <c r="H29" s="1196">
        <f>+H32+H30</f>
        <v>160610.21696705031</v>
      </c>
      <c r="I29" s="1201">
        <f>+I30+I32</f>
        <v>0.87096643103092397</v>
      </c>
      <c r="J29" s="1533">
        <f>+J32+J30</f>
        <v>158106.76431232909</v>
      </c>
      <c r="K29" s="1555">
        <f>+K32+K30</f>
        <v>451.73361232094021</v>
      </c>
      <c r="L29" s="1564">
        <f>+L30+L32</f>
        <v>0.48057668905454504</v>
      </c>
      <c r="M29" s="1534">
        <v>-0.29025509014574669</v>
      </c>
      <c r="N29" s="36"/>
      <c r="O29" s="36"/>
    </row>
    <row r="30" spans="1:15" x14ac:dyDescent="0.25">
      <c r="A30" s="1586"/>
      <c r="B30" s="1176"/>
      <c r="C30" s="1170" t="s">
        <v>318</v>
      </c>
      <c r="D30" s="1169"/>
      <c r="E30" s="1177" t="s">
        <v>319</v>
      </c>
      <c r="F30" s="1202">
        <f>+F31</f>
        <v>2366.4854817580099</v>
      </c>
      <c r="G30" s="1203">
        <v>4.2948318258086413E-2</v>
      </c>
      <c r="H30" s="1202">
        <f>+H31</f>
        <v>3771.9999999999995</v>
      </c>
      <c r="I30" s="1203">
        <f>+I31</f>
        <v>2.0455021105678671E-2</v>
      </c>
      <c r="J30" s="1537">
        <f>+J31</f>
        <v>5087.5572591209948</v>
      </c>
      <c r="K30" s="1557">
        <f>SUM(K31:K39)</f>
        <v>451.73361232094021</v>
      </c>
      <c r="L30" s="1562">
        <f>J30/$H$7</f>
        <v>2.7589101567250449E-2</v>
      </c>
      <c r="M30" s="1530">
        <f t="shared" ref="M30:M54" si="5">(J30/H30)-1</f>
        <v>0.34876915671288322</v>
      </c>
      <c r="N30" s="36"/>
      <c r="O30" s="36"/>
    </row>
    <row r="31" spans="1:15" x14ac:dyDescent="0.25">
      <c r="A31" s="1586"/>
      <c r="B31" s="1176"/>
      <c r="C31" s="1170"/>
      <c r="D31" s="1178"/>
      <c r="E31" s="1172" t="s">
        <v>320</v>
      </c>
      <c r="F31" s="1160">
        <v>2366.4854817580099</v>
      </c>
      <c r="G31" s="1199">
        <v>4.2948318258086413E-2</v>
      </c>
      <c r="H31" s="1160">
        <v>3771.9999999999995</v>
      </c>
      <c r="I31" s="1199">
        <f t="shared" ref="I31" si="6">H31/$H$7</f>
        <v>2.0455021105678671E-2</v>
      </c>
      <c r="J31" s="1527">
        <v>5087.5572591209948</v>
      </c>
      <c r="K31" s="1356">
        <f>J31/$J$8</f>
        <v>14.535877883202842</v>
      </c>
      <c r="L31" s="1563">
        <f>J31/$J$7</f>
        <v>1.5060856302904069E-2</v>
      </c>
      <c r="M31" s="1528">
        <f t="shared" si="5"/>
        <v>0.34876915671288322</v>
      </c>
      <c r="N31" s="36"/>
      <c r="O31" s="36"/>
    </row>
    <row r="32" spans="1:15" x14ac:dyDescent="0.25">
      <c r="A32" s="1586"/>
      <c r="B32" s="1176"/>
      <c r="C32" s="1169"/>
      <c r="D32" s="1169"/>
      <c r="E32" s="1177" t="s">
        <v>321</v>
      </c>
      <c r="F32" s="1202">
        <f>SUM(F33:F39)</f>
        <v>70123.409895047531</v>
      </c>
      <c r="G32" s="1203">
        <v>1.27263934164406</v>
      </c>
      <c r="H32" s="1202">
        <f>SUM(H33:H39)</f>
        <v>156838.21696705031</v>
      </c>
      <c r="I32" s="1203">
        <f>H32/$H$7</f>
        <v>0.85051140992524532</v>
      </c>
      <c r="J32" s="1537">
        <f>SUM(J33:J39)</f>
        <v>153019.20705320808</v>
      </c>
      <c r="K32" s="1557"/>
      <c r="L32" s="1562">
        <f>SUM(L33:L39)</f>
        <v>0.45298758748729456</v>
      </c>
      <c r="M32" s="1530">
        <f t="shared" si="5"/>
        <v>-2.4349995732510399E-2</v>
      </c>
      <c r="N32" s="36"/>
      <c r="O32" s="36"/>
    </row>
    <row r="33" spans="1:15" x14ac:dyDescent="0.25">
      <c r="A33" s="1586"/>
      <c r="B33" s="1176"/>
      <c r="C33" s="1169"/>
      <c r="D33" s="1178"/>
      <c r="E33" s="1172" t="s">
        <v>103</v>
      </c>
      <c r="F33" s="1160">
        <v>9154.8599999999988</v>
      </c>
      <c r="G33" s="1199">
        <v>0.16614758210818847</v>
      </c>
      <c r="H33" s="1160">
        <v>26322.05330490405</v>
      </c>
      <c r="I33" s="1199">
        <f t="shared" ref="I33:I39" si="7">H33/$H$7</f>
        <v>0.14274076243282383</v>
      </c>
      <c r="J33" s="1527">
        <v>10023.93</v>
      </c>
      <c r="K33" s="1356">
        <f t="shared" ref="K33:K39" si="8">J33/$J$8</f>
        <v>28.639800000000001</v>
      </c>
      <c r="L33" s="1563">
        <f>J33/$J$7</f>
        <v>2.9674156305506218E-2</v>
      </c>
      <c r="M33" s="1528">
        <f t="shared" si="5"/>
        <v>-0.6191813045932687</v>
      </c>
      <c r="N33" s="36"/>
      <c r="O33" s="36"/>
    </row>
    <row r="34" spans="1:15" x14ac:dyDescent="0.25">
      <c r="A34" s="1586"/>
      <c r="B34" s="1176"/>
      <c r="C34" s="1169"/>
      <c r="D34" s="1169"/>
      <c r="E34" s="1172" t="s">
        <v>56</v>
      </c>
      <c r="F34" s="1160">
        <v>2630.5567722772284</v>
      </c>
      <c r="G34" s="1199">
        <v>4.7740833536742466E-2</v>
      </c>
      <c r="H34" s="1160">
        <v>10262.665444293165</v>
      </c>
      <c r="I34" s="1199">
        <f t="shared" si="7"/>
        <v>5.5652979391181308E-2</v>
      </c>
      <c r="J34" s="1527">
        <v>15894.012315789472</v>
      </c>
      <c r="K34" s="1356">
        <f t="shared" si="8"/>
        <v>45.411463759398494</v>
      </c>
      <c r="L34" s="1563">
        <f>J34/$J$7</f>
        <v>4.7051546227914368E-2</v>
      </c>
      <c r="M34" s="1528">
        <f t="shared" si="5"/>
        <v>0.54872166515257215</v>
      </c>
      <c r="N34" s="36"/>
      <c r="O34" s="36"/>
    </row>
    <row r="35" spans="1:15" x14ac:dyDescent="0.25">
      <c r="A35" s="1586"/>
      <c r="B35" s="1176"/>
      <c r="C35" s="1169"/>
      <c r="D35" s="1169"/>
      <c r="E35" s="1172" t="s">
        <v>154</v>
      </c>
      <c r="F35" s="1160">
        <v>2594.1907356948227</v>
      </c>
      <c r="G35" s="1199">
        <v>4.7080842116991137E-2</v>
      </c>
      <c r="H35" s="1160">
        <v>10201.759379108742</v>
      </c>
      <c r="I35" s="1199">
        <f t="shared" si="7"/>
        <v>5.5322694436565401E-2</v>
      </c>
      <c r="J35" s="1527">
        <v>15712.88</v>
      </c>
      <c r="K35" s="1356">
        <f t="shared" si="8"/>
        <v>44.893942857142854</v>
      </c>
      <c r="L35" s="1563">
        <f t="shared" ref="L35:L39" si="9">J35/$J$7</f>
        <v>4.651533451746595E-2</v>
      </c>
      <c r="M35" s="1528">
        <f t="shared" si="5"/>
        <v>0.54021276292567544</v>
      </c>
      <c r="N35" s="36"/>
      <c r="O35" s="36"/>
    </row>
    <row r="36" spans="1:15" x14ac:dyDescent="0.25">
      <c r="A36" s="1586"/>
      <c r="B36" s="1176"/>
      <c r="C36" s="1169"/>
      <c r="D36" s="1169"/>
      <c r="E36" s="1172" t="s">
        <v>52</v>
      </c>
      <c r="F36" s="1160">
        <v>37003.212522227514</v>
      </c>
      <c r="G36" s="1199">
        <v>0.67155524943074441</v>
      </c>
      <c r="H36" s="1160">
        <v>58176.3982157676</v>
      </c>
      <c r="I36" s="1199">
        <f t="shared" si="7"/>
        <v>0.31548235772955818</v>
      </c>
      <c r="J36" s="1527">
        <v>47589.805368997557</v>
      </c>
      <c r="K36" s="1356">
        <f t="shared" si="8"/>
        <v>135.97087248285015</v>
      </c>
      <c r="L36" s="1563">
        <f>J36/$J$7</f>
        <v>0.14088160263172753</v>
      </c>
      <c r="M36" s="1528">
        <f t="shared" si="5"/>
        <v>-0.1819740164646485</v>
      </c>
      <c r="N36" s="36"/>
      <c r="O36" s="36"/>
    </row>
    <row r="37" spans="1:15" x14ac:dyDescent="0.25">
      <c r="A37" s="1586"/>
      <c r="B37" s="1176"/>
      <c r="C37" s="1169"/>
      <c r="D37" s="1169"/>
      <c r="E37" s="1172" t="s">
        <v>65</v>
      </c>
      <c r="F37" s="1160">
        <v>10456.384091166565</v>
      </c>
      <c r="G37" s="1199">
        <v>0.18976837814470704</v>
      </c>
      <c r="H37" s="1160">
        <v>18652.849740932645</v>
      </c>
      <c r="I37" s="1199">
        <f t="shared" si="7"/>
        <v>0.10115175904873548</v>
      </c>
      <c r="J37" s="1527">
        <v>27276.000000000004</v>
      </c>
      <c r="K37" s="1356">
        <f t="shared" si="8"/>
        <v>77.931428571428583</v>
      </c>
      <c r="L37" s="1563">
        <f t="shared" si="9"/>
        <v>8.0746003552397874E-2</v>
      </c>
      <c r="M37" s="1528">
        <f t="shared" si="5"/>
        <v>0.4622966666666668</v>
      </c>
      <c r="N37" s="36"/>
      <c r="O37" s="36"/>
    </row>
    <row r="38" spans="1:15" x14ac:dyDescent="0.25">
      <c r="A38" s="1586"/>
      <c r="B38" s="1176"/>
      <c r="C38" s="1169"/>
      <c r="D38" s="1169"/>
      <c r="E38" s="1172" t="s">
        <v>94</v>
      </c>
      <c r="F38" s="1160">
        <v>8284.2057736814004</v>
      </c>
      <c r="G38" s="1199">
        <v>0.15034645630668952</v>
      </c>
      <c r="H38" s="1160">
        <v>26380.490882044094</v>
      </c>
      <c r="I38" s="1199">
        <f t="shared" si="7"/>
        <v>0.14305766112682286</v>
      </c>
      <c r="J38" s="1527">
        <v>33101.579368421066</v>
      </c>
      <c r="K38" s="1356">
        <f t="shared" si="8"/>
        <v>94.57594105263162</v>
      </c>
      <c r="L38" s="1563">
        <f t="shared" si="9"/>
        <v>9.7991649995325836E-2</v>
      </c>
      <c r="M38" s="1528">
        <f t="shared" si="5"/>
        <v>0.25477495913283721</v>
      </c>
      <c r="N38" s="36"/>
      <c r="O38" s="1356"/>
    </row>
    <row r="39" spans="1:15" x14ac:dyDescent="0.25">
      <c r="A39" s="1586"/>
      <c r="B39" s="1176"/>
      <c r="C39" s="1169"/>
      <c r="D39" s="1169"/>
      <c r="E39" s="1172" t="s">
        <v>322</v>
      </c>
      <c r="F39" s="1160">
        <v>0</v>
      </c>
      <c r="G39" s="1199">
        <v>0</v>
      </c>
      <c r="H39" s="1160">
        <v>6842</v>
      </c>
      <c r="I39" s="1199">
        <f t="shared" si="7"/>
        <v>3.7103195759558193E-2</v>
      </c>
      <c r="J39" s="1527">
        <v>3421</v>
      </c>
      <c r="K39" s="1356">
        <f t="shared" si="8"/>
        <v>9.774285714285714</v>
      </c>
      <c r="L39" s="1563">
        <f t="shared" si="9"/>
        <v>1.0127294256956779E-2</v>
      </c>
      <c r="M39" s="1528">
        <f t="shared" si="5"/>
        <v>-0.5</v>
      </c>
      <c r="N39" s="36"/>
      <c r="O39" s="36"/>
    </row>
    <row r="40" spans="1:15" x14ac:dyDescent="0.25">
      <c r="A40" s="1586"/>
      <c r="B40" s="1176"/>
      <c r="C40" s="1167" t="s">
        <v>323</v>
      </c>
      <c r="D40" s="1167"/>
      <c r="E40" s="1167"/>
      <c r="F40" s="1196">
        <f>F43+F41</f>
        <v>86746.627000844237</v>
      </c>
      <c r="G40" s="1204">
        <v>0.84191630724049571</v>
      </c>
      <c r="H40" s="1196">
        <f>H43+H41</f>
        <v>180092.34542227918</v>
      </c>
      <c r="I40" s="1204">
        <f>+I41+I43</f>
        <v>0.82619880856357331</v>
      </c>
      <c r="J40" s="1533">
        <f>J43+J41</f>
        <v>132399.34504083707</v>
      </c>
      <c r="K40" s="1555">
        <f>+K41</f>
        <v>925.86954574011963</v>
      </c>
      <c r="L40" s="1564">
        <f>+L41+L43</f>
        <v>0.71825048433372274</v>
      </c>
      <c r="M40" s="1534">
        <f t="shared" si="5"/>
        <v>-0.26482524989949974</v>
      </c>
      <c r="N40" s="36"/>
      <c r="O40" s="36"/>
    </row>
    <row r="41" spans="1:15" x14ac:dyDescent="0.25">
      <c r="A41" s="1586"/>
      <c r="B41" s="1176"/>
      <c r="C41" s="1170" t="s">
        <v>318</v>
      </c>
      <c r="D41" s="1169"/>
      <c r="E41" s="1177" t="s">
        <v>319</v>
      </c>
      <c r="F41" s="1202">
        <v>2366.4854817580099</v>
      </c>
      <c r="G41" s="1199">
        <v>2.2967840789020637E-2</v>
      </c>
      <c r="H41" s="1202">
        <v>2886.3999999999996</v>
      </c>
      <c r="I41" s="1203">
        <f>H41/SUM($H$9:$H$12)</f>
        <v>1.3241763471102432E-2</v>
      </c>
      <c r="J41" s="1537">
        <v>2626.4427408790048</v>
      </c>
      <c r="K41" s="1557">
        <f>SUM(K42:K51)</f>
        <v>925.86954574011963</v>
      </c>
      <c r="L41" s="1562">
        <v>1.26865969852868E-2</v>
      </c>
      <c r="M41" s="1530">
        <f t="shared" si="5"/>
        <v>-9.0062797644468895E-2</v>
      </c>
      <c r="N41" s="36"/>
      <c r="O41" s="36"/>
    </row>
    <row r="42" spans="1:15" x14ac:dyDescent="0.25">
      <c r="A42" s="1586"/>
      <c r="B42" s="1176"/>
      <c r="C42" s="1170"/>
      <c r="D42" s="1178"/>
      <c r="E42" s="1172" t="s">
        <v>320</v>
      </c>
      <c r="F42" s="1160">
        <v>2366.4854817580099</v>
      </c>
      <c r="G42" s="1199">
        <v>2.2967840789020637E-2</v>
      </c>
      <c r="H42" s="1160">
        <v>2886.3999999999996</v>
      </c>
      <c r="I42" s="1199">
        <f>H42/SUM($H$9:$H$12)</f>
        <v>1.3241763471102432E-2</v>
      </c>
      <c r="J42" s="1527">
        <v>2626.4427408790048</v>
      </c>
      <c r="K42" s="1356">
        <f>J42/($J$10+$J$13)</f>
        <v>18.366732453699335</v>
      </c>
      <c r="L42" s="1563">
        <f>J42/($J$9+$J$11+$J$12)</f>
        <v>1.4279738815344889E-2</v>
      </c>
      <c r="M42" s="1528">
        <f t="shared" si="5"/>
        <v>-9.0062797644468895E-2</v>
      </c>
      <c r="N42" s="36"/>
      <c r="O42" s="36"/>
    </row>
    <row r="43" spans="1:15" x14ac:dyDescent="0.25">
      <c r="A43" s="1586"/>
      <c r="B43" s="1176"/>
      <c r="C43" s="1169"/>
      <c r="D43" s="1169"/>
      <c r="E43" s="1177" t="s">
        <v>321</v>
      </c>
      <c r="F43" s="1202">
        <f>SUM(F44:F51)</f>
        <v>84380.141519086232</v>
      </c>
      <c r="G43" s="1203">
        <v>0.81894846645147512</v>
      </c>
      <c r="H43" s="1202">
        <f>SUM(H44:H51)</f>
        <v>177205.94542227918</v>
      </c>
      <c r="I43" s="1203">
        <f>SUM(I44:I51)</f>
        <v>0.81295704509247091</v>
      </c>
      <c r="J43" s="1537">
        <f>SUM(J44:J51)</f>
        <v>129772.90229995808</v>
      </c>
      <c r="K43" s="1356"/>
      <c r="L43" s="1562">
        <f>SUM(L44:L51)</f>
        <v>0.70556388734843589</v>
      </c>
      <c r="M43" s="1530">
        <f t="shared" si="5"/>
        <v>-0.26767184932361532</v>
      </c>
      <c r="N43" s="36"/>
      <c r="O43" s="36"/>
    </row>
    <row r="44" spans="1:15" x14ac:dyDescent="0.25">
      <c r="A44" s="1586"/>
      <c r="B44" s="1176"/>
      <c r="C44" s="1169"/>
      <c r="D44" s="1169"/>
      <c r="E44" s="1172" t="s">
        <v>103</v>
      </c>
      <c r="F44" s="1160">
        <v>5274.39</v>
      </c>
      <c r="G44" s="1199">
        <v>5.1190404806206256E-2</v>
      </c>
      <c r="H44" s="1160">
        <v>23321.666161825728</v>
      </c>
      <c r="I44" s="1199">
        <f t="shared" ref="I44:I51" si="10">H44/SUM($H$9:$H$12)</f>
        <v>0.10699140350156236</v>
      </c>
      <c r="J44" s="1527">
        <v>14298.028080912864</v>
      </c>
      <c r="K44" s="1356">
        <f t="shared" ref="K44:K51" si="11">J44/$J$10</f>
        <v>99.986210356034007</v>
      </c>
      <c r="L44" s="1563">
        <f t="shared" ref="L44:L51" si="12">J44/($J$9+$J$11+$J$12)</f>
        <v>7.7737124587597628E-2</v>
      </c>
      <c r="M44" s="1528">
        <f t="shared" si="5"/>
        <v>-0.38692081510382326</v>
      </c>
      <c r="N44" s="36"/>
      <c r="O44" s="1593"/>
    </row>
    <row r="45" spans="1:15" x14ac:dyDescent="0.25">
      <c r="A45" s="1586"/>
      <c r="B45" s="1176"/>
      <c r="C45" s="1169"/>
      <c r="D45" s="1169"/>
      <c r="E45" s="1172" t="s">
        <v>56</v>
      </c>
      <c r="F45" s="1160">
        <v>13789.824884792626</v>
      </c>
      <c r="G45" s="1199">
        <v>0.13383665562448568</v>
      </c>
      <c r="H45" s="1160">
        <v>7294.1341602597568</v>
      </c>
      <c r="I45" s="1199">
        <f t="shared" si="10"/>
        <v>3.3462860059814324E-2</v>
      </c>
      <c r="J45" s="1527">
        <v>7777.7777777777774</v>
      </c>
      <c r="K45" s="1356">
        <f t="shared" si="11"/>
        <v>54.390054390054388</v>
      </c>
      <c r="L45" s="1563">
        <f t="shared" si="12"/>
        <v>4.2287095584383337E-2</v>
      </c>
      <c r="M45" s="1528">
        <f t="shared" si="5"/>
        <v>6.6305829710814779E-2</v>
      </c>
      <c r="N45" s="36"/>
      <c r="O45" s="1356"/>
    </row>
    <row r="46" spans="1:15" x14ac:dyDescent="0.25">
      <c r="A46" s="1586"/>
      <c r="B46" s="1176"/>
      <c r="C46" s="1169"/>
      <c r="D46" s="1169"/>
      <c r="E46" s="1172" t="s">
        <v>154</v>
      </c>
      <c r="F46" s="1160">
        <v>3254.3891089108911</v>
      </c>
      <c r="G46" s="1199">
        <v>3.158535790528523E-2</v>
      </c>
      <c r="H46" s="1160">
        <v>7051.876125480303</v>
      </c>
      <c r="I46" s="1199">
        <f t="shared" si="10"/>
        <v>3.2351467461586902E-2</v>
      </c>
      <c r="J46" s="1527">
        <v>5153.132617195597</v>
      </c>
      <c r="K46" s="1356">
        <f t="shared" si="11"/>
        <v>36.035892427941235</v>
      </c>
      <c r="L46" s="1563">
        <f>J46/($J$9+$J$11+$J$12)</f>
        <v>2.8017130055445476E-2</v>
      </c>
      <c r="M46" s="1528">
        <f t="shared" si="5"/>
        <v>-0.26925366732181255</v>
      </c>
      <c r="N46" s="36"/>
      <c r="O46" s="36"/>
    </row>
    <row r="47" spans="1:15" x14ac:dyDescent="0.25">
      <c r="A47" s="1586"/>
      <c r="B47" s="1176"/>
      <c r="C47" s="1169"/>
      <c r="D47" s="1169"/>
      <c r="E47" s="1172" t="s">
        <v>324</v>
      </c>
      <c r="F47" s="1160">
        <v>37202.433408070116</v>
      </c>
      <c r="G47" s="1199">
        <v>0.36106689606476589</v>
      </c>
      <c r="H47" s="1160">
        <v>61950.29</v>
      </c>
      <c r="I47" s="1199">
        <f t="shared" si="10"/>
        <v>0.28420561500353464</v>
      </c>
      <c r="J47" s="1527">
        <v>37202.433408070116</v>
      </c>
      <c r="K47" s="1356">
        <f t="shared" si="11"/>
        <v>260.15687697951131</v>
      </c>
      <c r="L47" s="1563">
        <f t="shared" si="12"/>
        <v>0.20226636739269219</v>
      </c>
      <c r="M47" s="1528">
        <f t="shared" si="5"/>
        <v>-0.39947926945830092</v>
      </c>
      <c r="N47" s="36"/>
      <c r="O47" s="36"/>
    </row>
    <row r="48" spans="1:15" x14ac:dyDescent="0.25">
      <c r="A48" s="1586"/>
      <c r="B48" s="1176"/>
      <c r="C48" s="1169"/>
      <c r="D48" s="1169"/>
      <c r="E48" s="1172" t="s">
        <v>65</v>
      </c>
      <c r="F48" s="1160">
        <v>9135.2451936755679</v>
      </c>
      <c r="G48" s="1199">
        <v>8.8661797756366595E-2</v>
      </c>
      <c r="H48" s="1160">
        <v>14970.237552777036</v>
      </c>
      <c r="I48" s="1199">
        <f t="shared" si="10"/>
        <v>6.8678057365607281E-2</v>
      </c>
      <c r="J48" s="1527">
        <v>12052.741373226301</v>
      </c>
      <c r="K48" s="1356">
        <f t="shared" si="11"/>
        <v>84.284904707876237</v>
      </c>
      <c r="L48" s="1563">
        <f t="shared" si="12"/>
        <v>6.5529697693303579E-2</v>
      </c>
      <c r="M48" s="1528">
        <f t="shared" si="5"/>
        <v>-0.19488643177940279</v>
      </c>
      <c r="N48" s="36"/>
      <c r="O48" s="36"/>
    </row>
    <row r="49" spans="1:15" x14ac:dyDescent="0.25">
      <c r="A49" s="1586"/>
      <c r="B49" s="1176"/>
      <c r="C49" s="1169"/>
      <c r="D49" s="1169"/>
      <c r="E49" s="1172" t="s">
        <v>94</v>
      </c>
      <c r="F49" s="1160">
        <v>8284.2057736814004</v>
      </c>
      <c r="G49" s="1199">
        <v>8.0402064893316944E-2</v>
      </c>
      <c r="H49" s="1160">
        <v>37237.449999999997</v>
      </c>
      <c r="I49" s="1199">
        <f t="shared" si="10"/>
        <v>0.17083200705619569</v>
      </c>
      <c r="J49" s="1527">
        <v>34051.455600539812</v>
      </c>
      <c r="K49" s="1356">
        <f t="shared" si="11"/>
        <v>238.12206713664204</v>
      </c>
      <c r="L49" s="1563">
        <f t="shared" si="12"/>
        <v>0.18513477742723874</v>
      </c>
      <c r="M49" s="1528">
        <f t="shared" si="5"/>
        <v>-8.5558876868856104E-2</v>
      </c>
      <c r="N49" s="36"/>
      <c r="O49" s="36"/>
    </row>
    <row r="50" spans="1:15" x14ac:dyDescent="0.25">
      <c r="A50" s="1586"/>
      <c r="B50" s="1176"/>
      <c r="C50" s="1169"/>
      <c r="D50" s="1169"/>
      <c r="E50" s="1172" t="s">
        <v>325</v>
      </c>
      <c r="F50" s="1160">
        <v>7439.6531499556349</v>
      </c>
      <c r="G50" s="1199">
        <v>7.2205289401048547E-2</v>
      </c>
      <c r="H50" s="1160">
        <v>19725.569109357071</v>
      </c>
      <c r="I50" s="1199">
        <f t="shared" si="10"/>
        <v>9.0493805598320057E-2</v>
      </c>
      <c r="J50" s="1527">
        <v>13582.611129656354</v>
      </c>
      <c r="K50" s="1356">
        <f t="shared" si="11"/>
        <v>94.983294612981496</v>
      </c>
      <c r="L50" s="1563">
        <f t="shared" si="12"/>
        <v>7.3847465373251209E-2</v>
      </c>
      <c r="M50" s="1528">
        <f t="shared" si="5"/>
        <v>-0.31142107716358503</v>
      </c>
      <c r="N50" s="36"/>
      <c r="O50" s="36"/>
    </row>
    <row r="51" spans="1:15" x14ac:dyDescent="0.25">
      <c r="A51" s="1586"/>
      <c r="B51" s="1176"/>
      <c r="C51" s="1169"/>
      <c r="D51" s="1169"/>
      <c r="E51" s="1172" t="s">
        <v>326</v>
      </c>
      <c r="F51" s="1160"/>
      <c r="G51" s="1199"/>
      <c r="H51" s="1160">
        <v>5654.7223125792789</v>
      </c>
      <c r="I51" s="1199">
        <f t="shared" si="10"/>
        <v>2.594182904584956E-2</v>
      </c>
      <c r="J51" s="1527">
        <v>5654.7223125792789</v>
      </c>
      <c r="K51" s="1356">
        <f t="shared" si="11"/>
        <v>39.543512675379574</v>
      </c>
      <c r="L51" s="1563">
        <f t="shared" si="12"/>
        <v>3.0744229234523808E-2</v>
      </c>
      <c r="M51" s="1528">
        <f t="shared" si="5"/>
        <v>0</v>
      </c>
      <c r="N51" s="36"/>
      <c r="O51" s="1356"/>
    </row>
    <row r="52" spans="1:15" x14ac:dyDescent="0.25">
      <c r="A52" s="1586"/>
      <c r="B52" s="1176"/>
      <c r="C52" s="1167" t="s">
        <v>327</v>
      </c>
      <c r="D52" s="1164"/>
      <c r="E52" s="1181"/>
      <c r="F52" s="1196">
        <f>F53</f>
        <v>4368.5005270862675</v>
      </c>
      <c r="G52" s="1201">
        <v>2.7206474181572411E-2</v>
      </c>
      <c r="H52" s="1196">
        <f>H53</f>
        <v>4784.9823880894101</v>
      </c>
      <c r="I52" s="1201">
        <v>3.0676868469336576E-2</v>
      </c>
      <c r="J52" s="1533">
        <f>J53</f>
        <v>8446.7702714598181</v>
      </c>
      <c r="K52" s="1555"/>
      <c r="L52" s="1564">
        <v>3.62078051468811E-2</v>
      </c>
      <c r="M52" s="1534">
        <f t="shared" si="5"/>
        <v>0.76526674214834856</v>
      </c>
      <c r="N52" s="36"/>
      <c r="O52" s="36"/>
    </row>
    <row r="53" spans="1:15" x14ac:dyDescent="0.25">
      <c r="A53" s="1586"/>
      <c r="B53" s="1176"/>
      <c r="C53" s="1169"/>
      <c r="D53" s="1169"/>
      <c r="E53" s="1177" t="s">
        <v>321</v>
      </c>
      <c r="F53" s="1202">
        <f>SUM(F54:F55)</f>
        <v>4368.5005270862675</v>
      </c>
      <c r="G53" s="1205">
        <v>1.6273576903353119E-2</v>
      </c>
      <c r="H53" s="1202">
        <f>SUM(H54:H55)</f>
        <v>4784.9823880894101</v>
      </c>
      <c r="I53" s="1205">
        <v>1.8670266722780819E-2</v>
      </c>
      <c r="J53" s="1537">
        <f>SUM(J54:J56)</f>
        <v>8446.7702714598181</v>
      </c>
      <c r="K53" s="1557">
        <f>SUM(K54:K56)</f>
        <v>153.57764129926943</v>
      </c>
      <c r="L53" s="1562">
        <f>J53/J14</f>
        <v>3.1684260900269982E-2</v>
      </c>
      <c r="M53" s="1530">
        <f t="shared" si="5"/>
        <v>0.76526674214834856</v>
      </c>
      <c r="N53" s="36"/>
      <c r="O53" s="36"/>
    </row>
    <row r="54" spans="1:15" x14ac:dyDescent="0.25">
      <c r="A54" s="1586"/>
      <c r="B54" s="1176"/>
      <c r="C54" s="1169"/>
      <c r="D54" s="1172"/>
      <c r="E54" s="1172" t="s">
        <v>103</v>
      </c>
      <c r="F54" s="1160">
        <v>1441.2428993423096</v>
      </c>
      <c r="G54" s="1199">
        <v>5.3689308295682683E-3</v>
      </c>
      <c r="H54" s="1160">
        <v>4784.9823880894101</v>
      </c>
      <c r="I54" s="1199">
        <v>1.8670266722780819E-2</v>
      </c>
      <c r="J54" s="1527">
        <v>3113.11264371586</v>
      </c>
      <c r="K54" s="1552">
        <f>J54/55</f>
        <v>56.602048067561093</v>
      </c>
      <c r="L54" s="1563">
        <f>J54/$J$14</f>
        <v>1.1677442388684213E-2</v>
      </c>
      <c r="M54" s="1528">
        <f t="shared" si="5"/>
        <v>-0.34939935171655023</v>
      </c>
      <c r="N54" s="36"/>
      <c r="O54" s="36"/>
    </row>
    <row r="55" spans="1:15" x14ac:dyDescent="0.25">
      <c r="A55" s="1586"/>
      <c r="B55" s="1176"/>
      <c r="C55" s="36"/>
      <c r="D55" s="1172"/>
      <c r="E55" s="1172" t="s">
        <v>56</v>
      </c>
      <c r="F55" s="1160">
        <v>2927.2576277439584</v>
      </c>
      <c r="G55" s="1199">
        <v>1.0904646073784852E-2</v>
      </c>
      <c r="H55" s="1160"/>
      <c r="I55" s="1199">
        <v>0</v>
      </c>
      <c r="J55" s="1527">
        <v>2927.2576277439584</v>
      </c>
      <c r="K55" s="1552">
        <f t="shared" ref="K55:K56" si="13">J55/55</f>
        <v>53.22286595898106</v>
      </c>
      <c r="L55" s="1563">
        <f t="shared" ref="L55:L56" si="14">J55/$J$14</f>
        <v>1.0980290858995474E-2</v>
      </c>
      <c r="M55" s="1528"/>
      <c r="N55" s="36"/>
      <c r="O55" s="36"/>
    </row>
    <row r="56" spans="1:15" x14ac:dyDescent="0.25">
      <c r="A56" s="1586"/>
      <c r="B56" s="1176"/>
      <c r="C56" s="36"/>
      <c r="D56" s="1172"/>
      <c r="E56" s="1172" t="s">
        <v>52</v>
      </c>
      <c r="F56" s="1160"/>
      <c r="G56" s="1199"/>
      <c r="H56" s="1160"/>
      <c r="I56" s="1199"/>
      <c r="J56" s="1527">
        <v>2406.4</v>
      </c>
      <c r="K56" s="1552">
        <f t="shared" si="13"/>
        <v>43.752727272727277</v>
      </c>
      <c r="L56" s="1563">
        <f t="shared" si="14"/>
        <v>9.0265276525902955E-3</v>
      </c>
      <c r="M56" s="1528"/>
      <c r="N56" s="36"/>
      <c r="O56" s="36"/>
    </row>
    <row r="57" spans="1:15" x14ac:dyDescent="0.25">
      <c r="A57" s="1586"/>
      <c r="B57" s="1176"/>
      <c r="C57" s="1167" t="s">
        <v>328</v>
      </c>
      <c r="D57" s="1159"/>
      <c r="E57" s="1159"/>
      <c r="F57" s="1196">
        <f>+F58</f>
        <v>2934.8414184616126</v>
      </c>
      <c r="G57" s="1204"/>
      <c r="H57" s="1196">
        <f>+H58</f>
        <v>3832.1137544622829</v>
      </c>
      <c r="I57" s="1204"/>
      <c r="J57" s="1533">
        <f>+J58</f>
        <v>3856.2762024483081</v>
      </c>
      <c r="K57" s="1555"/>
      <c r="L57" s="1564"/>
      <c r="M57" s="1534">
        <f>(J57/H57)-1</f>
        <v>6.3052533234144725E-3</v>
      </c>
      <c r="N57" s="36"/>
      <c r="O57" s="36"/>
    </row>
    <row r="58" spans="1:15" x14ac:dyDescent="0.25">
      <c r="A58" s="1586"/>
      <c r="B58" s="1176"/>
      <c r="C58" s="1169"/>
      <c r="D58" s="1169"/>
      <c r="E58" s="1177" t="s">
        <v>321</v>
      </c>
      <c r="F58" s="1202">
        <f>SUM(F59:F62)</f>
        <v>2934.8414184616126</v>
      </c>
      <c r="G58" s="1205">
        <v>1.0932897278219294E-2</v>
      </c>
      <c r="H58" s="1202">
        <f>SUM(H59:H62)</f>
        <v>3832.1137544622829</v>
      </c>
      <c r="I58" s="1205">
        <v>1.2006601746555757E-2</v>
      </c>
      <c r="J58" s="1537">
        <f>SUM(J59:J62)</f>
        <v>3856.2762024483081</v>
      </c>
      <c r="K58" s="1557"/>
      <c r="L58" s="1562">
        <v>1.3254050741128311E-2</v>
      </c>
      <c r="M58" s="1530">
        <f>(J58/H58)-1</f>
        <v>6.3052533234144725E-3</v>
      </c>
      <c r="N58" s="36"/>
      <c r="O58" s="36"/>
    </row>
    <row r="59" spans="1:15" x14ac:dyDescent="0.25">
      <c r="A59" s="1586"/>
      <c r="B59" s="1176"/>
      <c r="C59" s="1169"/>
      <c r="D59" s="1172"/>
      <c r="E59" s="1172" t="s">
        <v>103</v>
      </c>
      <c r="F59" s="1160">
        <v>680.50847457627117</v>
      </c>
      <c r="G59" s="1199">
        <v>2.5350362042389145E-3</v>
      </c>
      <c r="H59" s="1160"/>
      <c r="I59" s="1199">
        <v>0</v>
      </c>
      <c r="J59" s="1527">
        <v>680.50847457627117</v>
      </c>
      <c r="K59" s="1552"/>
      <c r="L59" s="1563">
        <v>2.5526215772875465E-3</v>
      </c>
      <c r="M59" s="1528"/>
      <c r="N59" s="36"/>
      <c r="O59" s="36"/>
    </row>
    <row r="60" spans="1:15" x14ac:dyDescent="0.25">
      <c r="A60" s="1586"/>
      <c r="B60" s="1176"/>
      <c r="C60" s="1169"/>
      <c r="D60" s="1169"/>
      <c r="E60" s="1172" t="s">
        <v>56</v>
      </c>
      <c r="F60" s="1160">
        <v>813.41035971223016</v>
      </c>
      <c r="G60" s="1199">
        <v>3.0301234853209623E-3</v>
      </c>
      <c r="H60" s="1160">
        <v>1578.0311993899222</v>
      </c>
      <c r="I60" s="1199">
        <v>3.1333047787016175E-3</v>
      </c>
      <c r="J60" s="1527">
        <v>1195.7207795510762</v>
      </c>
      <c r="K60" s="1552"/>
      <c r="L60" s="1563">
        <v>3.0813562512179695E-3</v>
      </c>
      <c r="M60" s="1528">
        <f t="shared" ref="M60:M72" si="15">(J60/H60)-1</f>
        <v>-0.24227050769759806</v>
      </c>
      <c r="N60" s="36"/>
      <c r="O60" s="36"/>
    </row>
    <row r="61" spans="1:15" x14ac:dyDescent="0.25">
      <c r="A61" s="1586"/>
      <c r="B61" s="1176"/>
      <c r="C61" s="1169"/>
      <c r="D61" s="1169"/>
      <c r="E61" s="1172" t="s">
        <v>65</v>
      </c>
      <c r="F61" s="1160">
        <v>1440.9225841731113</v>
      </c>
      <c r="G61" s="1199">
        <v>5.3677375886594172E-3</v>
      </c>
      <c r="H61" s="1160">
        <v>1988.9937976759109</v>
      </c>
      <c r="I61" s="1199">
        <v>7.8427188228584032E-3</v>
      </c>
      <c r="J61" s="1527">
        <v>1714.9581909245112</v>
      </c>
      <c r="K61" s="1552"/>
      <c r="L61" s="1563">
        <v>6.596643817847807E-3</v>
      </c>
      <c r="M61" s="1528">
        <f t="shared" si="15"/>
        <v>-0.13777599863388379</v>
      </c>
      <c r="N61" s="36"/>
      <c r="O61" s="36"/>
    </row>
    <row r="62" spans="1:15" x14ac:dyDescent="0.25">
      <c r="A62" s="1586"/>
      <c r="B62" s="1176"/>
      <c r="C62" s="1169"/>
      <c r="D62" s="1169"/>
      <c r="E62" s="1172" t="s">
        <v>89</v>
      </c>
      <c r="F62" s="1160"/>
      <c r="G62" s="1199"/>
      <c r="H62" s="1160">
        <v>265.08875739644969</v>
      </c>
      <c r="I62" s="1199">
        <v>1.0305781449957375E-3</v>
      </c>
      <c r="J62" s="1527">
        <v>265.08875739644969</v>
      </c>
      <c r="K62" s="1552"/>
      <c r="L62" s="1563">
        <v>1.0234290947749901E-3</v>
      </c>
      <c r="M62" s="1528">
        <f t="shared" si="15"/>
        <v>0</v>
      </c>
      <c r="N62" s="36"/>
      <c r="O62" s="36"/>
    </row>
    <row r="63" spans="1:15" x14ac:dyDescent="0.25">
      <c r="A63" s="1586"/>
      <c r="B63" s="1176"/>
      <c r="C63" s="1167" t="s">
        <v>47</v>
      </c>
      <c r="D63" s="1164"/>
      <c r="E63" s="1166"/>
      <c r="F63" s="1196">
        <f>+F64+F78</f>
        <v>145827.72126701538</v>
      </c>
      <c r="G63" s="1204">
        <v>0.54558098434302149</v>
      </c>
      <c r="H63" s="1196">
        <f>+H64+H78</f>
        <v>194772.23083292204</v>
      </c>
      <c r="I63" s="1204">
        <f>+I64+I78</f>
        <v>0.63588044269084087</v>
      </c>
      <c r="J63" s="1533">
        <f>+J64+J78</f>
        <v>243297.49277670146</v>
      </c>
      <c r="K63" s="1555"/>
      <c r="L63" s="1564">
        <f>+L64+L79</f>
        <v>0.91262115456897597</v>
      </c>
      <c r="M63" s="1534">
        <f t="shared" si="15"/>
        <v>0.24913850263082415</v>
      </c>
      <c r="N63" s="36"/>
      <c r="O63" s="36"/>
    </row>
    <row r="64" spans="1:15" x14ac:dyDescent="0.25">
      <c r="A64" s="1586"/>
      <c r="B64" s="1176"/>
      <c r="C64" s="1170" t="s">
        <v>318</v>
      </c>
      <c r="D64" s="1169"/>
      <c r="E64" s="1169"/>
      <c r="F64" s="1202">
        <f>+F65+F67+F70</f>
        <v>145827.72126701538</v>
      </c>
      <c r="G64" s="1203">
        <v>0.54558098434302149</v>
      </c>
      <c r="H64" s="1202">
        <f>+H65+H67+H70</f>
        <v>194772.23083292204</v>
      </c>
      <c r="I64" s="1203">
        <f>+I65+I67+I70+I78</f>
        <v>0.63588044269084087</v>
      </c>
      <c r="J64" s="1537">
        <f>+J65+J67+J70</f>
        <v>243297.49277670146</v>
      </c>
      <c r="K64" s="1557"/>
      <c r="L64" s="1562">
        <f>+L65+L67+L70</f>
        <v>0.91262115456897597</v>
      </c>
      <c r="M64" s="1530">
        <f t="shared" si="15"/>
        <v>0.24913850263082415</v>
      </c>
      <c r="N64" s="36"/>
      <c r="O64" s="36"/>
    </row>
    <row r="65" spans="1:15" x14ac:dyDescent="0.25">
      <c r="A65" s="1586"/>
      <c r="B65" s="1176"/>
      <c r="C65" s="1170"/>
      <c r="D65" s="1169"/>
      <c r="E65" s="1179" t="s">
        <v>329</v>
      </c>
      <c r="F65" s="1202">
        <f>+F66</f>
        <v>95372.222592592589</v>
      </c>
      <c r="G65" s="1203">
        <v>0.35528144936254874</v>
      </c>
      <c r="H65" s="1202">
        <f>+H66</f>
        <v>105297.42442340424</v>
      </c>
      <c r="I65" s="1203">
        <f>SUM(I66)</f>
        <v>0.34376857815011524</v>
      </c>
      <c r="J65" s="1537">
        <f>+J66</f>
        <v>152055.299479421</v>
      </c>
      <c r="K65" s="1557"/>
      <c r="L65" s="1562">
        <f>SUM(L66)</f>
        <v>0.57036709004067998</v>
      </c>
      <c r="M65" s="1530">
        <f t="shared" si="15"/>
        <v>0.44405525882572272</v>
      </c>
      <c r="N65" s="36"/>
      <c r="O65" s="36"/>
    </row>
    <row r="66" spans="1:15" x14ac:dyDescent="0.25">
      <c r="A66" s="1586"/>
      <c r="B66" s="1176"/>
      <c r="C66" s="1171"/>
      <c r="D66" s="1169"/>
      <c r="E66" s="1172" t="s">
        <v>330</v>
      </c>
      <c r="F66" s="1160">
        <v>95372.222592592589</v>
      </c>
      <c r="G66" s="1199">
        <v>0.35528144936254874</v>
      </c>
      <c r="H66" s="1160">
        <v>105297.42442340424</v>
      </c>
      <c r="I66" s="1199">
        <f>H66/$H$14</f>
        <v>0.34376857815011524</v>
      </c>
      <c r="J66" s="1527">
        <v>152055.299479421</v>
      </c>
      <c r="K66" s="1552"/>
      <c r="L66" s="1563">
        <f>J66/$J$14</f>
        <v>0.57036709004067998</v>
      </c>
      <c r="M66" s="1528">
        <f>(J66/H66)-1</f>
        <v>0.44405525882572272</v>
      </c>
      <c r="N66" s="36"/>
      <c r="O66" s="36"/>
    </row>
    <row r="67" spans="1:15" x14ac:dyDescent="0.25">
      <c r="A67" s="1586"/>
      <c r="B67" s="1176"/>
      <c r="C67" s="1169"/>
      <c r="D67" s="1169"/>
      <c r="E67" s="1179" t="s">
        <v>319</v>
      </c>
      <c r="F67" s="1202">
        <f>SUM(F68:F69)</f>
        <v>5450.100475427841</v>
      </c>
      <c r="G67" s="1203">
        <v>2.0302762622540688E-2</v>
      </c>
      <c r="H67" s="1202">
        <f>SUM(H68:H69)</f>
        <v>5268.66</v>
      </c>
      <c r="I67" s="1203">
        <f>SUM(I68:I69)</f>
        <v>1.720079828043557E-2</v>
      </c>
      <c r="J67" s="1537">
        <f>SUM(J68:J69)</f>
        <v>5359.38023771392</v>
      </c>
      <c r="K67" s="1557"/>
      <c r="L67" s="1562">
        <f>SUM(L68:L69)</f>
        <v>2.0103305317682285E-2</v>
      </c>
      <c r="M67" s="1530">
        <f t="shared" si="15"/>
        <v>1.7218844585515036E-2</v>
      </c>
      <c r="N67" s="36"/>
      <c r="O67" s="36"/>
    </row>
    <row r="68" spans="1:15" x14ac:dyDescent="0.25">
      <c r="A68" s="1586"/>
      <c r="B68" s="1176"/>
      <c r="C68" s="1169"/>
      <c r="D68" s="1169"/>
      <c r="E68" s="1172" t="s">
        <v>320</v>
      </c>
      <c r="F68" s="1160">
        <v>4362.9687437490766</v>
      </c>
      <c r="G68" s="1199">
        <v>1.6252969855009576E-2</v>
      </c>
      <c r="H68" s="1160">
        <v>3787.66</v>
      </c>
      <c r="I68" s="1199">
        <f>H68/H$14</f>
        <v>1.2365720242884261E-2</v>
      </c>
      <c r="J68" s="1527">
        <v>4075.3143718745382</v>
      </c>
      <c r="K68" s="1552"/>
      <c r="L68" s="1563">
        <f>J68/$J$14</f>
        <v>1.5286709553991093E-2</v>
      </c>
      <c r="M68" s="1528">
        <f t="shared" si="15"/>
        <v>7.5945140766208841E-2</v>
      </c>
      <c r="N68" s="36"/>
      <c r="O68" s="36"/>
    </row>
    <row r="69" spans="1:15" x14ac:dyDescent="0.25">
      <c r="A69" s="1586"/>
      <c r="B69" s="1176"/>
      <c r="C69" s="1169"/>
      <c r="D69" s="1169"/>
      <c r="E69" s="1172" t="s">
        <v>331</v>
      </c>
      <c r="F69" s="1160">
        <v>1087.1317316787645</v>
      </c>
      <c r="G69" s="1199">
        <v>4.0497927675311133E-3</v>
      </c>
      <c r="H69" s="1160">
        <v>1481</v>
      </c>
      <c r="I69" s="1199">
        <f>H69/H$14</f>
        <v>4.8350780375513098E-3</v>
      </c>
      <c r="J69" s="1527">
        <v>1284.0658658393822</v>
      </c>
      <c r="K69" s="1552"/>
      <c r="L69" s="1563">
        <f>J69/$J$14</f>
        <v>4.8165957636911918E-3</v>
      </c>
      <c r="M69" s="1528">
        <f t="shared" si="15"/>
        <v>-0.13297375702945158</v>
      </c>
      <c r="N69" s="36"/>
      <c r="O69" s="36"/>
    </row>
    <row r="70" spans="1:15" x14ac:dyDescent="0.25">
      <c r="A70" s="1586"/>
      <c r="B70" s="1176"/>
      <c r="C70" s="1169"/>
      <c r="D70" s="1169"/>
      <c r="E70" s="1177" t="s">
        <v>321</v>
      </c>
      <c r="F70" s="1202">
        <f>SUM(F71:F77)</f>
        <v>45005.398198994939</v>
      </c>
      <c r="G70" s="1203">
        <v>0.16999677235793204</v>
      </c>
      <c r="H70" s="1202">
        <f>SUM(H71:H77)</f>
        <v>84206.146409517809</v>
      </c>
      <c r="I70" s="1203">
        <f>SUM(I71:I77)</f>
        <v>0.2749110662602901</v>
      </c>
      <c r="J70" s="1537">
        <f>SUM(J71:J77)</f>
        <v>85882.813059566557</v>
      </c>
      <c r="K70" s="1557"/>
      <c r="L70" s="1562">
        <f>SUM(L71:L77)</f>
        <v>0.32215075921061359</v>
      </c>
      <c r="M70" s="1530">
        <f t="shared" si="15"/>
        <v>1.991145209156886E-2</v>
      </c>
      <c r="N70" s="36"/>
      <c r="O70" s="36"/>
    </row>
    <row r="71" spans="1:15" x14ac:dyDescent="0.25">
      <c r="A71" s="1586"/>
      <c r="B71" s="1176"/>
      <c r="C71" s="1169"/>
      <c r="D71" s="1179"/>
      <c r="E71" s="1172" t="s">
        <v>332</v>
      </c>
      <c r="F71" s="1160">
        <v>390.10280077647241</v>
      </c>
      <c r="G71" s="1199">
        <v>1.4735169484906517E-3</v>
      </c>
      <c r="H71" s="1160">
        <v>126.83551420710232</v>
      </c>
      <c r="I71" s="1199">
        <f>H71/H$14</f>
        <v>4.1408481372335416E-4</v>
      </c>
      <c r="J71" s="1527">
        <v>258.46915749178737</v>
      </c>
      <c r="K71" s="1552"/>
      <c r="L71" s="1563">
        <f>J71/$J$14</f>
        <v>9.6953083337821423E-4</v>
      </c>
      <c r="M71" s="1528">
        <f t="shared" si="15"/>
        <v>1.0378295393650405</v>
      </c>
      <c r="N71" s="36"/>
      <c r="O71" s="36"/>
    </row>
    <row r="72" spans="1:15" x14ac:dyDescent="0.25">
      <c r="A72" s="1586"/>
      <c r="B72" s="1176"/>
      <c r="C72" s="1169"/>
      <c r="D72" s="1179"/>
      <c r="E72" s="1172" t="s">
        <v>333</v>
      </c>
      <c r="F72" s="1160"/>
      <c r="G72" s="1199">
        <v>0</v>
      </c>
      <c r="H72" s="1160">
        <f>+H12</f>
        <v>43657.771926315792</v>
      </c>
      <c r="I72" s="1199">
        <f t="shared" ref="I72:I77" si="16">H72/H$14</f>
        <v>0.1425312182372408</v>
      </c>
      <c r="J72" s="1527">
        <f>+J12</f>
        <v>43657.771926315792</v>
      </c>
      <c r="K72" s="1552"/>
      <c r="L72" s="1563">
        <f t="shared" ref="L72:L77" si="17">J72/$J$14</f>
        <v>0.16376250230359449</v>
      </c>
      <c r="M72" s="1528">
        <f t="shared" si="15"/>
        <v>0</v>
      </c>
      <c r="N72" s="36"/>
      <c r="O72" s="36"/>
    </row>
    <row r="73" spans="1:15" x14ac:dyDescent="0.25">
      <c r="A73" s="1586"/>
      <c r="B73" s="1176"/>
      <c r="C73" s="1169"/>
      <c r="D73" s="1179"/>
      <c r="E73" s="1172" t="s">
        <v>334</v>
      </c>
      <c r="F73" s="1160"/>
      <c r="G73" s="1199"/>
      <c r="H73" s="1160">
        <v>1103.6904156954247</v>
      </c>
      <c r="I73" s="1199">
        <f t="shared" si="16"/>
        <v>3.6032608299694955E-3</v>
      </c>
      <c r="J73" s="1527"/>
      <c r="K73" s="1552"/>
      <c r="L73" s="1563">
        <f t="shared" si="17"/>
        <v>0</v>
      </c>
      <c r="M73" s="1528"/>
      <c r="N73" s="36"/>
      <c r="O73" s="36"/>
    </row>
    <row r="74" spans="1:15" x14ac:dyDescent="0.25">
      <c r="A74" s="1586"/>
      <c r="B74" s="1176"/>
      <c r="C74" s="1169"/>
      <c r="D74" s="1169"/>
      <c r="E74" s="1172" t="s">
        <v>335</v>
      </c>
      <c r="F74" s="1160">
        <v>24725.234873148227</v>
      </c>
      <c r="G74" s="1199">
        <v>9.3393465949176913E-2</v>
      </c>
      <c r="H74" s="1160">
        <v>24636.798112092081</v>
      </c>
      <c r="I74" s="1199">
        <f t="shared" si="16"/>
        <v>8.0432708620771093E-2</v>
      </c>
      <c r="J74" s="1527">
        <v>24681.016492620154</v>
      </c>
      <c r="K74" s="1552"/>
      <c r="L74" s="1563">
        <f t="shared" si="17"/>
        <v>9.2579736479667954E-2</v>
      </c>
      <c r="M74" s="1528">
        <f>(J74/H74)-1</f>
        <v>1.7948103615936795E-3</v>
      </c>
      <c r="N74" s="36"/>
      <c r="O74" s="36"/>
    </row>
    <row r="75" spans="1:15" x14ac:dyDescent="0.25">
      <c r="A75" s="1586"/>
      <c r="B75" s="1176"/>
      <c r="C75" s="1169"/>
      <c r="D75" s="1169"/>
      <c r="E75" s="1172" t="s">
        <v>82</v>
      </c>
      <c r="F75" s="1160">
        <v>11043.794830598583</v>
      </c>
      <c r="G75" s="1199">
        <v>4.1715206417769241E-2</v>
      </c>
      <c r="H75" s="1160">
        <v>4809.5784745871515</v>
      </c>
      <c r="I75" s="1199">
        <f t="shared" si="16"/>
        <v>1.5702017050881745E-2</v>
      </c>
      <c r="J75" s="1527">
        <v>7926.6866525928672</v>
      </c>
      <c r="K75" s="1552"/>
      <c r="L75" s="1563">
        <f t="shared" si="17"/>
        <v>2.9733401040162866E-2</v>
      </c>
      <c r="M75" s="1528">
        <f>(J75/H75)-1</f>
        <v>0.64810423501267111</v>
      </c>
      <c r="N75" s="36"/>
      <c r="O75" s="36"/>
    </row>
    <row r="76" spans="1:15" x14ac:dyDescent="0.25">
      <c r="A76" s="1586"/>
      <c r="B76" s="1176"/>
      <c r="C76" s="1169"/>
      <c r="D76" s="1169"/>
      <c r="E76" s="1172" t="s">
        <v>94</v>
      </c>
      <c r="F76" s="1160">
        <v>8846.2656944716546</v>
      </c>
      <c r="G76" s="1199">
        <v>3.3414583042495227E-2</v>
      </c>
      <c r="H76" s="1160">
        <v>9746.2919666202652</v>
      </c>
      <c r="I76" s="1199">
        <f t="shared" si="16"/>
        <v>3.1819096715306146E-2</v>
      </c>
      <c r="J76" s="1527">
        <v>9296.2788305459599</v>
      </c>
      <c r="K76" s="1552"/>
      <c r="L76" s="1563">
        <f t="shared" si="17"/>
        <v>3.4870810310053554E-2</v>
      </c>
      <c r="M76" s="1528">
        <f>(J76/H76)-1</f>
        <v>-4.6172753454907678E-2</v>
      </c>
      <c r="N76" s="36"/>
      <c r="O76" s="36"/>
    </row>
    <row r="77" spans="1:15" x14ac:dyDescent="0.25">
      <c r="A77" s="1586"/>
      <c r="B77" s="1176"/>
      <c r="C77" s="1169"/>
      <c r="D77" s="1169"/>
      <c r="E77" s="1172" t="s">
        <v>336</v>
      </c>
      <c r="F77" s="1160">
        <v>0</v>
      </c>
      <c r="G77" s="1199"/>
      <c r="H77" s="1160">
        <v>125.18</v>
      </c>
      <c r="I77" s="1199">
        <f t="shared" si="16"/>
        <v>4.0867999239748343E-4</v>
      </c>
      <c r="J77" s="1527">
        <v>62.59</v>
      </c>
      <c r="K77" s="1552"/>
      <c r="L77" s="1563">
        <f t="shared" si="17"/>
        <v>2.3477824375649377E-4</v>
      </c>
      <c r="M77" s="1528">
        <f>(J77/H77)-1</f>
        <v>-0.5</v>
      </c>
      <c r="N77" s="36"/>
      <c r="O77" s="36"/>
    </row>
    <row r="78" spans="1:15" x14ac:dyDescent="0.25">
      <c r="A78" s="1586"/>
      <c r="B78" s="1176"/>
      <c r="C78" s="1170" t="s">
        <v>337</v>
      </c>
      <c r="D78" s="1169"/>
      <c r="E78" s="1169"/>
      <c r="F78" s="1202">
        <f>SUM(F79)</f>
        <v>0</v>
      </c>
      <c r="G78" s="1203">
        <v>0</v>
      </c>
      <c r="H78" s="1202">
        <f>SUM(H79)</f>
        <v>0</v>
      </c>
      <c r="I78" s="1374"/>
      <c r="J78" s="1537">
        <f>SUM(J79)</f>
        <v>0</v>
      </c>
      <c r="K78" s="1557"/>
      <c r="L78" s="1562"/>
      <c r="M78" s="1530"/>
      <c r="N78" s="36"/>
      <c r="O78" s="36"/>
    </row>
    <row r="79" spans="1:15" x14ac:dyDescent="0.25">
      <c r="A79" s="1586"/>
      <c r="B79" s="1176"/>
      <c r="C79" s="1169"/>
      <c r="D79" s="1169"/>
      <c r="E79" s="1173" t="s">
        <v>338</v>
      </c>
      <c r="F79" s="1160"/>
      <c r="G79" s="1199"/>
      <c r="H79" s="1160"/>
      <c r="I79" s="1199"/>
      <c r="J79" s="1535"/>
      <c r="K79" s="1556"/>
      <c r="L79" s="1568"/>
      <c r="M79" s="1530"/>
      <c r="N79" s="36"/>
      <c r="O79" s="36"/>
    </row>
    <row r="80" spans="1:15" x14ac:dyDescent="0.25">
      <c r="A80" s="1586"/>
      <c r="B80" s="1375"/>
      <c r="C80" s="1164"/>
      <c r="D80" s="1164"/>
      <c r="E80" s="1376"/>
      <c r="F80" s="1377"/>
      <c r="G80" s="1378"/>
      <c r="H80" s="1377"/>
      <c r="I80" s="1378"/>
      <c r="J80" s="1538"/>
      <c r="K80" s="1558"/>
      <c r="L80" s="1569"/>
      <c r="M80" s="1534"/>
      <c r="N80" s="36"/>
      <c r="O80" s="36"/>
    </row>
    <row r="81" spans="1:15" ht="18" customHeight="1" x14ac:dyDescent="0.25">
      <c r="A81" s="1586"/>
      <c r="B81" s="1540" t="s">
        <v>339</v>
      </c>
      <c r="C81" s="1540"/>
      <c r="D81" s="1541"/>
      <c r="E81" s="1542"/>
      <c r="F81" s="1543">
        <f>F3-F20</f>
        <v>143206.392514451</v>
      </c>
      <c r="G81" s="1543"/>
      <c r="H81" s="1543">
        <f>H3-H20</f>
        <v>136952.28692501271</v>
      </c>
      <c r="I81" s="1543"/>
      <c r="J81" s="1544">
        <f>J3-J20</f>
        <v>168007.61725351866</v>
      </c>
      <c r="K81" s="1545"/>
      <c r="L81" s="1570"/>
      <c r="M81" s="1550">
        <f>(J81/H81)-1</f>
        <v>0.22676021719527828</v>
      </c>
      <c r="N81" s="36"/>
      <c r="O81" s="1356"/>
    </row>
    <row r="82" spans="1:15" ht="18" customHeight="1" x14ac:dyDescent="0.25">
      <c r="A82" s="1586"/>
      <c r="B82" s="1165"/>
      <c r="C82" s="1162"/>
      <c r="D82" s="1162"/>
      <c r="E82" s="1373"/>
      <c r="F82" s="1188"/>
      <c r="G82" s="1188"/>
      <c r="H82" s="1188"/>
      <c r="I82" s="1188"/>
      <c r="J82" s="1526"/>
      <c r="K82" s="1539"/>
      <c r="L82" s="1567"/>
      <c r="M82" s="1525"/>
      <c r="N82" s="36"/>
      <c r="O82" s="36"/>
    </row>
    <row r="83" spans="1:15" ht="15" customHeight="1" x14ac:dyDescent="0.25">
      <c r="A83" s="1586"/>
      <c r="B83" s="1165" t="s">
        <v>340</v>
      </c>
      <c r="C83" s="1162"/>
      <c r="D83" s="1163"/>
      <c r="E83" s="1163"/>
      <c r="F83" s="1185">
        <f t="shared" ref="F83" si="18">SUM(F84:F88)</f>
        <v>55852.350618843921</v>
      </c>
      <c r="G83" s="1185"/>
      <c r="H83" s="1185">
        <f>SUM(H84:H88)</f>
        <v>40472.235341904641</v>
      </c>
      <c r="I83" s="1185"/>
      <c r="J83" s="1524">
        <f>SUM(J84:J88)</f>
        <v>44004.937816076796</v>
      </c>
      <c r="K83" s="1536"/>
      <c r="L83" s="1567"/>
      <c r="M83" s="1525">
        <f t="shared" ref="M83" si="19">SUM(M84:M88)</f>
        <v>0.35474507013370804</v>
      </c>
      <c r="N83" s="36"/>
      <c r="O83" s="36"/>
    </row>
    <row r="84" spans="1:15" x14ac:dyDescent="0.25">
      <c r="A84" s="1586"/>
      <c r="B84" s="1169"/>
      <c r="C84" s="1169" t="s">
        <v>341</v>
      </c>
      <c r="D84" s="1169"/>
      <c r="E84" s="1169"/>
      <c r="F84" s="1160">
        <v>17294.202843436498</v>
      </c>
      <c r="G84" s="1199">
        <v>6.4424517797315645E-2</v>
      </c>
      <c r="H84" s="1160">
        <v>17006.652761697926</v>
      </c>
      <c r="I84" s="1199">
        <f>H84/$H$14</f>
        <v>5.5522277690983772E-2</v>
      </c>
      <c r="J84" s="1527">
        <f t="shared" ref="J84" si="20">AVERAGE(F84,H84)</f>
        <v>17150.42780256721</v>
      </c>
      <c r="K84" s="1552"/>
      <c r="L84" s="1563">
        <f>J84/$J$14</f>
        <v>6.4332118855396581E-2</v>
      </c>
      <c r="M84" s="1528">
        <f>(J84/H84)-1</f>
        <v>8.4540469476210856E-3</v>
      </c>
      <c r="N84" s="36"/>
      <c r="O84" s="36"/>
    </row>
    <row r="85" spans="1:15" x14ac:dyDescent="0.25">
      <c r="A85" s="1586"/>
      <c r="B85" s="1169"/>
      <c r="C85" s="1169" t="s">
        <v>342</v>
      </c>
      <c r="D85" s="1169"/>
      <c r="E85" s="1169"/>
      <c r="F85" s="1160">
        <v>38558.147775407422</v>
      </c>
      <c r="G85" s="1199">
        <v>0.14363715402650229</v>
      </c>
      <c r="H85" s="1160">
        <v>10964.400700801722</v>
      </c>
      <c r="I85" s="1199">
        <f>H85/$H$14</f>
        <v>3.5795903459391348E-2</v>
      </c>
      <c r="J85" s="1527">
        <v>14761.274238104599</v>
      </c>
      <c r="K85" s="1552"/>
      <c r="L85" s="1563">
        <f t="shared" ref="L85:L87" si="21">J85/$J$14</f>
        <v>5.5370283451512591E-2</v>
      </c>
      <c r="M85" s="1528">
        <f>(J85/H85)-1</f>
        <v>0.34629102318608695</v>
      </c>
      <c r="N85" s="36"/>
      <c r="O85" s="36"/>
    </row>
    <row r="86" spans="1:15" x14ac:dyDescent="0.25">
      <c r="A86" s="1586"/>
      <c r="B86" s="1169"/>
      <c r="C86" s="1169" t="s">
        <v>343</v>
      </c>
      <c r="D86" s="1169"/>
      <c r="E86" s="1169"/>
      <c r="F86" s="1160"/>
      <c r="G86" s="1199"/>
      <c r="H86" s="1175">
        <v>8783.7119661192755</v>
      </c>
      <c r="I86" s="1199"/>
      <c r="J86" s="1527">
        <v>8783.7119661192755</v>
      </c>
      <c r="K86" s="1552"/>
      <c r="L86" s="1563">
        <f t="shared" si="21"/>
        <v>3.2948146174602691E-2</v>
      </c>
      <c r="M86" s="1528">
        <f>(J86/H86)-1</f>
        <v>0</v>
      </c>
      <c r="N86" s="36"/>
      <c r="O86" s="36"/>
    </row>
    <row r="87" spans="1:15" x14ac:dyDescent="0.25">
      <c r="A87" s="1586"/>
      <c r="B87" s="1169"/>
      <c r="C87" s="1169" t="s">
        <v>344</v>
      </c>
      <c r="D87" s="1169"/>
      <c r="E87" s="1169"/>
      <c r="F87" s="1160"/>
      <c r="G87" s="1199"/>
      <c r="H87" s="1175">
        <v>3309.5238092857144</v>
      </c>
      <c r="I87" s="1199"/>
      <c r="J87" s="1527">
        <v>3309.5238092857144</v>
      </c>
      <c r="K87" s="1552"/>
      <c r="L87" s="1563">
        <f t="shared" si="21"/>
        <v>1.2414190567413344E-2</v>
      </c>
      <c r="M87" s="1528">
        <f>(J87/H87)-1</f>
        <v>0</v>
      </c>
      <c r="N87" s="36"/>
      <c r="O87" s="36"/>
    </row>
    <row r="88" spans="1:15" x14ac:dyDescent="0.25">
      <c r="A88" s="1586"/>
      <c r="B88" s="1169"/>
      <c r="C88" s="1169" t="s">
        <v>97</v>
      </c>
      <c r="D88" s="1169"/>
      <c r="E88" s="1169"/>
      <c r="F88" s="1160"/>
      <c r="G88" s="1199"/>
      <c r="H88" s="1175">
        <v>407.94610399999999</v>
      </c>
      <c r="I88" s="1199"/>
      <c r="J88" s="1527"/>
      <c r="K88" s="1552"/>
      <c r="L88" s="1563"/>
      <c r="M88" s="1528"/>
      <c r="N88" s="36"/>
      <c r="O88" s="36"/>
    </row>
    <row r="89" spans="1:15" x14ac:dyDescent="0.25">
      <c r="A89" s="1586"/>
      <c r="B89" s="1162" t="s">
        <v>345</v>
      </c>
      <c r="C89" s="1163"/>
      <c r="D89" s="1163"/>
      <c r="E89" s="1163"/>
      <c r="F89" s="1185">
        <f>F3-F20-F83</f>
        <v>87354.041895607079</v>
      </c>
      <c r="G89" s="1206"/>
      <c r="H89" s="1185">
        <f>H81-H83</f>
        <v>96480.05158310807</v>
      </c>
      <c r="I89" s="1206"/>
      <c r="J89" s="1524">
        <f>J3-J20-J83</f>
        <v>124002.67943744187</v>
      </c>
      <c r="K89" s="1536"/>
      <c r="L89" s="1567">
        <v>1.4999999999999999E-2</v>
      </c>
      <c r="M89" s="1525">
        <f t="shared" ref="M89:M99" si="22">(J89/H89)-1</f>
        <v>0.2852675491225849</v>
      </c>
      <c r="N89" s="36"/>
      <c r="O89" s="36"/>
    </row>
    <row r="90" spans="1:15" x14ac:dyDescent="0.25">
      <c r="A90" s="1586"/>
      <c r="B90" s="1169"/>
      <c r="C90" s="1169" t="s">
        <v>34</v>
      </c>
      <c r="D90" s="1169"/>
      <c r="E90" s="1169"/>
      <c r="F90" s="1160">
        <v>1972.6493144701833</v>
      </c>
      <c r="G90" s="1194"/>
      <c r="H90" s="1160">
        <v>696.03118977712438</v>
      </c>
      <c r="I90" s="1194"/>
      <c r="J90" s="1527">
        <v>1334.340252123654</v>
      </c>
      <c r="K90" s="1552"/>
      <c r="L90" s="1563">
        <f>J90/$J$3</f>
        <v>1.7918733443541878E-3</v>
      </c>
      <c r="M90" s="1528">
        <f t="shared" si="22"/>
        <v>0.91706962521452806</v>
      </c>
      <c r="N90" s="36"/>
      <c r="O90" s="36"/>
    </row>
    <row r="91" spans="1:15" x14ac:dyDescent="0.25">
      <c r="A91" s="1586"/>
      <c r="B91" s="1169"/>
      <c r="C91" s="1169" t="s">
        <v>32</v>
      </c>
      <c r="D91" s="1169"/>
      <c r="E91" s="1169"/>
      <c r="F91" s="1160">
        <v>4894.5538340487938</v>
      </c>
      <c r="G91" s="1194"/>
      <c r="H91" s="1160">
        <v>5645.6106390861105</v>
      </c>
      <c r="I91" s="1194"/>
      <c r="J91" s="1527">
        <v>5270.0822365674521</v>
      </c>
      <c r="K91" s="1552"/>
      <c r="L91" s="1563">
        <f t="shared" ref="L91:L96" si="23">J91/$J$3</f>
        <v>7.0771453287347885E-3</v>
      </c>
      <c r="M91" s="1528">
        <f t="shared" si="22"/>
        <v>-6.6516879488424552E-2</v>
      </c>
      <c r="N91" s="36"/>
      <c r="O91" s="36"/>
    </row>
    <row r="92" spans="1:15" x14ac:dyDescent="0.25">
      <c r="A92" s="1586"/>
      <c r="B92" s="1169"/>
      <c r="C92" s="1169" t="s">
        <v>37</v>
      </c>
      <c r="D92" s="1169"/>
      <c r="E92" s="1169"/>
      <c r="F92" s="1160">
        <v>112.86845904556583</v>
      </c>
      <c r="G92" s="1194"/>
      <c r="H92" s="1160">
        <v>44.519123653598655</v>
      </c>
      <c r="I92" s="1194"/>
      <c r="J92" s="1527">
        <v>78.693791349582241</v>
      </c>
      <c r="K92" s="1552"/>
      <c r="L92" s="1563">
        <f t="shared" si="23"/>
        <v>1.0567717406490948E-4</v>
      </c>
      <c r="M92" s="1528">
        <f t="shared" si="22"/>
        <v>0.76764017103964521</v>
      </c>
      <c r="N92" s="36"/>
      <c r="O92" s="36"/>
    </row>
    <row r="93" spans="1:15" x14ac:dyDescent="0.25">
      <c r="A93" s="1586"/>
      <c r="C93" s="1169" t="s">
        <v>35</v>
      </c>
      <c r="D93" s="1169"/>
      <c r="E93" s="1169"/>
      <c r="F93" s="1160"/>
      <c r="G93" s="1194"/>
      <c r="H93" s="1160">
        <v>97.111016126115757</v>
      </c>
      <c r="I93" s="1194"/>
      <c r="J93" s="1527">
        <v>97.111016126115757</v>
      </c>
      <c r="K93" s="1552"/>
      <c r="L93" s="1563">
        <f t="shared" si="23"/>
        <v>1.3040949709985279E-4</v>
      </c>
      <c r="M93" s="1528">
        <f t="shared" si="22"/>
        <v>0</v>
      </c>
      <c r="N93" s="36"/>
      <c r="O93" s="36"/>
    </row>
    <row r="94" spans="1:15" x14ac:dyDescent="0.25">
      <c r="A94" s="1586"/>
      <c r="B94" s="1169"/>
      <c r="C94" s="1169" t="s">
        <v>75</v>
      </c>
      <c r="D94" s="1169"/>
      <c r="E94" s="1169"/>
      <c r="F94" s="1160"/>
      <c r="G94" s="1194"/>
      <c r="H94" s="1160">
        <v>56.997659340915504</v>
      </c>
      <c r="I94" s="1194"/>
      <c r="J94" s="1527">
        <v>56.997659340915504</v>
      </c>
      <c r="K94" s="1552"/>
      <c r="L94" s="1563">
        <f t="shared" si="23"/>
        <v>7.6541636438696216E-5</v>
      </c>
      <c r="M94" s="1528">
        <f t="shared" si="22"/>
        <v>0</v>
      </c>
      <c r="N94" s="36"/>
      <c r="O94" s="36"/>
    </row>
    <row r="95" spans="1:15" x14ac:dyDescent="0.25">
      <c r="A95" s="1586"/>
      <c r="B95" s="1169"/>
      <c r="C95" s="1169" t="s">
        <v>346</v>
      </c>
      <c r="D95" s="1169"/>
      <c r="E95" s="1169"/>
      <c r="F95" s="1160"/>
      <c r="G95" s="1194"/>
      <c r="H95" s="1160">
        <v>5.1942628952718568</v>
      </c>
      <c r="I95" s="1194"/>
      <c r="J95" s="1527">
        <v>5.1942628952718568</v>
      </c>
      <c r="K95" s="1552"/>
      <c r="L95" s="1563">
        <f t="shared" si="23"/>
        <v>6.975328227408612E-6</v>
      </c>
      <c r="M95" s="1528">
        <f t="shared" si="22"/>
        <v>0</v>
      </c>
      <c r="N95" s="36"/>
      <c r="O95" s="36"/>
    </row>
    <row r="96" spans="1:15" x14ac:dyDescent="0.25">
      <c r="A96" s="1586"/>
      <c r="B96" s="1169"/>
      <c r="C96" s="1169" t="s">
        <v>85</v>
      </c>
      <c r="D96" s="1169"/>
      <c r="E96" s="1169"/>
      <c r="F96" s="1160"/>
      <c r="G96" s="1194"/>
      <c r="H96" s="1160">
        <v>97.153822485207087</v>
      </c>
      <c r="I96" s="1194"/>
      <c r="J96" s="1527">
        <v>97.153822485207087</v>
      </c>
      <c r="K96" s="1552"/>
      <c r="L96" s="1563">
        <f t="shared" si="23"/>
        <v>1.3046698136872839E-4</v>
      </c>
      <c r="M96" s="1528">
        <f t="shared" si="22"/>
        <v>0</v>
      </c>
      <c r="N96" s="36"/>
      <c r="O96" s="36"/>
    </row>
    <row r="97" spans="1:15" x14ac:dyDescent="0.25">
      <c r="A97" s="1586"/>
      <c r="B97" s="1169"/>
      <c r="C97" s="1169" t="s">
        <v>97</v>
      </c>
      <c r="D97" s="1169"/>
      <c r="E97" s="1169"/>
      <c r="F97" s="1160">
        <v>532.73558336800272</v>
      </c>
      <c r="G97" s="1194"/>
      <c r="H97" s="1160">
        <v>3.8372093023255816</v>
      </c>
      <c r="I97" s="1194"/>
      <c r="J97" s="1527">
        <v>268.28639633516417</v>
      </c>
      <c r="K97" s="1552"/>
      <c r="L97" s="1563">
        <f>J97/$J$3</f>
        <v>3.6027935264690926E-4</v>
      </c>
      <c r="M97" s="1528">
        <f t="shared" si="22"/>
        <v>68.917060863103387</v>
      </c>
      <c r="N97" s="36"/>
      <c r="O97" s="36"/>
    </row>
    <row r="98" spans="1:15" x14ac:dyDescent="0.25">
      <c r="A98" s="1586"/>
      <c r="B98" s="1162" t="s">
        <v>347</v>
      </c>
      <c r="C98" s="1163"/>
      <c r="D98" s="1163"/>
      <c r="E98" s="1163"/>
      <c r="F98" s="1185">
        <f>F89-SUM(F90:F97)</f>
        <v>79841.234704674527</v>
      </c>
      <c r="G98" s="1185"/>
      <c r="H98" s="1185">
        <f>H89-SUM(H90:H97)</f>
        <v>89833.596660441399</v>
      </c>
      <c r="I98" s="1185"/>
      <c r="J98" s="1590">
        <f>J89-SUM(J90:J97)</f>
        <v>116794.8200002185</v>
      </c>
      <c r="K98" s="1536"/>
      <c r="L98" s="1571">
        <v>1.4999999999999999E-2</v>
      </c>
      <c r="M98" s="1525">
        <f t="shared" si="22"/>
        <v>0.30012405538750508</v>
      </c>
      <c r="N98" s="36"/>
      <c r="O98" s="36"/>
    </row>
    <row r="99" spans="1:15" x14ac:dyDescent="0.25">
      <c r="A99" s="1586"/>
      <c r="B99" s="1546" t="s">
        <v>348</v>
      </c>
      <c r="C99" s="1547"/>
      <c r="D99" s="1547"/>
      <c r="E99" s="1547"/>
      <c r="F99" s="1548">
        <f>F98</f>
        <v>79841.234704674527</v>
      </c>
      <c r="G99" s="1548"/>
      <c r="H99" s="1548">
        <f>H98</f>
        <v>89833.596660441399</v>
      </c>
      <c r="I99" s="1548"/>
      <c r="J99" s="1589">
        <f>J98</f>
        <v>116794.8200002185</v>
      </c>
      <c r="K99" s="1589"/>
      <c r="L99" s="1572">
        <v>1.4999999999999999E-2</v>
      </c>
      <c r="M99" s="1549">
        <f t="shared" si="22"/>
        <v>0.30012405538750508</v>
      </c>
      <c r="N99" s="36"/>
      <c r="O99" s="36"/>
    </row>
    <row r="100" spans="1:15" x14ac:dyDescent="0.25">
      <c r="A100" s="36"/>
      <c r="B100" s="1450" t="s">
        <v>349</v>
      </c>
      <c r="C100" s="1450"/>
      <c r="D100" s="36"/>
      <c r="E100" s="36"/>
      <c r="F100" s="36"/>
      <c r="G100" s="1183"/>
      <c r="H100" s="36"/>
      <c r="I100" s="1183"/>
      <c r="J100" s="36"/>
      <c r="K100" s="36"/>
      <c r="L100" s="1183"/>
      <c r="M100" s="1184"/>
      <c r="N100" s="36"/>
      <c r="O100" s="36"/>
    </row>
    <row r="101" spans="1:15" x14ac:dyDescent="0.25">
      <c r="A101" s="36"/>
      <c r="B101" s="1450" t="s">
        <v>350</v>
      </c>
      <c r="C101" s="1450"/>
      <c r="D101" s="36"/>
      <c r="E101" s="36"/>
      <c r="F101" s="36"/>
      <c r="G101" s="1183"/>
      <c r="H101" s="1356"/>
      <c r="I101" s="1183"/>
      <c r="K101" s="36"/>
      <c r="L101" s="1183"/>
      <c r="M101" s="1184"/>
    </row>
    <row r="102" spans="1:15" x14ac:dyDescent="0.25">
      <c r="B102" s="36"/>
      <c r="C102" s="36"/>
      <c r="D102" s="36"/>
      <c r="E102" s="36"/>
      <c r="F102" s="36"/>
      <c r="G102" s="1183"/>
      <c r="H102" s="1356"/>
      <c r="I102" s="1183"/>
      <c r="J102" s="36"/>
      <c r="K102" s="36"/>
      <c r="L102" s="1183"/>
      <c r="M102" s="1184"/>
    </row>
    <row r="105" spans="1:15" x14ac:dyDescent="0.25">
      <c r="H105" s="154"/>
    </row>
  </sheetData>
  <pageMargins left="0.25" right="0.25" top="0.75" bottom="0.75" header="0.3" footer="0.3"/>
  <pageSetup paperSize="9" orientation="landscape" r:id="rId1"/>
  <ignoredErrors>
    <ignoredError sqref="M57:M65 K22:K28 M67:M86 M3:M19 K54:L56 M88:M99 L53 J5:K5 K3 J4 J7:K8 J6 J10:K16 J9 M20:M54" unlocked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6" id="{41207BF3-B337-495C-AA11-617815EBD72B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M3:M28</xm:sqref>
        </x14:conditionalFormatting>
        <x14:conditionalFormatting xmlns:xm="http://schemas.microsoft.com/office/excel/2006/main">
          <x14:cfRule type="iconSet" priority="50" id="{5BC93BD1-0383-42E5-B8AE-5D84131C153C}">
            <x14:iconSet iconSet="3Triangles" custom="1">
              <x14:cfvo type="percent">
                <xm:f>0</xm:f>
              </x14:cfvo>
              <x14:cfvo type="num" gte="0">
                <xm:f>0</xm:f>
              </x14:cfvo>
              <x14:cfvo type="num" gte="0">
                <xm:f>1</xm:f>
              </x14:cfvo>
              <x14:cfIcon iconSet="3Triangles" iconId="2"/>
              <x14:cfIcon iconSet="3Triangles" iconId="1"/>
              <x14:cfIcon iconSet="3Triangles" iconId="0"/>
            </x14:iconSet>
          </x14:cfRule>
          <xm:sqref>M29</xm:sqref>
        </x14:conditionalFormatting>
        <x14:conditionalFormatting xmlns:xm="http://schemas.microsoft.com/office/excel/2006/main">
          <x14:cfRule type="iconSet" priority="8" id="{0AD5B055-FBF3-434F-8D4E-A6E3FE2A20F4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M30:M40</xm:sqref>
        </x14:conditionalFormatting>
        <x14:conditionalFormatting xmlns:xm="http://schemas.microsoft.com/office/excel/2006/main">
          <x14:cfRule type="iconSet" priority="55" id="{120BE866-592A-4459-A76A-E1AFC8B62910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M41:M81 M84:M99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C2763-EAAD-46FA-827E-F1FDAB19B034}">
  <sheetPr>
    <tabColor rgb="FF93FF79"/>
  </sheetPr>
  <dimension ref="A1:AE200"/>
  <sheetViews>
    <sheetView topLeftCell="A79" zoomScale="110" zoomScaleNormal="110" workbookViewId="0">
      <selection activeCell="X20" sqref="X20"/>
    </sheetView>
  </sheetViews>
  <sheetFormatPr baseColWidth="10" defaultColWidth="11.42578125" defaultRowHeight="15" x14ac:dyDescent="0.25"/>
  <cols>
    <col min="1" max="1" width="10.28515625" customWidth="1"/>
    <col min="2" max="2" width="4.5703125" customWidth="1"/>
    <col min="3" max="3" width="6.28515625" customWidth="1"/>
    <col min="4" max="4" width="21.5703125" customWidth="1"/>
    <col min="5" max="5" width="7.42578125" customWidth="1"/>
    <col min="6" max="6" width="6.5703125" customWidth="1"/>
    <col min="7" max="7" width="9.85546875" hidden="1" customWidth="1"/>
    <col min="8" max="8" width="8.42578125" hidden="1" customWidth="1"/>
    <col min="9" max="9" width="8.5703125" hidden="1" customWidth="1"/>
    <col min="10" max="10" width="8.42578125" customWidth="1"/>
    <col min="11" max="11" width="7.28515625" customWidth="1"/>
    <col min="12" max="12" width="12.7109375" customWidth="1"/>
    <col min="13" max="13" width="11.5703125" customWidth="1"/>
    <col min="14" max="14" width="15.85546875" customWidth="1"/>
    <col min="15" max="15" width="13.85546875" hidden="1" customWidth="1"/>
    <col min="16" max="16" width="12.5703125" customWidth="1"/>
    <col min="17" max="17" width="14.85546875" customWidth="1"/>
    <col min="18" max="18" width="13.85546875" customWidth="1"/>
    <col min="19" max="19" width="14.5703125" customWidth="1"/>
    <col min="20" max="20" width="16" customWidth="1"/>
    <col min="21" max="21" width="15.5703125" customWidth="1"/>
    <col min="22" max="22" width="17.5703125" customWidth="1"/>
    <col min="23" max="23" width="9.140625" customWidth="1"/>
    <col min="24" max="24" width="16" customWidth="1"/>
    <col min="25" max="25" width="12.42578125" customWidth="1"/>
    <col min="26" max="26" width="11.7109375" customWidth="1"/>
    <col min="27" max="27" width="20.140625" customWidth="1"/>
    <col min="28" max="28" width="4.85546875" customWidth="1"/>
    <col min="29" max="29" width="4.7109375" customWidth="1"/>
    <col min="30" max="30" width="12.5703125" bestFit="1" customWidth="1"/>
    <col min="31" max="31" width="15.7109375" bestFit="1" customWidth="1"/>
  </cols>
  <sheetData>
    <row r="1" spans="1:27" ht="63.75" thickBot="1" x14ac:dyDescent="0.3">
      <c r="A1" s="1145" t="s">
        <v>0</v>
      </c>
      <c r="B1" s="1145" t="s">
        <v>1</v>
      </c>
      <c r="C1" s="1145" t="s">
        <v>14</v>
      </c>
      <c r="D1" s="1145" t="s">
        <v>15</v>
      </c>
      <c r="E1" s="1145" t="s">
        <v>351</v>
      </c>
      <c r="F1" s="1145" t="s">
        <v>352</v>
      </c>
      <c r="G1" s="1145" t="s">
        <v>353</v>
      </c>
      <c r="H1" s="1145" t="s">
        <v>354</v>
      </c>
      <c r="I1" s="1145" t="s">
        <v>355</v>
      </c>
      <c r="J1" s="1145" t="s">
        <v>356</v>
      </c>
      <c r="K1" s="1145" t="s">
        <v>357</v>
      </c>
      <c r="L1" s="1145" t="s">
        <v>358</v>
      </c>
      <c r="M1" s="1145" t="s">
        <v>359</v>
      </c>
      <c r="N1" s="1145" t="s">
        <v>360</v>
      </c>
      <c r="O1" s="1145" t="s">
        <v>361</v>
      </c>
      <c r="P1" s="1145" t="s">
        <v>362</v>
      </c>
      <c r="Q1" s="1145" t="s">
        <v>363</v>
      </c>
      <c r="R1" s="1145" t="s">
        <v>364</v>
      </c>
      <c r="S1" s="1145" t="s">
        <v>46</v>
      </c>
      <c r="T1" s="1145" t="s">
        <v>365</v>
      </c>
      <c r="U1" s="1145" t="s">
        <v>366</v>
      </c>
      <c r="V1" s="1145" t="s">
        <v>367</v>
      </c>
      <c r="W1" s="1145" t="s">
        <v>368</v>
      </c>
      <c r="X1" s="1145" t="s">
        <v>369</v>
      </c>
      <c r="Y1" s="1145" t="s">
        <v>370</v>
      </c>
      <c r="Z1" s="1145" t="s">
        <v>371</v>
      </c>
      <c r="AA1" s="1145" t="s">
        <v>372</v>
      </c>
    </row>
    <row r="2" spans="1:27" x14ac:dyDescent="0.25">
      <c r="A2" s="1139" t="s">
        <v>373</v>
      </c>
      <c r="B2" s="1139"/>
      <c r="C2" s="1139"/>
      <c r="D2" s="1139"/>
      <c r="E2" s="1139"/>
      <c r="F2" s="1140"/>
      <c r="G2" s="1140"/>
      <c r="H2" s="1140"/>
      <c r="I2" s="1140"/>
      <c r="J2" s="1140"/>
      <c r="K2" s="1140"/>
      <c r="L2" s="1140"/>
      <c r="M2" s="1141"/>
      <c r="N2" s="1141"/>
      <c r="O2" s="1141"/>
      <c r="P2" s="1141"/>
      <c r="Q2" s="1141"/>
      <c r="R2" s="1141"/>
      <c r="S2" s="1141"/>
      <c r="T2" s="1141"/>
      <c r="U2" s="1141"/>
      <c r="V2" s="1141"/>
      <c r="W2" s="1141"/>
      <c r="X2" s="1406"/>
      <c r="Y2" s="1141"/>
      <c r="Z2" s="1141"/>
      <c r="AA2" s="1141"/>
    </row>
    <row r="3" spans="1:27" x14ac:dyDescent="0.25">
      <c r="A3" s="1142"/>
      <c r="B3" s="1143" t="s">
        <v>374</v>
      </c>
      <c r="C3" s="1144"/>
      <c r="D3" s="1144"/>
      <c r="E3" s="1144"/>
      <c r="F3" s="1146"/>
      <c r="G3" s="1141"/>
      <c r="H3" s="1141"/>
      <c r="I3" s="1141"/>
      <c r="J3" s="1141"/>
      <c r="K3" s="1141"/>
      <c r="L3" s="961"/>
      <c r="M3" s="1141"/>
      <c r="N3" s="1141"/>
      <c r="O3" s="1141"/>
      <c r="P3" s="1141"/>
      <c r="Q3" s="1141"/>
      <c r="R3" s="1141"/>
      <c r="S3" s="1141"/>
      <c r="T3" s="1141"/>
      <c r="U3" s="1141"/>
      <c r="V3" s="1141"/>
      <c r="W3" s="1141"/>
      <c r="X3" s="1407"/>
      <c r="Y3" s="1141"/>
      <c r="Z3" s="1141"/>
      <c r="AA3" s="1141"/>
    </row>
    <row r="4" spans="1:27" ht="15.75" x14ac:dyDescent="0.25">
      <c r="A4" s="1135"/>
      <c r="B4" s="1134" t="s">
        <v>55</v>
      </c>
      <c r="C4" s="1136"/>
      <c r="D4" s="1136"/>
      <c r="E4" s="1136"/>
      <c r="F4" s="1135"/>
      <c r="G4" s="1135"/>
      <c r="H4" s="1135"/>
      <c r="I4" s="1135"/>
      <c r="J4" s="1135"/>
      <c r="K4" s="1135"/>
      <c r="L4" s="1137"/>
      <c r="M4" s="1135"/>
      <c r="N4" s="1135"/>
      <c r="O4" s="1135"/>
      <c r="P4" s="1135"/>
      <c r="Q4" s="1135"/>
      <c r="R4" s="1135"/>
      <c r="S4" s="1135"/>
      <c r="T4" s="1135"/>
      <c r="U4" s="1135"/>
      <c r="V4" s="1135"/>
      <c r="W4" s="1135"/>
      <c r="X4" s="1408"/>
      <c r="Y4" s="1138"/>
      <c r="Z4" s="1135"/>
      <c r="AA4" s="1127"/>
    </row>
    <row r="5" spans="1:27" x14ac:dyDescent="0.25">
      <c r="A5" s="923"/>
      <c r="B5" s="904"/>
      <c r="C5" s="882" t="s">
        <v>375</v>
      </c>
      <c r="D5" s="905"/>
      <c r="E5" s="905"/>
      <c r="F5" s="1133">
        <f>SUM(F6:F13)</f>
        <v>229.11414285714287</v>
      </c>
      <c r="G5" s="1133">
        <f>SUM(G6:G15)</f>
        <v>0</v>
      </c>
      <c r="H5" s="1133">
        <f>SUM(H6:H15)</f>
        <v>15440</v>
      </c>
      <c r="I5" s="1133">
        <f>SUM(I6:I15)</f>
        <v>45360</v>
      </c>
      <c r="J5" s="1133">
        <f>SUM(J6:J13)</f>
        <v>641553</v>
      </c>
      <c r="K5" s="1133">
        <f>SUM(K6:K13)</f>
        <v>22401.232827762837</v>
      </c>
      <c r="L5" s="924"/>
      <c r="M5" s="924"/>
      <c r="N5" s="924">
        <f t="shared" ref="N5:U5" si="0">SUM(N6:N14)</f>
        <v>180718969.76179999</v>
      </c>
      <c r="O5" s="924">
        <f t="shared" si="0"/>
        <v>14708501.85</v>
      </c>
      <c r="P5" s="924">
        <f t="shared" si="0"/>
        <v>7979.9499779999996</v>
      </c>
      <c r="Q5" s="924">
        <f t="shared" si="0"/>
        <v>195435451.56177801</v>
      </c>
      <c r="R5" s="924">
        <f t="shared" si="0"/>
        <v>5100823.25</v>
      </c>
      <c r="S5" s="924">
        <f t="shared" si="0"/>
        <v>3802458.5990000004</v>
      </c>
      <c r="T5" s="924">
        <f t="shared" si="0"/>
        <v>11803107.23</v>
      </c>
      <c r="U5" s="924">
        <f t="shared" si="0"/>
        <v>5901554.370000001</v>
      </c>
      <c r="V5" s="924">
        <f>SUM(V6:V14)</f>
        <v>168827508.11277801</v>
      </c>
      <c r="W5" s="924">
        <f>AVERAGE(W6:W14)</f>
        <v>933.44444444444446</v>
      </c>
      <c r="X5" s="1409">
        <f>SUM(X6:X15)</f>
        <v>181115.08638813681</v>
      </c>
      <c r="Y5" s="925">
        <f>AVERAGE(Y6:Y12)</f>
        <v>786.31757579093744</v>
      </c>
      <c r="Z5" s="926"/>
      <c r="AA5" s="926"/>
    </row>
    <row r="6" spans="1:27" x14ac:dyDescent="0.25">
      <c r="A6" s="1223">
        <v>45392</v>
      </c>
      <c r="B6" s="964"/>
      <c r="C6" s="963"/>
      <c r="D6" s="964" t="s">
        <v>376</v>
      </c>
      <c r="E6" s="964" t="s">
        <v>377</v>
      </c>
      <c r="F6" s="1224">
        <v>21.120999999999999</v>
      </c>
      <c r="G6" s="964"/>
      <c r="H6" s="964">
        <v>15440</v>
      </c>
      <c r="I6" s="964">
        <v>45360</v>
      </c>
      <c r="J6" s="964">
        <v>59140</v>
      </c>
      <c r="K6" s="1158">
        <f>Tabla1[[#This Row],[KG NETOS TOT]]/Tabla1[[#This Row],[HAS]]</f>
        <v>2800.0568154916909</v>
      </c>
      <c r="L6" s="967">
        <v>245000</v>
      </c>
      <c r="M6" s="967">
        <v>245</v>
      </c>
      <c r="N6" s="966">
        <f t="shared" ref="N6:N11" si="1">M6*J6</f>
        <v>14489300</v>
      </c>
      <c r="O6" s="966">
        <f t="shared" ref="O6:O11" si="2">N6*0.105</f>
        <v>1521376.5</v>
      </c>
      <c r="P6" s="964"/>
      <c r="Q6" s="1221">
        <f>N6+O6+P6</f>
        <v>16010676.5</v>
      </c>
      <c r="R6" s="967">
        <v>362232.5</v>
      </c>
      <c r="S6" s="967">
        <f>Q6*0.02</f>
        <v>320213.53000000003</v>
      </c>
      <c r="T6" s="967">
        <v>993965.98</v>
      </c>
      <c r="U6" s="967">
        <v>496982.99</v>
      </c>
      <c r="V6" s="1220">
        <f t="shared" ref="V6:V11" si="3">+Q6-R6-S6-T6-U6</f>
        <v>13837281.5</v>
      </c>
      <c r="W6" s="967">
        <v>920</v>
      </c>
      <c r="X6" s="1410">
        <f t="shared" ref="X6:X11" si="4">V6/W6</f>
        <v>15040.523369565217</v>
      </c>
      <c r="Y6" s="1379">
        <f>Tabla1[[#This Row],[TOTAL USD]]/Tabla1[[#This Row],[HAS]]</f>
        <v>712.11227543985694</v>
      </c>
      <c r="Z6" s="1225" t="s">
        <v>108</v>
      </c>
      <c r="AA6" s="1225"/>
    </row>
    <row r="7" spans="1:27" x14ac:dyDescent="0.25">
      <c r="A7" s="1223">
        <v>45393</v>
      </c>
      <c r="B7" s="964"/>
      <c r="C7" s="963"/>
      <c r="D7" s="964" t="s">
        <v>376</v>
      </c>
      <c r="E7" s="964" t="s">
        <v>377</v>
      </c>
      <c r="F7" s="1224">
        <v>21.49</v>
      </c>
      <c r="G7" s="964"/>
      <c r="H7" s="964"/>
      <c r="I7" s="964"/>
      <c r="J7" s="964">
        <v>60180</v>
      </c>
      <c r="K7" s="1158">
        <f>Tabla1[[#This Row],[KG NETOS TOT]]/Tabla1[[#This Row],[HAS]]</f>
        <v>2800.3722661703118</v>
      </c>
      <c r="L7" s="967">
        <v>245000</v>
      </c>
      <c r="M7" s="967">
        <v>245</v>
      </c>
      <c r="N7" s="966">
        <f t="shared" si="1"/>
        <v>14744100</v>
      </c>
      <c r="O7" s="966">
        <f t="shared" si="2"/>
        <v>1548130.5</v>
      </c>
      <c r="P7" s="964"/>
      <c r="Q7" s="1221">
        <f t="shared" ref="Q7:Q11" si="5">N7+O7+P7</f>
        <v>16292230.5</v>
      </c>
      <c r="R7" s="967">
        <v>368602.5</v>
      </c>
      <c r="S7" s="966">
        <f>Q7*0.02</f>
        <v>325844.61</v>
      </c>
      <c r="T7" s="967">
        <v>1011445.26</v>
      </c>
      <c r="U7" s="967">
        <v>505722.63</v>
      </c>
      <c r="V7" s="1221">
        <f t="shared" si="3"/>
        <v>14080615.5</v>
      </c>
      <c r="W7" s="967">
        <v>920</v>
      </c>
      <c r="X7" s="1410">
        <f t="shared" si="4"/>
        <v>15305.016847826088</v>
      </c>
      <c r="Y7" s="1379">
        <f>Tabla1[[#This Row],[TOTAL USD]]/Tabla1[[#This Row],[HAS]]</f>
        <v>712.1925010621726</v>
      </c>
      <c r="Z7" s="1225" t="s">
        <v>108</v>
      </c>
      <c r="AA7" s="1225"/>
    </row>
    <row r="8" spans="1:27" x14ac:dyDescent="0.25">
      <c r="A8" s="1223">
        <v>45461</v>
      </c>
      <c r="B8" s="964"/>
      <c r="C8" s="963"/>
      <c r="D8" s="964" t="s">
        <v>376</v>
      </c>
      <c r="E8" s="964" t="s">
        <v>377</v>
      </c>
      <c r="F8" s="1224">
        <v>22.056000000000001</v>
      </c>
      <c r="G8" s="964"/>
      <c r="H8" s="964"/>
      <c r="I8" s="964"/>
      <c r="J8" s="964">
        <v>61759</v>
      </c>
      <c r="K8" s="1158">
        <f>Tabla1[[#This Row],[KG NETOS TOT]]/Tabla1[[#This Row],[HAS]]</f>
        <v>2800.0997461008342</v>
      </c>
      <c r="L8" s="967">
        <v>290000</v>
      </c>
      <c r="M8" s="967">
        <v>290</v>
      </c>
      <c r="N8" s="966">
        <f t="shared" si="1"/>
        <v>17910110</v>
      </c>
      <c r="O8" s="966">
        <f t="shared" si="2"/>
        <v>1880561.55</v>
      </c>
      <c r="P8" s="964"/>
      <c r="Q8" s="1221">
        <f t="shared" si="5"/>
        <v>19790671.550000001</v>
      </c>
      <c r="R8" s="966">
        <v>447752.75</v>
      </c>
      <c r="S8" s="966">
        <f>Q8*0.02</f>
        <v>395813.43100000004</v>
      </c>
      <c r="T8" s="966">
        <v>1228633</v>
      </c>
      <c r="U8" s="966">
        <v>614316.77</v>
      </c>
      <c r="V8" s="1221">
        <f t="shared" si="3"/>
        <v>17104155.598999999</v>
      </c>
      <c r="W8" s="966">
        <v>920</v>
      </c>
      <c r="X8" s="1410">
        <f t="shared" si="4"/>
        <v>18591.473477173913</v>
      </c>
      <c r="Y8" s="1379">
        <f>Tabla1[[#This Row],[TOTAL USD]]/Tabla1[[#This Row],[HAS]]</f>
        <v>842.92135823240449</v>
      </c>
      <c r="Z8" s="1225" t="s">
        <v>108</v>
      </c>
      <c r="AA8" s="1225"/>
    </row>
    <row r="9" spans="1:27" x14ac:dyDescent="0.25">
      <c r="A9" s="1223">
        <v>45470</v>
      </c>
      <c r="B9" s="964"/>
      <c r="C9" s="963"/>
      <c r="D9" s="964" t="s">
        <v>376</v>
      </c>
      <c r="E9" s="964" t="s">
        <v>377</v>
      </c>
      <c r="F9" s="1224">
        <v>31.25</v>
      </c>
      <c r="G9" s="964"/>
      <c r="H9" s="964"/>
      <c r="I9" s="964"/>
      <c r="J9" s="964">
        <v>87522</v>
      </c>
      <c r="K9" s="1158">
        <f>Tabla1[[#This Row],[KG NETOS TOT]]/Tabla1[[#This Row],[HAS]]</f>
        <v>2800.7040000000002</v>
      </c>
      <c r="L9" s="967">
        <v>290000</v>
      </c>
      <c r="M9" s="967">
        <v>290</v>
      </c>
      <c r="N9" s="966">
        <f t="shared" si="1"/>
        <v>25381380</v>
      </c>
      <c r="O9" s="966">
        <f t="shared" si="2"/>
        <v>2665044.9</v>
      </c>
      <c r="P9" s="964"/>
      <c r="Q9" s="1221">
        <f t="shared" si="5"/>
        <v>28046424.899999999</v>
      </c>
      <c r="R9" s="967">
        <v>634534.5</v>
      </c>
      <c r="S9" s="965">
        <f>Q9*0.02</f>
        <v>560928.49800000002</v>
      </c>
      <c r="T9" s="967">
        <v>1741162.67</v>
      </c>
      <c r="U9" s="967">
        <v>870581.33</v>
      </c>
      <c r="V9" s="1221">
        <f t="shared" si="3"/>
        <v>24239217.902000003</v>
      </c>
      <c r="W9" s="966">
        <v>920</v>
      </c>
      <c r="X9" s="1410">
        <f t="shared" si="4"/>
        <v>26346.975980434785</v>
      </c>
      <c r="Y9" s="1379">
        <f>Tabla1[[#This Row],[TOTAL USD]]/Tabla1[[#This Row],[HAS]]</f>
        <v>843.1032313739131</v>
      </c>
      <c r="Z9" s="1225" t="s">
        <v>108</v>
      </c>
      <c r="AA9" s="1225"/>
    </row>
    <row r="10" spans="1:27" x14ac:dyDescent="0.25">
      <c r="A10" s="1223">
        <v>45499</v>
      </c>
      <c r="B10" s="964"/>
      <c r="C10" s="963"/>
      <c r="D10" s="964" t="s">
        <v>376</v>
      </c>
      <c r="E10" s="964" t="s">
        <v>377</v>
      </c>
      <c r="F10" s="1226">
        <f>Tabla1[[#This Row],[KG NETOS TOT]]/Tabla1[[#This Row],[KG/HA (REND)]]</f>
        <v>43.817857142857143</v>
      </c>
      <c r="G10" s="1227"/>
      <c r="H10" s="964"/>
      <c r="I10" s="964"/>
      <c r="J10" s="964">
        <v>122690</v>
      </c>
      <c r="K10" s="1158">
        <v>2800</v>
      </c>
      <c r="L10" s="967">
        <v>290000</v>
      </c>
      <c r="M10" s="967">
        <v>290</v>
      </c>
      <c r="N10" s="966">
        <f t="shared" si="1"/>
        <v>35580100</v>
      </c>
      <c r="O10" s="966">
        <f t="shared" si="2"/>
        <v>3735910.5</v>
      </c>
      <c r="P10" s="964"/>
      <c r="Q10" s="1221">
        <f t="shared" si="5"/>
        <v>39316010.5</v>
      </c>
      <c r="R10" s="965">
        <v>889502.5</v>
      </c>
      <c r="S10" s="967">
        <v>786320.21</v>
      </c>
      <c r="T10" s="967">
        <v>2440794.86</v>
      </c>
      <c r="U10" s="967">
        <v>1220397.43</v>
      </c>
      <c r="V10" s="1221">
        <f t="shared" si="3"/>
        <v>33978995.5</v>
      </c>
      <c r="W10" s="966">
        <v>940</v>
      </c>
      <c r="X10" s="1410">
        <f t="shared" si="4"/>
        <v>36147.867553191492</v>
      </c>
      <c r="Y10" s="1379">
        <f>Tabla1[[#This Row],[TOTAL USD]]/Tabla1[[#This Row],[HAS]]</f>
        <v>824.95744680851067</v>
      </c>
      <c r="Z10" s="1225"/>
      <c r="AA10" s="1225"/>
    </row>
    <row r="11" spans="1:27" x14ac:dyDescent="0.25">
      <c r="A11" s="1223">
        <v>45502</v>
      </c>
      <c r="B11" s="964"/>
      <c r="C11" s="963"/>
      <c r="D11" s="964" t="s">
        <v>376</v>
      </c>
      <c r="E11" s="964" t="s">
        <v>377</v>
      </c>
      <c r="F11" s="1226">
        <f>Tabla1[[#This Row],[KG NETOS TOT]]/Tabla1[[#This Row],[KG/HA (REND)]]</f>
        <v>39.379285714285714</v>
      </c>
      <c r="G11" s="964"/>
      <c r="H11" s="964"/>
      <c r="I11" s="964"/>
      <c r="J11" s="964">
        <v>110262</v>
      </c>
      <c r="K11" s="1158">
        <v>2800</v>
      </c>
      <c r="L11" s="967">
        <v>290000</v>
      </c>
      <c r="M11" s="967">
        <v>290</v>
      </c>
      <c r="N11" s="966">
        <f t="shared" si="1"/>
        <v>31975980</v>
      </c>
      <c r="O11" s="966">
        <f t="shared" si="2"/>
        <v>3357477.9</v>
      </c>
      <c r="P11" s="964"/>
      <c r="Q11" s="1221">
        <f t="shared" si="5"/>
        <v>35333457.899999999</v>
      </c>
      <c r="R11" s="1228">
        <v>799399.5</v>
      </c>
      <c r="S11" s="1229">
        <v>706669.16</v>
      </c>
      <c r="T11" s="967">
        <v>2193552.23</v>
      </c>
      <c r="U11" s="1228">
        <v>1096776.1100000001</v>
      </c>
      <c r="V11" s="1221">
        <f t="shared" si="3"/>
        <v>30537060.900000002</v>
      </c>
      <c r="W11" s="966">
        <v>940</v>
      </c>
      <c r="X11" s="1410">
        <f t="shared" si="4"/>
        <v>32486.235000000001</v>
      </c>
      <c r="Y11" s="1379">
        <f>Tabla1[[#This Row],[TOTAL USD]]/Tabla1[[#This Row],[HAS]]</f>
        <v>824.95744680851067</v>
      </c>
      <c r="Z11" s="1225"/>
      <c r="AA11" s="1225"/>
    </row>
    <row r="12" spans="1:27" x14ac:dyDescent="0.25">
      <c r="A12" s="1223">
        <v>45539</v>
      </c>
      <c r="B12" s="964"/>
      <c r="C12" s="963"/>
      <c r="D12" s="964" t="s">
        <v>378</v>
      </c>
      <c r="E12" s="964" t="s">
        <v>377</v>
      </c>
      <c r="F12" s="1226">
        <f>Tabla1[[#This Row],[KG NETOS TOT]]/Tabla1[[#This Row],[KG/HA (REND)]]</f>
        <v>42.857142857142854</v>
      </c>
      <c r="G12" s="964"/>
      <c r="H12" s="964"/>
      <c r="I12" s="964"/>
      <c r="J12" s="964">
        <v>120000</v>
      </c>
      <c r="K12" s="1158">
        <v>2800</v>
      </c>
      <c r="L12" s="967">
        <v>290000</v>
      </c>
      <c r="M12" s="967">
        <v>290</v>
      </c>
      <c r="N12" s="966">
        <f t="shared" ref="N12" si="6">M12*J12</f>
        <v>34800000</v>
      </c>
      <c r="O12" s="966"/>
      <c r="P12" s="964"/>
      <c r="Q12" s="1221">
        <f t="shared" ref="Q12" si="7">N12+O12+P12</f>
        <v>34800000</v>
      </c>
      <c r="R12" s="1228">
        <v>799399.5</v>
      </c>
      <c r="S12" s="1229">
        <v>706669.16</v>
      </c>
      <c r="T12" s="967">
        <v>2193553.23</v>
      </c>
      <c r="U12" s="1228">
        <v>1096777.1100000001</v>
      </c>
      <c r="V12" s="1221">
        <f t="shared" ref="V12" si="8">+Q12-R12-S12-T12-U12</f>
        <v>30003601</v>
      </c>
      <c r="W12" s="966">
        <v>941</v>
      </c>
      <c r="X12" s="1410">
        <f t="shared" ref="X12" si="9">V12/W12</f>
        <v>31884.804463336877</v>
      </c>
      <c r="Y12" s="1379">
        <f>Tabla1[[#This Row],[TOTAL USD]]/Tabla1[[#This Row],[HAS]]</f>
        <v>743.97877081119384</v>
      </c>
      <c r="Z12" s="1225" t="s">
        <v>219</v>
      </c>
      <c r="AA12" s="1225"/>
    </row>
    <row r="13" spans="1:27" x14ac:dyDescent="0.25">
      <c r="A13" s="1223">
        <v>45596</v>
      </c>
      <c r="B13" s="964"/>
      <c r="C13" s="963"/>
      <c r="D13" s="964" t="s">
        <v>379</v>
      </c>
      <c r="E13" s="964" t="s">
        <v>377</v>
      </c>
      <c r="F13" s="1226">
        <f>Tabla1[[#This Row],[KG NETOS TOT]]/Tabla1[[#This Row],[KG/HA (REND)]]</f>
        <v>7.1428571428571432</v>
      </c>
      <c r="G13" s="964"/>
      <c r="H13" s="964"/>
      <c r="I13" s="964"/>
      <c r="J13" s="964">
        <v>20000</v>
      </c>
      <c r="K13" s="1158">
        <v>2800</v>
      </c>
      <c r="L13" s="967">
        <v>290000</v>
      </c>
      <c r="M13" s="967">
        <v>290</v>
      </c>
      <c r="N13" s="966">
        <f t="shared" ref="N13" si="10">M13*J13</f>
        <v>5800000</v>
      </c>
      <c r="O13" s="966"/>
      <c r="P13" s="964"/>
      <c r="Q13" s="1221">
        <f t="shared" ref="Q13" si="11">N13+O13+P13</f>
        <v>5800000</v>
      </c>
      <c r="R13" s="1228">
        <v>799399.5</v>
      </c>
      <c r="S13" s="1229"/>
      <c r="T13" s="967"/>
      <c r="U13" s="1228"/>
      <c r="V13" s="1221">
        <f t="shared" ref="V13" si="12">+Q13-R13-S13-T13-U13</f>
        <v>5000600.5</v>
      </c>
      <c r="W13" s="966">
        <v>950</v>
      </c>
      <c r="X13" s="1410">
        <f t="shared" ref="X13" si="13">V13/W13</f>
        <v>5263.79</v>
      </c>
      <c r="Y13" s="1379">
        <f>Tabla1[[#This Row],[TOTAL USD]]/Tabla1[[#This Row],[HAS]]</f>
        <v>736.93059999999991</v>
      </c>
      <c r="Z13" s="1225"/>
      <c r="AA13" s="1225"/>
    </row>
    <row r="14" spans="1:27" x14ac:dyDescent="0.25">
      <c r="A14" s="1223">
        <v>45419</v>
      </c>
      <c r="B14" s="964"/>
      <c r="C14" s="963"/>
      <c r="D14" s="964" t="s">
        <v>80</v>
      </c>
      <c r="E14" s="964" t="s">
        <v>377</v>
      </c>
      <c r="F14" s="1224">
        <v>230</v>
      </c>
      <c r="G14" s="964"/>
      <c r="H14" s="964"/>
      <c r="I14" s="964"/>
      <c r="J14" s="964">
        <v>90.22</v>
      </c>
      <c r="K14" s="1158">
        <f>Tabla1[[#This Row],[KG NETOS TOT]]/Tabla1[[#This Row],[HAS]]</f>
        <v>0.39226086956521738</v>
      </c>
      <c r="L14" s="967"/>
      <c r="M14" s="967">
        <v>421.19</v>
      </c>
      <c r="N14" s="966">
        <f>M14*J14</f>
        <v>37999.7618</v>
      </c>
      <c r="O14" s="966"/>
      <c r="P14" s="966">
        <f>Tabla1[[#This Row],[SUBTOTAL]]*0.21</f>
        <v>7979.9499779999996</v>
      </c>
      <c r="Q14" s="965">
        <f>N14+O14+P14</f>
        <v>45979.711777999997</v>
      </c>
      <c r="R14" s="967"/>
      <c r="S14" s="966"/>
      <c r="T14" s="967"/>
      <c r="U14" s="967"/>
      <c r="V14" s="1221">
        <f>+Q14-R14-S14-T14-U14</f>
        <v>45979.711777999997</v>
      </c>
      <c r="W14" s="966">
        <v>950</v>
      </c>
      <c r="X14" s="1410">
        <f>V14/W14</f>
        <v>48.399696608421053</v>
      </c>
      <c r="Y14" s="1379">
        <f>Tabla1[[#This Row],[TOTAL USD]]/Tabla1[[#This Row],[HAS]]</f>
        <v>0.21043346351487413</v>
      </c>
      <c r="Z14" s="1225" t="s">
        <v>380</v>
      </c>
      <c r="AA14" s="1225" t="s">
        <v>381</v>
      </c>
    </row>
    <row r="15" spans="1:27" x14ac:dyDescent="0.25">
      <c r="A15" s="879"/>
      <c r="B15" s="866"/>
      <c r="C15" s="865"/>
      <c r="D15" s="866"/>
      <c r="E15" s="866"/>
      <c r="F15" s="877"/>
      <c r="G15" s="866"/>
      <c r="H15" s="866"/>
      <c r="I15" s="866"/>
      <c r="J15" s="874"/>
      <c r="K15" s="903"/>
      <c r="L15" s="868"/>
      <c r="M15" s="868"/>
      <c r="N15" s="869"/>
      <c r="O15" s="869"/>
      <c r="P15" s="866"/>
      <c r="Q15" s="875"/>
      <c r="R15" s="868"/>
      <c r="S15" s="869"/>
      <c r="T15" s="868"/>
      <c r="U15" s="868"/>
      <c r="V15" s="902"/>
      <c r="W15" s="869"/>
      <c r="X15" s="1411"/>
      <c r="Y15" s="861"/>
      <c r="Z15" s="872"/>
      <c r="AA15" s="872"/>
    </row>
    <row r="16" spans="1:27" x14ac:dyDescent="0.25">
      <c r="A16" s="880"/>
      <c r="B16" s="881"/>
      <c r="C16" s="904" t="s">
        <v>382</v>
      </c>
      <c r="D16" s="905"/>
      <c r="E16" s="905"/>
      <c r="F16" s="904"/>
      <c r="G16" s="904"/>
      <c r="H16" s="904"/>
      <c r="I16" s="904"/>
      <c r="J16" s="904"/>
      <c r="K16" s="904"/>
      <c r="L16" s="906"/>
      <c r="M16" s="883"/>
      <c r="N16" s="883"/>
      <c r="O16" s="883"/>
      <c r="P16" s="883"/>
      <c r="Q16" s="927">
        <f t="shared" ref="Q16:V16" si="14">SUM(Q17:Q19)</f>
        <v>2164553.13</v>
      </c>
      <c r="R16" s="927">
        <f t="shared" si="14"/>
        <v>0</v>
      </c>
      <c r="S16" s="927">
        <f t="shared" si="14"/>
        <v>0</v>
      </c>
      <c r="T16" s="927">
        <f t="shared" si="14"/>
        <v>0</v>
      </c>
      <c r="U16" s="927">
        <f t="shared" si="14"/>
        <v>0</v>
      </c>
      <c r="V16" s="927">
        <f t="shared" si="14"/>
        <v>5634793.129999999</v>
      </c>
      <c r="W16" s="907"/>
      <c r="X16" s="1412">
        <f>SUM(X17:X19)</f>
        <v>6124.7751413043479</v>
      </c>
      <c r="Y16" s="907">
        <f>AVERAGE(Y17:Y19)</f>
        <v>13.31472856805293</v>
      </c>
      <c r="Z16" s="884"/>
      <c r="AA16" s="884"/>
    </row>
    <row r="17" spans="1:31" x14ac:dyDescent="0.25">
      <c r="A17" s="879"/>
      <c r="B17" s="866"/>
      <c r="C17" s="865"/>
      <c r="D17" s="866" t="s">
        <v>383</v>
      </c>
      <c r="E17" s="866"/>
      <c r="F17" s="866">
        <v>230</v>
      </c>
      <c r="G17" s="866"/>
      <c r="H17" s="866"/>
      <c r="I17" s="866"/>
      <c r="J17" s="866"/>
      <c r="K17" s="866"/>
      <c r="L17" s="867"/>
      <c r="M17" s="866"/>
      <c r="N17" s="866"/>
      <c r="O17" s="866"/>
      <c r="P17" s="866"/>
      <c r="Q17" s="875"/>
      <c r="R17" s="875"/>
      <c r="S17" s="875"/>
      <c r="T17" s="875"/>
      <c r="U17" s="875"/>
      <c r="V17" s="901">
        <f>Tabla1[[#This Row],[TIPO DE CAMBIO]]*Tabla1[[#This Row],[TOTAL USD]]</f>
        <v>3470239.9999999995</v>
      </c>
      <c r="W17" s="868">
        <v>920</v>
      </c>
      <c r="X17" s="1411">
        <v>3771.9999999999995</v>
      </c>
      <c r="Y17" s="861">
        <f>Tabla1[[#This Row],[TOTAL USD]]/230</f>
        <v>16.399999999999999</v>
      </c>
      <c r="Z17" s="872" t="s">
        <v>72</v>
      </c>
      <c r="AA17" s="872"/>
    </row>
    <row r="18" spans="1:31" x14ac:dyDescent="0.25">
      <c r="A18" s="879"/>
      <c r="B18" s="866"/>
      <c r="C18" s="865"/>
      <c r="D18" s="866" t="s">
        <v>384</v>
      </c>
      <c r="E18" s="866"/>
      <c r="F18" s="866"/>
      <c r="G18" s="866"/>
      <c r="H18" s="866"/>
      <c r="I18" s="866"/>
      <c r="J18" s="866"/>
      <c r="K18" s="866"/>
      <c r="L18" s="867"/>
      <c r="M18" s="866"/>
      <c r="N18" s="866"/>
      <c r="O18" s="866"/>
      <c r="P18" s="866"/>
      <c r="Q18" s="875"/>
      <c r="R18" s="875"/>
      <c r="S18" s="875"/>
      <c r="T18" s="875"/>
      <c r="U18" s="875"/>
      <c r="V18" s="928"/>
      <c r="W18" s="868"/>
      <c r="X18" s="1413"/>
      <c r="Y18" s="861"/>
      <c r="Z18" s="872"/>
      <c r="AA18" s="872"/>
    </row>
    <row r="19" spans="1:31" x14ac:dyDescent="0.25">
      <c r="A19" s="879"/>
      <c r="B19" s="866"/>
      <c r="C19" s="865"/>
      <c r="D19" s="866" t="s">
        <v>60</v>
      </c>
      <c r="E19" s="866"/>
      <c r="F19" s="866">
        <v>230</v>
      </c>
      <c r="G19" s="866"/>
      <c r="H19" s="866"/>
      <c r="I19" s="866"/>
      <c r="J19" s="866"/>
      <c r="K19" s="866"/>
      <c r="L19" s="867"/>
      <c r="M19" s="866"/>
      <c r="N19" s="868">
        <v>2164553.13</v>
      </c>
      <c r="O19" s="866"/>
      <c r="P19" s="866"/>
      <c r="Q19" s="868">
        <v>2164553.13</v>
      </c>
      <c r="R19" s="866"/>
      <c r="S19" s="866"/>
      <c r="T19" s="866"/>
      <c r="U19" s="866"/>
      <c r="V19" s="901">
        <v>2164553.13</v>
      </c>
      <c r="W19" s="868">
        <v>920</v>
      </c>
      <c r="X19" s="1411">
        <f>Tabla1[[#This Row],[TOTAL A LIQUIDAR]]/Tabla1[[#This Row],[TIPO DE CAMBIO]]</f>
        <v>2352.7751413043479</v>
      </c>
      <c r="Y19" s="1380">
        <f>Tabla1[[#This Row],[TOTAL USD]]/Tabla1[[#This Row],[HAS]]</f>
        <v>10.229457136105861</v>
      </c>
      <c r="Z19" s="872" t="s">
        <v>385</v>
      </c>
      <c r="AA19" s="872"/>
    </row>
    <row r="20" spans="1:31" x14ac:dyDescent="0.25">
      <c r="A20" s="880"/>
      <c r="B20" s="881"/>
      <c r="C20" s="904" t="s">
        <v>318</v>
      </c>
      <c r="D20" s="905"/>
      <c r="E20" s="905"/>
      <c r="F20" s="904">
        <v>230</v>
      </c>
      <c r="G20" s="904"/>
      <c r="H20" s="904"/>
      <c r="I20" s="904"/>
      <c r="J20" s="904"/>
      <c r="K20" s="904"/>
      <c r="L20" s="906"/>
      <c r="M20" s="883"/>
      <c r="N20" s="883"/>
      <c r="O20" s="883"/>
      <c r="P20" s="883"/>
      <c r="Q20" s="927">
        <f t="shared" ref="Q20:V20" si="15">SUM(Q21,Q24,Q27,Q42,Q49,Q52,Q76)</f>
        <v>32908754.350200005</v>
      </c>
      <c r="R20" s="907">
        <f t="shared" si="15"/>
        <v>0</v>
      </c>
      <c r="S20" s="907">
        <f t="shared" si="15"/>
        <v>0</v>
      </c>
      <c r="T20" s="907">
        <f t="shared" si="15"/>
        <v>0</v>
      </c>
      <c r="U20" s="907">
        <f t="shared" si="15"/>
        <v>0</v>
      </c>
      <c r="V20" s="927">
        <f t="shared" si="15"/>
        <v>127016478.84400001</v>
      </c>
      <c r="W20" s="907"/>
      <c r="X20" s="1414">
        <f>SUM(X21,X24,X27,X42,X49,X52,X76)</f>
        <v>139481.17566955506</v>
      </c>
      <c r="Y20" s="907">
        <f>SUM(Y21,Y24,Y27,Y42,Y49,Y52,Y76)</f>
        <v>606.67536975293649</v>
      </c>
      <c r="Z20" s="884"/>
      <c r="AA20" s="884"/>
    </row>
    <row r="21" spans="1:31" x14ac:dyDescent="0.25">
      <c r="A21" s="914"/>
      <c r="B21" s="908"/>
      <c r="C21" s="909" t="s">
        <v>103</v>
      </c>
      <c r="D21" s="910"/>
      <c r="E21" s="910"/>
      <c r="F21" s="911"/>
      <c r="G21" s="911"/>
      <c r="H21" s="911"/>
      <c r="I21" s="911"/>
      <c r="J21" s="911"/>
      <c r="K21" s="911"/>
      <c r="L21" s="912"/>
      <c r="M21" s="911"/>
      <c r="N21" s="911"/>
      <c r="O21" s="911"/>
      <c r="P21" s="911"/>
      <c r="Q21" s="917">
        <f t="shared" ref="Q21:V21" si="16">SUM(Q22)</f>
        <v>0</v>
      </c>
      <c r="R21" s="915">
        <f t="shared" si="16"/>
        <v>0</v>
      </c>
      <c r="S21" s="915">
        <f t="shared" si="16"/>
        <v>0</v>
      </c>
      <c r="T21" s="915">
        <f t="shared" si="16"/>
        <v>0</v>
      </c>
      <c r="U21" s="915">
        <f t="shared" si="16"/>
        <v>0</v>
      </c>
      <c r="V21" s="917">
        <f t="shared" si="16"/>
        <v>23919155</v>
      </c>
      <c r="W21" s="915"/>
      <c r="X21" s="1415">
        <f>SUM(X22)</f>
        <v>25445.909574468085</v>
      </c>
      <c r="Y21" s="915">
        <f>SUM(Y22)</f>
        <v>109.2099123367729</v>
      </c>
      <c r="Z21" s="916"/>
      <c r="AA21" s="916"/>
    </row>
    <row r="22" spans="1:31" x14ac:dyDescent="0.25">
      <c r="A22" s="879"/>
      <c r="B22" s="873"/>
      <c r="C22" s="864"/>
      <c r="D22" s="865" t="s">
        <v>386</v>
      </c>
      <c r="E22" s="886"/>
      <c r="F22" s="866">
        <v>233</v>
      </c>
      <c r="G22" s="886"/>
      <c r="H22" s="874"/>
      <c r="I22" s="874"/>
      <c r="J22" s="866"/>
      <c r="K22" s="866"/>
      <c r="L22" s="868"/>
      <c r="M22" s="866"/>
      <c r="N22" s="866"/>
      <c r="O22" s="866"/>
      <c r="P22" s="866"/>
      <c r="Q22" s="875"/>
      <c r="R22" s="866"/>
      <c r="S22" s="866"/>
      <c r="T22" s="866"/>
      <c r="U22" s="866"/>
      <c r="V22" s="868">
        <v>23919155</v>
      </c>
      <c r="W22" s="868">
        <v>940</v>
      </c>
      <c r="X22" s="1444">
        <f>Tabla1[[#This Row],[TOTAL A LIQUIDAR]]/Tabla1[[#This Row],[TIPO DE CAMBIO]]</f>
        <v>25445.909574468085</v>
      </c>
      <c r="Y22" s="867">
        <f>Tabla1[[#This Row],[TOTAL USD]]/Tabla1[[#This Row],[HAS]]</f>
        <v>109.2099123367729</v>
      </c>
      <c r="Z22" s="872" t="s">
        <v>181</v>
      </c>
      <c r="AA22" s="872"/>
    </row>
    <row r="23" spans="1:31" x14ac:dyDescent="0.25">
      <c r="A23" s="879"/>
      <c r="B23" s="873"/>
      <c r="C23" s="864"/>
      <c r="D23" s="865"/>
      <c r="E23" s="886"/>
      <c r="F23" s="866"/>
      <c r="G23" s="886"/>
      <c r="H23" s="874"/>
      <c r="I23" s="874"/>
      <c r="J23" s="866"/>
      <c r="K23" s="866"/>
      <c r="L23" s="868"/>
      <c r="M23" s="866"/>
      <c r="N23" s="866"/>
      <c r="O23" s="866"/>
      <c r="P23" s="866"/>
      <c r="Q23" s="875"/>
      <c r="R23" s="866"/>
      <c r="S23" s="866"/>
      <c r="T23" s="866"/>
      <c r="U23" s="866"/>
      <c r="V23" s="868"/>
      <c r="W23" s="868"/>
      <c r="X23" s="1411"/>
      <c r="Y23" s="867"/>
      <c r="Z23" s="872"/>
      <c r="AA23" s="872"/>
      <c r="AE23" s="23"/>
    </row>
    <row r="24" spans="1:31" x14ac:dyDescent="0.25">
      <c r="A24" s="914"/>
      <c r="B24" s="908"/>
      <c r="C24" s="909" t="s">
        <v>56</v>
      </c>
      <c r="D24" s="911"/>
      <c r="E24" s="911"/>
      <c r="F24" s="910"/>
      <c r="G24" s="910"/>
      <c r="H24" s="911"/>
      <c r="I24" s="911"/>
      <c r="J24" s="911"/>
      <c r="K24" s="911"/>
      <c r="L24" s="917"/>
      <c r="M24" s="911"/>
      <c r="N24" s="911"/>
      <c r="O24" s="911"/>
      <c r="P24" s="911"/>
      <c r="Q24" s="917">
        <f t="shared" ref="Q24:V24" si="17">SUM(Q25)</f>
        <v>4376905</v>
      </c>
      <c r="R24" s="915">
        <f t="shared" si="17"/>
        <v>0</v>
      </c>
      <c r="S24" s="915">
        <f t="shared" si="17"/>
        <v>0</v>
      </c>
      <c r="T24" s="915">
        <f t="shared" si="17"/>
        <v>0</v>
      </c>
      <c r="U24" s="915">
        <f t="shared" si="17"/>
        <v>0</v>
      </c>
      <c r="V24" s="917">
        <f t="shared" si="17"/>
        <v>7639116.9400000004</v>
      </c>
      <c r="W24" s="915"/>
      <c r="X24" s="1415">
        <f>SUM(X25)</f>
        <v>9237.1426118500603</v>
      </c>
      <c r="Y24" s="915">
        <f>SUM(Y25)</f>
        <v>39.644388892060341</v>
      </c>
      <c r="Z24" s="916"/>
      <c r="AA24" s="916"/>
    </row>
    <row r="25" spans="1:31" x14ac:dyDescent="0.25">
      <c r="A25" s="879">
        <v>45289</v>
      </c>
      <c r="B25" s="873"/>
      <c r="C25" s="864"/>
      <c r="D25" s="866" t="s">
        <v>387</v>
      </c>
      <c r="E25" s="866" t="s">
        <v>377</v>
      </c>
      <c r="F25" s="866">
        <v>233</v>
      </c>
      <c r="G25" s="866"/>
      <c r="H25" s="874"/>
      <c r="I25" s="874"/>
      <c r="J25" s="866"/>
      <c r="K25" s="866"/>
      <c r="L25" s="868"/>
      <c r="M25" s="868">
        <v>17000</v>
      </c>
      <c r="N25" s="868">
        <f>Tabla1[[#This Row],[HAS]]*Tabla1[[#This Row],[PRECIO UNITARIO USD/TN]]</f>
        <v>3961000</v>
      </c>
      <c r="O25" s="869">
        <f>Tabla1[[#This Row],[SUBTOTAL]]*0.105</f>
        <v>415905</v>
      </c>
      <c r="P25" s="866"/>
      <c r="Q25" s="868">
        <f>SUM(Tabla1[[#This Row],[SUBTOTAL]:[IVA 21]])</f>
        <v>4376905</v>
      </c>
      <c r="R25" s="866"/>
      <c r="S25" s="866"/>
      <c r="T25" s="866"/>
      <c r="U25" s="866"/>
      <c r="V25" s="868">
        <v>7639116.9400000004</v>
      </c>
      <c r="W25" s="868">
        <v>827</v>
      </c>
      <c r="X25" s="1444">
        <f>Tabla1[[#This Row],[TOTAL A LIQUIDAR]]/Tabla1[[#This Row],[TIPO DE CAMBIO]]</f>
        <v>9237.1426118500603</v>
      </c>
      <c r="Y25" s="867">
        <f>Tabla1[[#This Row],[TOTAL USD]]/Tabla1[[#This Row],[HAS]]</f>
        <v>39.644388892060341</v>
      </c>
      <c r="Z25" s="866" t="s">
        <v>388</v>
      </c>
      <c r="AA25" s="866"/>
    </row>
    <row r="26" spans="1:31" x14ac:dyDescent="0.25">
      <c r="A26" s="879"/>
      <c r="B26" s="873"/>
      <c r="C26" s="864"/>
      <c r="D26" s="866"/>
      <c r="E26" s="866"/>
      <c r="F26" s="866"/>
      <c r="G26" s="866"/>
      <c r="H26" s="874"/>
      <c r="I26" s="874"/>
      <c r="J26" s="866"/>
      <c r="K26" s="866"/>
      <c r="L26" s="868"/>
      <c r="M26" s="868"/>
      <c r="N26" s="868"/>
      <c r="O26" s="869"/>
      <c r="P26" s="866"/>
      <c r="Q26" s="868"/>
      <c r="R26" s="866"/>
      <c r="S26" s="866"/>
      <c r="T26" s="866"/>
      <c r="U26" s="866"/>
      <c r="V26" s="868"/>
      <c r="W26" s="868"/>
      <c r="X26" s="1411"/>
      <c r="Y26" s="867"/>
      <c r="Z26" s="866"/>
      <c r="AA26" s="866"/>
    </row>
    <row r="27" spans="1:31" x14ac:dyDescent="0.25">
      <c r="A27" s="914"/>
      <c r="B27" s="908"/>
      <c r="C27" s="909" t="s">
        <v>52</v>
      </c>
      <c r="D27" s="910"/>
      <c r="E27" s="910"/>
      <c r="F27" s="911"/>
      <c r="G27" s="911"/>
      <c r="H27" s="911"/>
      <c r="I27" s="911"/>
      <c r="J27" s="911"/>
      <c r="K27" s="911"/>
      <c r="L27" s="912"/>
      <c r="M27" s="911"/>
      <c r="N27" s="911"/>
      <c r="O27" s="911"/>
      <c r="P27" s="911"/>
      <c r="Q27" s="915">
        <f t="shared" ref="Q27:V27" si="18">SUM(Q28:Q40)</f>
        <v>40272.680200000003</v>
      </c>
      <c r="R27" s="915">
        <f t="shared" si="18"/>
        <v>0</v>
      </c>
      <c r="S27" s="915">
        <f t="shared" si="18"/>
        <v>0</v>
      </c>
      <c r="T27" s="915">
        <f t="shared" si="18"/>
        <v>0</v>
      </c>
      <c r="U27" s="915">
        <f t="shared" si="18"/>
        <v>0</v>
      </c>
      <c r="V27" s="917">
        <f t="shared" si="18"/>
        <v>37050865.784000002</v>
      </c>
      <c r="W27" s="915"/>
      <c r="X27" s="1445">
        <f>SUM(X28:X40)</f>
        <v>40272.680200000003</v>
      </c>
      <c r="Y27" s="915">
        <f>SUM(Y28:Y40)</f>
        <v>212.66482391304353</v>
      </c>
      <c r="Z27" s="916"/>
      <c r="AA27" s="916"/>
    </row>
    <row r="28" spans="1:31" x14ac:dyDescent="0.25">
      <c r="A28" s="879"/>
      <c r="B28" s="873"/>
      <c r="C28" s="887" t="s">
        <v>389</v>
      </c>
      <c r="D28" s="866" t="s">
        <v>390</v>
      </c>
      <c r="E28" s="866" t="s">
        <v>377</v>
      </c>
      <c r="F28" s="866">
        <v>230</v>
      </c>
      <c r="G28" s="866"/>
      <c r="H28" s="874"/>
      <c r="I28" s="874"/>
      <c r="J28" s="866">
        <v>575</v>
      </c>
      <c r="K28" s="877">
        <v>3.5</v>
      </c>
      <c r="L28" s="868"/>
      <c r="M28" s="888">
        <v>1.3</v>
      </c>
      <c r="N28" s="861">
        <f>Tabla1[[#This Row],[KG NETOS TOT]]*Tabla1[[#This Row],[PRECIO UNITARIO USD/TN]]</f>
        <v>747.5</v>
      </c>
      <c r="O28" s="861"/>
      <c r="P28" s="861"/>
      <c r="Q28" s="861">
        <f>SUM(Tabla1[[#This Row],[SUBTOTAL]:[IVA 21]])</f>
        <v>747.5</v>
      </c>
      <c r="R28" s="866"/>
      <c r="S28" s="866"/>
      <c r="T28" s="866"/>
      <c r="U28" s="866"/>
      <c r="V28" s="875">
        <f>SUM(Tabla1[[#This Row],[TOTAL*]:[IVA RG 2300/2007]])*Tabla1[[#This Row],[TIPO DE CAMBIO]]</f>
        <v>687700</v>
      </c>
      <c r="W28" s="868">
        <v>920</v>
      </c>
      <c r="X28" s="1411">
        <f>Tabla1[[#This Row],[TOTAL A LIQUIDAR]]/Tabla1[[#This Row],[TIPO DE CAMBIO]]</f>
        <v>747.5</v>
      </c>
      <c r="Y28" s="867">
        <v>4.55</v>
      </c>
      <c r="Z28" s="872" t="s">
        <v>391</v>
      </c>
      <c r="AA28" s="872"/>
    </row>
    <row r="29" spans="1:31" x14ac:dyDescent="0.25">
      <c r="A29" s="879"/>
      <c r="B29" s="873"/>
      <c r="C29" s="887" t="s">
        <v>392</v>
      </c>
      <c r="D29" s="866" t="s">
        <v>393</v>
      </c>
      <c r="E29" s="866" t="s">
        <v>377</v>
      </c>
      <c r="F29" s="866">
        <v>230</v>
      </c>
      <c r="G29" s="866"/>
      <c r="H29" s="874"/>
      <c r="I29" s="874"/>
      <c r="J29" s="866">
        <v>690</v>
      </c>
      <c r="K29" s="877">
        <v>5.6</v>
      </c>
      <c r="L29" s="868"/>
      <c r="M29" s="888">
        <v>11.4</v>
      </c>
      <c r="N29" s="861">
        <f>Tabla1[[#This Row],[KG NETOS TOT]]*Tabla1[[#This Row],[PRECIO UNITARIO USD/TN]]</f>
        <v>7866</v>
      </c>
      <c r="O29" s="866"/>
      <c r="P29" s="861"/>
      <c r="Q29" s="861">
        <f>SUM(Tabla1[[#This Row],[SUBTOTAL]:[IVA 21]])</f>
        <v>7866</v>
      </c>
      <c r="R29" s="866"/>
      <c r="S29" s="866"/>
      <c r="T29" s="866"/>
      <c r="U29" s="866"/>
      <c r="V29" s="875">
        <f>SUM(Tabla1[[#This Row],[TOTAL*]:[IVA RG 2300/2007]])*Tabla1[[#This Row],[TIPO DE CAMBIO]]</f>
        <v>7236720</v>
      </c>
      <c r="W29" s="868">
        <v>920</v>
      </c>
      <c r="X29" s="1411">
        <f>Tabla1[[#This Row],[TOTAL A LIQUIDAR]]/Tabla1[[#This Row],[TIPO DE CAMBIO]]</f>
        <v>7866</v>
      </c>
      <c r="Y29" s="867">
        <v>9.3521739130434778</v>
      </c>
      <c r="Z29" s="872" t="s">
        <v>391</v>
      </c>
      <c r="AA29" s="872"/>
    </row>
    <row r="30" spans="1:31" x14ac:dyDescent="0.25">
      <c r="A30" s="889"/>
      <c r="B30" s="873"/>
      <c r="C30" s="887" t="s">
        <v>392</v>
      </c>
      <c r="D30" s="866" t="s">
        <v>394</v>
      </c>
      <c r="E30" s="866" t="s">
        <v>377</v>
      </c>
      <c r="F30" s="866">
        <v>230</v>
      </c>
      <c r="G30" s="866"/>
      <c r="H30" s="874"/>
      <c r="I30" s="874"/>
      <c r="J30" s="866">
        <v>322</v>
      </c>
      <c r="K30" s="877">
        <v>2.4</v>
      </c>
      <c r="L30" s="868"/>
      <c r="M30" s="888">
        <v>7.4</v>
      </c>
      <c r="N30" s="861">
        <f>Tabla1[[#This Row],[KG NETOS TOT]]*Tabla1[[#This Row],[PRECIO UNITARIO USD/TN]]</f>
        <v>2382.8000000000002</v>
      </c>
      <c r="O30" s="866"/>
      <c r="P30" s="861"/>
      <c r="Q30" s="861">
        <f>SUM(Tabla1[[#This Row],[SUBTOTAL]:[IVA 21]])</f>
        <v>2382.8000000000002</v>
      </c>
      <c r="R30" s="866"/>
      <c r="S30" s="866"/>
      <c r="T30" s="866"/>
      <c r="U30" s="866"/>
      <c r="V30" s="875">
        <f>SUM(Tabla1[[#This Row],[TOTAL*]:[IVA RG 2300/2007]])*Tabla1[[#This Row],[TIPO DE CAMBIO]]</f>
        <v>2192176</v>
      </c>
      <c r="W30" s="868">
        <v>920</v>
      </c>
      <c r="X30" s="1411">
        <f>Tabla1[[#This Row],[TOTAL A LIQUIDAR]]/Tabla1[[#This Row],[TIPO DE CAMBIO]]</f>
        <v>2382.8000000000002</v>
      </c>
      <c r="Y30" s="867">
        <v>57</v>
      </c>
      <c r="Z30" s="872" t="s">
        <v>391</v>
      </c>
      <c r="AA30" s="872"/>
    </row>
    <row r="31" spans="1:31" x14ac:dyDescent="0.25">
      <c r="A31" s="889"/>
      <c r="B31" s="873"/>
      <c r="C31" s="887" t="s">
        <v>392</v>
      </c>
      <c r="D31" s="866" t="s">
        <v>395</v>
      </c>
      <c r="E31" s="866" t="s">
        <v>377</v>
      </c>
      <c r="F31" s="866">
        <v>230</v>
      </c>
      <c r="G31" s="866"/>
      <c r="H31" s="874"/>
      <c r="I31" s="874"/>
      <c r="J31" s="866">
        <v>414</v>
      </c>
      <c r="K31" s="877">
        <v>1.8</v>
      </c>
      <c r="L31" s="868"/>
      <c r="M31" s="888">
        <v>13.7</v>
      </c>
      <c r="N31" s="861">
        <f>Tabla1[[#This Row],[KG NETOS TOT]]*Tabla1[[#This Row],[PRECIO UNITARIO USD/TN]]</f>
        <v>5671.7999999999993</v>
      </c>
      <c r="O31" s="866"/>
      <c r="P31" s="861"/>
      <c r="Q31" s="861">
        <f>SUM(Tabla1[[#This Row],[SUBTOTAL]:[IVA 21]])</f>
        <v>5671.7999999999993</v>
      </c>
      <c r="R31" s="866"/>
      <c r="S31" s="866"/>
      <c r="T31" s="866"/>
      <c r="U31" s="866"/>
      <c r="V31" s="875">
        <f>SUM(Tabla1[[#This Row],[TOTAL*]:[IVA RG 2300/2007]])*Tabla1[[#This Row],[TIPO DE CAMBIO]]</f>
        <v>5218055.9999999991</v>
      </c>
      <c r="W31" s="868">
        <v>920</v>
      </c>
      <c r="X31" s="1411">
        <f>Tabla1[[#This Row],[TOTAL A LIQUIDAR]]/Tabla1[[#This Row],[TIPO DE CAMBIO]]</f>
        <v>5671.7999999999993</v>
      </c>
      <c r="Y31" s="867">
        <v>13.275</v>
      </c>
      <c r="Z31" s="872" t="s">
        <v>391</v>
      </c>
      <c r="AA31" s="872"/>
    </row>
    <row r="32" spans="1:31" x14ac:dyDescent="0.25">
      <c r="A32" s="889"/>
      <c r="B32" s="873"/>
      <c r="C32" s="887" t="s">
        <v>389</v>
      </c>
      <c r="D32" s="866" t="s">
        <v>396</v>
      </c>
      <c r="E32" s="866" t="s">
        <v>377</v>
      </c>
      <c r="F32" s="866">
        <v>230</v>
      </c>
      <c r="G32" s="866"/>
      <c r="H32" s="874"/>
      <c r="I32" s="874"/>
      <c r="J32" s="866">
        <v>92</v>
      </c>
      <c r="K32" s="877">
        <v>0.6</v>
      </c>
      <c r="L32" s="868"/>
      <c r="M32" s="888">
        <v>18</v>
      </c>
      <c r="N32" s="861">
        <f>Tabla1[[#This Row],[KG NETOS TOT]]*Tabla1[[#This Row],[PRECIO UNITARIO USD/TN]]</f>
        <v>1656</v>
      </c>
      <c r="O32" s="866"/>
      <c r="P32" s="861"/>
      <c r="Q32" s="861">
        <f>SUM(Tabla1[[#This Row],[SUBTOTAL]:[IVA 21]])</f>
        <v>1656</v>
      </c>
      <c r="R32" s="866"/>
      <c r="S32" s="866"/>
      <c r="T32" s="866"/>
      <c r="U32" s="866"/>
      <c r="V32" s="875">
        <f>SUM(Tabla1[[#This Row],[TOTAL*]:[IVA RG 2300/2007]])*Tabla1[[#This Row],[TIPO DE CAMBIO]]</f>
        <v>1523520</v>
      </c>
      <c r="W32" s="868">
        <v>920</v>
      </c>
      <c r="X32" s="1411">
        <f>Tabla1[[#This Row],[TOTAL A LIQUIDAR]]/Tabla1[[#This Row],[TIPO DE CAMBIO]]</f>
        <v>1656</v>
      </c>
      <c r="Y32" s="867">
        <v>17.760000000000002</v>
      </c>
      <c r="Z32" s="872" t="s">
        <v>391</v>
      </c>
      <c r="AA32" s="872"/>
    </row>
    <row r="33" spans="1:27" x14ac:dyDescent="0.25">
      <c r="A33" s="889"/>
      <c r="B33" s="873"/>
      <c r="C33" s="887" t="s">
        <v>392</v>
      </c>
      <c r="D33" s="866" t="s">
        <v>397</v>
      </c>
      <c r="E33" s="866" t="s">
        <v>377</v>
      </c>
      <c r="F33" s="866">
        <v>230</v>
      </c>
      <c r="G33" s="866"/>
      <c r="H33" s="874"/>
      <c r="I33" s="874"/>
      <c r="J33" s="866">
        <v>5.55</v>
      </c>
      <c r="K33" s="877">
        <v>0.03</v>
      </c>
      <c r="L33" s="868"/>
      <c r="M33" s="888">
        <v>269</v>
      </c>
      <c r="N33" s="861">
        <f>Tabla1[[#This Row],[KG NETOS TOT]]*Tabla1[[#This Row],[PRECIO UNITARIO USD/TN]]</f>
        <v>1492.95</v>
      </c>
      <c r="O33" s="866"/>
      <c r="P33" s="861"/>
      <c r="Q33" s="861">
        <f>SUM(Tabla1[[#This Row],[SUBTOTAL]:[IVA 21]])</f>
        <v>1492.95</v>
      </c>
      <c r="R33" s="866"/>
      <c r="S33" s="866"/>
      <c r="T33" s="866"/>
      <c r="U33" s="866"/>
      <c r="V33" s="875">
        <f>SUM(Tabla1[[#This Row],[TOTAL*]:[IVA RG 2300/2007]])*Tabla1[[#This Row],[TIPO DE CAMBIO]]</f>
        <v>1373514</v>
      </c>
      <c r="W33" s="868">
        <v>920</v>
      </c>
      <c r="X33" s="1411">
        <f>Tabla1[[#This Row],[TOTAL A LIQUIDAR]]/Tabla1[[#This Row],[TIPO DE CAMBIO]]</f>
        <v>1492.95</v>
      </c>
      <c r="Y33" s="867">
        <v>8.07</v>
      </c>
      <c r="Z33" s="872" t="s">
        <v>391</v>
      </c>
      <c r="AA33" s="872"/>
    </row>
    <row r="34" spans="1:27" x14ac:dyDescent="0.25">
      <c r="A34" s="889"/>
      <c r="B34" s="873"/>
      <c r="C34" s="887" t="s">
        <v>392</v>
      </c>
      <c r="D34" s="866" t="s">
        <v>398</v>
      </c>
      <c r="E34" s="866" t="s">
        <v>377</v>
      </c>
      <c r="F34" s="866">
        <v>230</v>
      </c>
      <c r="G34" s="866"/>
      <c r="H34" s="874"/>
      <c r="I34" s="874"/>
      <c r="J34" s="866">
        <v>345</v>
      </c>
      <c r="K34" s="877">
        <v>1.5</v>
      </c>
      <c r="L34" s="868"/>
      <c r="M34" s="888">
        <v>8.85</v>
      </c>
      <c r="N34" s="861">
        <f>Tabla1[[#This Row],[KG NETOS TOT]]*Tabla1[[#This Row],[PRECIO UNITARIO USD/TN]]</f>
        <v>3053.25</v>
      </c>
      <c r="O34" s="866"/>
      <c r="P34" s="861"/>
      <c r="Q34" s="861">
        <f>SUM(Tabla1[[#This Row],[SUBTOTAL]:[IVA 21]])</f>
        <v>3053.25</v>
      </c>
      <c r="R34" s="866"/>
      <c r="S34" s="866"/>
      <c r="T34" s="866"/>
      <c r="U34" s="866"/>
      <c r="V34" s="875">
        <f>SUM(Tabla1[[#This Row],[TOTAL*]:[IVA RG 2300/2007]])*Tabla1[[#This Row],[TIPO DE CAMBIO]]</f>
        <v>2808990</v>
      </c>
      <c r="W34" s="868">
        <v>920</v>
      </c>
      <c r="X34" s="1411">
        <f>Tabla1[[#This Row],[TOTAL A LIQUIDAR]]/Tabla1[[#This Row],[TIPO DE CAMBIO]]</f>
        <v>3053.25</v>
      </c>
      <c r="Y34" s="867">
        <v>20.8</v>
      </c>
      <c r="Z34" s="872" t="s">
        <v>391</v>
      </c>
      <c r="AA34" s="872"/>
    </row>
    <row r="35" spans="1:27" x14ac:dyDescent="0.25">
      <c r="A35" s="889"/>
      <c r="B35" s="873"/>
      <c r="C35" s="887" t="s">
        <v>392</v>
      </c>
      <c r="D35" s="866" t="s">
        <v>399</v>
      </c>
      <c r="E35" s="866" t="s">
        <v>377</v>
      </c>
      <c r="F35" s="866">
        <v>230</v>
      </c>
      <c r="G35" s="866"/>
      <c r="H35" s="874"/>
      <c r="I35" s="874"/>
      <c r="J35" s="866">
        <v>64.400000000000006</v>
      </c>
      <c r="K35" s="877">
        <v>0.28000000000000003</v>
      </c>
      <c r="L35" s="868"/>
      <c r="M35" s="888">
        <v>29.6</v>
      </c>
      <c r="N35" s="861">
        <f>Tabla1[[#This Row],[KG NETOS TOT]]*Tabla1[[#This Row],[PRECIO UNITARIO USD/TN]]</f>
        <v>1906.2400000000002</v>
      </c>
      <c r="O35" s="866"/>
      <c r="P35" s="861"/>
      <c r="Q35" s="861">
        <f>SUM(Tabla1[[#This Row],[SUBTOTAL]:[IVA 21]])</f>
        <v>1906.2400000000002</v>
      </c>
      <c r="R35" s="866"/>
      <c r="S35" s="866"/>
      <c r="T35" s="866"/>
      <c r="U35" s="866"/>
      <c r="V35" s="875">
        <f>SUM(Tabla1[[#This Row],[TOTAL*]:[IVA RG 2300/2007]])*Tabla1[[#This Row],[TIPO DE CAMBIO]]</f>
        <v>1753740.8000000003</v>
      </c>
      <c r="W35" s="868">
        <v>920</v>
      </c>
      <c r="X35" s="1411">
        <f>Tabla1[[#This Row],[TOTAL A LIQUIDAR]]/Tabla1[[#This Row],[TIPO DE CAMBIO]]</f>
        <v>1906.2400000000002</v>
      </c>
      <c r="Y35" s="867">
        <v>3.2700000000000005</v>
      </c>
      <c r="Z35" s="872" t="s">
        <v>391</v>
      </c>
      <c r="AA35" s="872"/>
    </row>
    <row r="36" spans="1:27" x14ac:dyDescent="0.25">
      <c r="A36" s="889"/>
      <c r="B36" s="873"/>
      <c r="C36" s="887" t="s">
        <v>392</v>
      </c>
      <c r="D36" s="866" t="s">
        <v>400</v>
      </c>
      <c r="E36" s="866" t="s">
        <v>377</v>
      </c>
      <c r="F36" s="866">
        <v>230</v>
      </c>
      <c r="G36" s="866"/>
      <c r="H36" s="874"/>
      <c r="I36" s="874"/>
      <c r="J36" s="866">
        <v>830</v>
      </c>
      <c r="K36" s="877">
        <v>4</v>
      </c>
      <c r="L36" s="868"/>
      <c r="M36" s="888">
        <v>5.2</v>
      </c>
      <c r="N36" s="861">
        <f>Tabla1[[#This Row],[KG NETOS TOT]]*Tabla1[[#This Row],[PRECIO UNITARIO USD/TN]]</f>
        <v>4316</v>
      </c>
      <c r="O36" s="866"/>
      <c r="P36" s="861"/>
      <c r="Q36" s="861">
        <f>SUM(Tabla1[[#This Row],[SUBTOTAL]:[IVA 21]])</f>
        <v>4316</v>
      </c>
      <c r="R36" s="866"/>
      <c r="S36" s="866"/>
      <c r="T36" s="866"/>
      <c r="U36" s="866"/>
      <c r="V36" s="875">
        <f>SUM(Tabla1[[#This Row],[TOTAL*]:[IVA RG 2300/2007]])*Tabla1[[#This Row],[TIPO DE CAMBIO]]</f>
        <v>3970720</v>
      </c>
      <c r="W36" s="868">
        <v>920</v>
      </c>
      <c r="X36" s="1411">
        <f>Tabla1[[#This Row],[TOTAL A LIQUIDAR]]/Tabla1[[#This Row],[TIPO DE CAMBIO]]</f>
        <v>4316</v>
      </c>
      <c r="Y36" s="867">
        <v>8.2880000000000003</v>
      </c>
      <c r="Z36" s="872" t="s">
        <v>391</v>
      </c>
      <c r="AA36" s="872"/>
    </row>
    <row r="37" spans="1:27" x14ac:dyDescent="0.25">
      <c r="A37" s="890"/>
      <c r="B37" s="891"/>
      <c r="C37" s="892" t="s">
        <v>392</v>
      </c>
      <c r="D37" s="866" t="s">
        <v>401</v>
      </c>
      <c r="E37" s="893" t="s">
        <v>377</v>
      </c>
      <c r="F37" s="866">
        <v>230</v>
      </c>
      <c r="G37" s="893"/>
      <c r="H37" s="894"/>
      <c r="I37" s="894"/>
      <c r="J37" s="893">
        <v>345</v>
      </c>
      <c r="K37" s="895">
        <v>1.5</v>
      </c>
      <c r="L37" s="896"/>
      <c r="M37" s="897">
        <v>7.4</v>
      </c>
      <c r="N37" s="861">
        <f>Tabla1[[#This Row],[KG NETOS TOT]]*Tabla1[[#This Row],[PRECIO UNITARIO USD/TN]]</f>
        <v>2553</v>
      </c>
      <c r="O37" s="893"/>
      <c r="P37" s="861"/>
      <c r="Q37" s="861">
        <f>SUM(Tabla1[[#This Row],[SUBTOTAL]:[IVA 21]])</f>
        <v>2553</v>
      </c>
      <c r="R37" s="893"/>
      <c r="S37" s="893"/>
      <c r="T37" s="893"/>
      <c r="U37" s="893"/>
      <c r="V37" s="875">
        <f>SUM(Tabla1[[#This Row],[TOTAL*]:[IVA RG 2300/2007]])*Tabla1[[#This Row],[TIPO DE CAMBIO]]</f>
        <v>2348760</v>
      </c>
      <c r="W37" s="896">
        <v>920</v>
      </c>
      <c r="X37" s="1411">
        <f>Tabla1[[#This Row],[TOTAL A LIQUIDAR]]/Tabla1[[#This Row],[TIPO DE CAMBIO]]</f>
        <v>2553</v>
      </c>
      <c r="Y37" s="929">
        <v>24.659999999999997</v>
      </c>
      <c r="Z37" s="900" t="s">
        <v>391</v>
      </c>
      <c r="AA37" s="900"/>
    </row>
    <row r="38" spans="1:27" x14ac:dyDescent="0.25">
      <c r="A38" s="889"/>
      <c r="B38" s="873"/>
      <c r="C38" s="887" t="s">
        <v>392</v>
      </c>
      <c r="D38" s="866" t="s">
        <v>402</v>
      </c>
      <c r="E38" s="866" t="s">
        <v>377</v>
      </c>
      <c r="F38" s="866">
        <v>230</v>
      </c>
      <c r="G38" s="866"/>
      <c r="H38" s="874"/>
      <c r="I38" s="874"/>
      <c r="J38" s="933">
        <f>Tabla1[[#This Row],[KG/HA (REND)]]*Tabla1[[#This Row],[HAS]]</f>
        <v>69</v>
      </c>
      <c r="K38" s="877">
        <v>0.3</v>
      </c>
      <c r="L38" s="868"/>
      <c r="M38" s="888">
        <v>10.9</v>
      </c>
      <c r="N38" s="861">
        <f>Tabla1[[#This Row],[KG NETOS TOT]]*Tabla1[[#This Row],[PRECIO UNITARIO USD/TN]]</f>
        <v>752.1</v>
      </c>
      <c r="O38" s="866"/>
      <c r="P38" s="861"/>
      <c r="Q38" s="861">
        <f>SUM(Tabla1[[#This Row],[SUBTOTAL]:[IVA 21]])</f>
        <v>752.1</v>
      </c>
      <c r="R38" s="866"/>
      <c r="S38" s="866"/>
      <c r="T38" s="866"/>
      <c r="U38" s="866"/>
      <c r="V38" s="875">
        <f>SUM(Tabla1[[#This Row],[TOTAL*]:[IVA RG 2300/2007]])*Tabla1[[#This Row],[TIPO DE CAMBIO]]</f>
        <v>691932</v>
      </c>
      <c r="W38" s="868">
        <v>920</v>
      </c>
      <c r="X38" s="1411">
        <f>Tabla1[[#This Row],[TOTAL A LIQUIDAR]]/Tabla1[[#This Row],[TIPO DE CAMBIO]]</f>
        <v>752.1</v>
      </c>
      <c r="Y38" s="867">
        <v>11.1</v>
      </c>
      <c r="Z38" s="872" t="s">
        <v>391</v>
      </c>
      <c r="AA38" s="872"/>
    </row>
    <row r="39" spans="1:27" x14ac:dyDescent="0.25">
      <c r="A39" s="879"/>
      <c r="B39" s="873"/>
      <c r="C39" s="887" t="s">
        <v>403</v>
      </c>
      <c r="D39" s="866" t="s">
        <v>404</v>
      </c>
      <c r="E39" s="866" t="s">
        <v>377</v>
      </c>
      <c r="F39" s="866">
        <v>228</v>
      </c>
      <c r="G39" s="866"/>
      <c r="H39" s="874"/>
      <c r="I39" s="874"/>
      <c r="J39" s="933">
        <f>Tabla1[[#This Row],[KG/HA (REND)]]*Tabla1[[#This Row],[HAS]]</f>
        <v>22.8</v>
      </c>
      <c r="K39" s="877">
        <v>0.1</v>
      </c>
      <c r="L39" s="868"/>
      <c r="M39" s="888">
        <v>278</v>
      </c>
      <c r="N39" s="861">
        <f>Tabla1[[#This Row],[KG NETOS TOT]]*Tabla1[[#This Row],[PRECIO UNITARIO USD/TN]]</f>
        <v>6338.4000000000005</v>
      </c>
      <c r="O39" s="866"/>
      <c r="P39" s="861"/>
      <c r="Q39" s="861">
        <f>SUM(Tabla1[[#This Row],[SUBTOTAL]:[IVA 21]])</f>
        <v>6338.4000000000005</v>
      </c>
      <c r="R39" s="866"/>
      <c r="S39" s="866"/>
      <c r="T39" s="866"/>
      <c r="U39" s="866"/>
      <c r="V39" s="875">
        <f>SUM(Tabla1[[#This Row],[TOTAL*]:[IVA RG 2300/2007]])*Tabla1[[#This Row],[TIPO DE CAMBIO]]</f>
        <v>5831328.0000000009</v>
      </c>
      <c r="W39" s="868">
        <v>920</v>
      </c>
      <c r="X39" s="1411">
        <f>Tabla1[[#This Row],[TOTAL A LIQUIDAR]]/Tabla1[[#This Row],[TIPO DE CAMBIO]]</f>
        <v>6338.4000000000015</v>
      </c>
      <c r="Y39" s="867">
        <v>27.800000000000004</v>
      </c>
      <c r="Z39" s="872" t="s">
        <v>181</v>
      </c>
      <c r="AA39" s="872"/>
    </row>
    <row r="40" spans="1:27" x14ac:dyDescent="0.25">
      <c r="A40" s="879"/>
      <c r="B40" s="873"/>
      <c r="C40" s="887" t="s">
        <v>405</v>
      </c>
      <c r="D40" s="866" t="s">
        <v>406</v>
      </c>
      <c r="E40" s="866" t="s">
        <v>377</v>
      </c>
      <c r="F40" s="866">
        <v>228</v>
      </c>
      <c r="G40" s="866"/>
      <c r="H40" s="874"/>
      <c r="I40" s="874"/>
      <c r="J40" s="933">
        <f>Tabla1[[#This Row],[KG/HA (REND)]]*Tabla1[[#This Row],[HAS]]</f>
        <v>58.14</v>
      </c>
      <c r="K40" s="877">
        <v>0.255</v>
      </c>
      <c r="L40" s="868"/>
      <c r="M40" s="888">
        <v>26.43</v>
      </c>
      <c r="N40" s="861">
        <f>Tabla1[[#This Row],[KG NETOS TOT]]*Tabla1[[#This Row],[PRECIO UNITARIO USD/TN]]</f>
        <v>1536.6402</v>
      </c>
      <c r="O40" s="866"/>
      <c r="P40" s="861"/>
      <c r="Q40" s="861">
        <f>SUM(Tabla1[[#This Row],[SUBTOTAL]:[IVA 21]])</f>
        <v>1536.6402</v>
      </c>
      <c r="R40" s="866"/>
      <c r="S40" s="866"/>
      <c r="T40" s="866"/>
      <c r="U40" s="866"/>
      <c r="V40" s="875">
        <f>SUM(Tabla1[[#This Row],[TOTAL*]:[IVA RG 2300/2007]])*Tabla1[[#This Row],[TIPO DE CAMBIO]]</f>
        <v>1413708.9839999999</v>
      </c>
      <c r="W40" s="868">
        <v>920</v>
      </c>
      <c r="X40" s="1411">
        <f>Tabla1[[#This Row],[TOTAL A LIQUIDAR]]/Tabla1[[#This Row],[TIPO DE CAMBIO]]</f>
        <v>1536.6401999999998</v>
      </c>
      <c r="Y40" s="867">
        <v>6.7396500000000001</v>
      </c>
      <c r="Z40" s="872" t="s">
        <v>181</v>
      </c>
      <c r="AA40" s="872"/>
    </row>
    <row r="41" spans="1:27" x14ac:dyDescent="0.25">
      <c r="A41" s="879"/>
      <c r="B41" s="873"/>
      <c r="C41" s="887"/>
      <c r="D41" s="866"/>
      <c r="E41" s="866"/>
      <c r="F41" s="866"/>
      <c r="G41" s="866"/>
      <c r="H41" s="874"/>
      <c r="I41" s="874"/>
      <c r="J41" s="866"/>
      <c r="K41" s="877"/>
      <c r="L41" s="868"/>
      <c r="M41" s="888"/>
      <c r="N41" s="861"/>
      <c r="O41" s="866"/>
      <c r="P41" s="861"/>
      <c r="Q41" s="861"/>
      <c r="R41" s="866"/>
      <c r="S41" s="866"/>
      <c r="T41" s="866"/>
      <c r="U41" s="866"/>
      <c r="V41" s="875"/>
      <c r="W41" s="868"/>
      <c r="X41" s="1411"/>
      <c r="Y41" s="867"/>
      <c r="Z41" s="872"/>
      <c r="AA41" s="872"/>
    </row>
    <row r="42" spans="1:27" x14ac:dyDescent="0.25">
      <c r="A42" s="914"/>
      <c r="B42" s="908"/>
      <c r="C42" s="913" t="s">
        <v>154</v>
      </c>
      <c r="D42" s="910"/>
      <c r="E42" s="910"/>
      <c r="F42" s="911"/>
      <c r="G42" s="911"/>
      <c r="H42" s="911"/>
      <c r="I42" s="911"/>
      <c r="J42" s="918"/>
      <c r="K42" s="918"/>
      <c r="L42" s="919"/>
      <c r="M42" s="911"/>
      <c r="N42" s="911"/>
      <c r="O42" s="911"/>
      <c r="P42" s="911"/>
      <c r="Q42" s="917">
        <f t="shared" ref="Q42:U42" si="19">SUM(Q44:Q47)</f>
        <v>1569778.47</v>
      </c>
      <c r="R42" s="917">
        <f t="shared" si="19"/>
        <v>0</v>
      </c>
      <c r="S42" s="917">
        <f t="shared" si="19"/>
        <v>0</v>
      </c>
      <c r="T42" s="917">
        <f t="shared" si="19"/>
        <v>0</v>
      </c>
      <c r="U42" s="917">
        <f t="shared" si="19"/>
        <v>0</v>
      </c>
      <c r="V42" s="917">
        <f>SUM(V43:V47)</f>
        <v>12915320.419999998</v>
      </c>
      <c r="W42" s="915"/>
      <c r="X42" s="1415">
        <f>SUM(X43:X47)</f>
        <v>13917.375264147688</v>
      </c>
      <c r="Y42" s="915">
        <f>SUM(Y44:Y47)</f>
        <v>26.095106211936848</v>
      </c>
      <c r="Z42" s="916"/>
      <c r="AA42" s="916"/>
    </row>
    <row r="43" spans="1:27" x14ac:dyDescent="0.25">
      <c r="A43" s="1128"/>
      <c r="B43" s="873"/>
      <c r="C43" s="1447"/>
      <c r="D43" s="886"/>
      <c r="E43" s="886"/>
      <c r="F43" s="874"/>
      <c r="G43" s="874"/>
      <c r="H43" s="874"/>
      <c r="I43" s="874"/>
      <c r="J43" s="903"/>
      <c r="K43" s="903"/>
      <c r="L43" s="901"/>
      <c r="M43" s="874"/>
      <c r="N43" s="874"/>
      <c r="O43" s="874"/>
      <c r="P43" s="874"/>
      <c r="Q43" s="928"/>
      <c r="R43" s="928"/>
      <c r="S43" s="928"/>
      <c r="T43" s="928"/>
      <c r="U43" s="928"/>
      <c r="V43" s="928">
        <v>7137072.2599999988</v>
      </c>
      <c r="W43" s="928">
        <v>920</v>
      </c>
      <c r="X43" s="1411">
        <f>Tabla1[[#This Row],[TOTAL A LIQUIDAR]]/Tabla1[[#This Row],[TIPO DE CAMBIO]]</f>
        <v>7757.6872391304332</v>
      </c>
      <c r="Y43" s="1448"/>
      <c r="Z43" s="1130"/>
      <c r="AA43" s="1130"/>
    </row>
    <row r="44" spans="1:27" x14ac:dyDescent="0.25">
      <c r="A44" s="1290"/>
      <c r="B44" s="1291"/>
      <c r="C44" s="1292"/>
      <c r="D44" s="1293" t="s">
        <v>407</v>
      </c>
      <c r="E44" s="1293" t="s">
        <v>377</v>
      </c>
      <c r="F44" s="1293">
        <v>260</v>
      </c>
      <c r="G44" s="1293"/>
      <c r="H44" s="1294"/>
      <c r="I44" s="1294"/>
      <c r="J44" s="1295"/>
      <c r="K44" s="1295"/>
      <c r="L44" s="1296">
        <v>5463.9</v>
      </c>
      <c r="M44" s="1297">
        <f>Tabla1[[#This Row],[$/TN]]/920</f>
        <v>5.9390217391304345</v>
      </c>
      <c r="N44" s="1297">
        <f>Tabla1[[#This Row],[$/TN]]*Tabla1[[#This Row],[HAS]]</f>
        <v>1420614</v>
      </c>
      <c r="O44" s="1297">
        <f>Tabla1[[#This Row],[SUBTOTAL]]*0.105</f>
        <v>149164.47</v>
      </c>
      <c r="P44" s="1293"/>
      <c r="Q44" s="1298">
        <f>Tabla1[[#This Row],[SUBTOTAL]]+Tabla1[[#This Row],[IVA 10,5]]</f>
        <v>1569778.47</v>
      </c>
      <c r="R44" s="1298"/>
      <c r="S44" s="1298"/>
      <c r="T44" s="1298"/>
      <c r="U44" s="1298"/>
      <c r="V44" s="1298">
        <f>Tabla1[[#This Row],[SUBTOTAL]]+Tabla1[[#This Row],[IVA 10,5]]</f>
        <v>1569778.47</v>
      </c>
      <c r="W44" s="1296">
        <v>920</v>
      </c>
      <c r="X44" s="1444">
        <f>Tabla1[[#This Row],[TOTAL A LIQUIDAR]]/Tabla1[[#This Row],[TIPO DE CAMBIO]]</f>
        <v>1706.2809456521738</v>
      </c>
      <c r="Y44" s="1381">
        <f>Tabla1[[#This Row],[TOTAL USD]]/Tabla1[[#This Row],[HAS]]</f>
        <v>6.5626190217391303</v>
      </c>
      <c r="Z44" s="1299" t="s">
        <v>408</v>
      </c>
      <c r="AA44" s="1299" t="s">
        <v>409</v>
      </c>
    </row>
    <row r="45" spans="1:27" x14ac:dyDescent="0.25">
      <c r="A45" s="1290">
        <v>45530</v>
      </c>
      <c r="B45" s="1291"/>
      <c r="C45" s="1292"/>
      <c r="D45" s="1293" t="s">
        <v>407</v>
      </c>
      <c r="E45" s="1293" t="s">
        <v>377</v>
      </c>
      <c r="F45" s="1293">
        <v>228</v>
      </c>
      <c r="G45" s="1293"/>
      <c r="H45" s="1294"/>
      <c r="I45" s="1294"/>
      <c r="J45" s="1295"/>
      <c r="K45" s="1295"/>
      <c r="L45" s="1296"/>
      <c r="M45" s="1297"/>
      <c r="N45" s="1297"/>
      <c r="O45" s="1297"/>
      <c r="P45" s="1293"/>
      <c r="Q45" s="1298"/>
      <c r="R45" s="1298"/>
      <c r="S45" s="1298"/>
      <c r="T45" s="1298"/>
      <c r="U45" s="1298"/>
      <c r="V45" s="1298">
        <v>1545903.84</v>
      </c>
      <c r="W45" s="1296">
        <v>945</v>
      </c>
      <c r="X45" s="1444">
        <f>Tabla1[[#This Row],[TOTAL A LIQUIDAR]]/Tabla1[[#This Row],[TIPO DE CAMBIO]]</f>
        <v>1635.8770793650795</v>
      </c>
      <c r="Y45" s="1381">
        <f>Tabla1[[#This Row],[TOTAL USD]]/Tabla1[[#This Row],[HAS]]</f>
        <v>7.1748994708994713</v>
      </c>
      <c r="Z45" s="1299" t="s">
        <v>408</v>
      </c>
      <c r="AA45" s="1299"/>
    </row>
    <row r="46" spans="1:27" x14ac:dyDescent="0.25">
      <c r="A46" s="879"/>
      <c r="B46" s="873"/>
      <c r="C46" s="898"/>
      <c r="D46" s="866"/>
      <c r="E46" s="866"/>
      <c r="F46" s="866"/>
      <c r="G46" s="866"/>
      <c r="H46" s="874"/>
      <c r="I46" s="874"/>
      <c r="J46" s="877"/>
      <c r="K46" s="877"/>
      <c r="L46" s="868"/>
      <c r="M46" s="869"/>
      <c r="N46" s="869"/>
      <c r="O46" s="869"/>
      <c r="P46" s="866"/>
      <c r="Q46" s="875"/>
      <c r="R46" s="875"/>
      <c r="S46" s="875"/>
      <c r="T46" s="875"/>
      <c r="U46" s="875"/>
      <c r="V46" s="875"/>
      <c r="W46" s="868"/>
      <c r="X46" s="1444"/>
      <c r="Y46" s="929"/>
      <c r="Z46" s="872"/>
      <c r="AA46" s="872"/>
    </row>
    <row r="47" spans="1:27" x14ac:dyDescent="0.25">
      <c r="A47" s="879"/>
      <c r="B47" s="873"/>
      <c r="C47" s="898"/>
      <c r="D47" s="866" t="s">
        <v>410</v>
      </c>
      <c r="E47" s="866" t="s">
        <v>377</v>
      </c>
      <c r="F47" s="866">
        <v>228</v>
      </c>
      <c r="G47" s="866"/>
      <c r="H47" s="874"/>
      <c r="I47" s="874"/>
      <c r="J47" s="877"/>
      <c r="K47" s="877"/>
      <c r="L47" s="868"/>
      <c r="M47" s="866"/>
      <c r="N47" s="866"/>
      <c r="O47" s="866"/>
      <c r="P47" s="866"/>
      <c r="Q47" s="875"/>
      <c r="R47" s="875"/>
      <c r="S47" s="875"/>
      <c r="T47" s="875"/>
      <c r="U47" s="875"/>
      <c r="V47" s="875">
        <v>2662565.85</v>
      </c>
      <c r="W47" s="868">
        <v>945</v>
      </c>
      <c r="X47" s="1444">
        <v>2817.53</v>
      </c>
      <c r="Y47" s="867">
        <f>Tabla1[[#This Row],[TOTAL USD]]/Tabla1[[#This Row],[HAS]]</f>
        <v>12.357587719298246</v>
      </c>
      <c r="Z47" s="872" t="s">
        <v>411</v>
      </c>
      <c r="AA47" s="872" t="s">
        <v>412</v>
      </c>
    </row>
    <row r="48" spans="1:27" x14ac:dyDescent="0.25">
      <c r="A48" s="879"/>
      <c r="B48" s="873"/>
      <c r="C48" s="898"/>
      <c r="D48" s="866"/>
      <c r="E48" s="866"/>
      <c r="F48" s="866"/>
      <c r="G48" s="866"/>
      <c r="H48" s="874"/>
      <c r="I48" s="874"/>
      <c r="J48" s="877"/>
      <c r="K48" s="877"/>
      <c r="L48" s="868"/>
      <c r="M48" s="866"/>
      <c r="N48" s="866"/>
      <c r="O48" s="866"/>
      <c r="P48" s="866"/>
      <c r="Q48" s="875"/>
      <c r="R48" s="875"/>
      <c r="S48" s="875"/>
      <c r="T48" s="875"/>
      <c r="U48" s="875"/>
      <c r="V48" s="875"/>
      <c r="W48" s="868"/>
      <c r="X48" s="1411"/>
      <c r="Y48" s="1382"/>
      <c r="Z48" s="872"/>
      <c r="AA48" s="838"/>
    </row>
    <row r="49" spans="1:27" x14ac:dyDescent="0.25">
      <c r="A49" s="914"/>
      <c r="B49" s="908"/>
      <c r="C49" s="909" t="s">
        <v>65</v>
      </c>
      <c r="D49" s="911"/>
      <c r="E49" s="911"/>
      <c r="F49" s="911"/>
      <c r="G49" s="911"/>
      <c r="H49" s="920"/>
      <c r="I49" s="920"/>
      <c r="J49" s="921"/>
      <c r="K49" s="921"/>
      <c r="L49" s="919"/>
      <c r="M49" s="911"/>
      <c r="N49" s="911"/>
      <c r="O49" s="911"/>
      <c r="P49" s="911"/>
      <c r="Q49" s="911"/>
      <c r="R49" s="911"/>
      <c r="S49" s="911"/>
      <c r="T49" s="911"/>
      <c r="U49" s="911"/>
      <c r="V49" s="922">
        <f>SUM(V50:V51)</f>
        <v>15797400</v>
      </c>
      <c r="W49" s="919"/>
      <c r="X49" s="1415">
        <f>SUM(X50)</f>
        <v>17171.08695652174</v>
      </c>
      <c r="Y49" s="1383">
        <f>SUM(Y50)</f>
        <v>73.695652173913047</v>
      </c>
      <c r="Z49" s="916"/>
      <c r="AA49" s="916"/>
    </row>
    <row r="50" spans="1:27" x14ac:dyDescent="0.25">
      <c r="A50" s="1223"/>
      <c r="B50" s="1157"/>
      <c r="C50" s="962"/>
      <c r="D50" s="964" t="s">
        <v>413</v>
      </c>
      <c r="E50" s="964" t="s">
        <v>377</v>
      </c>
      <c r="F50" s="964">
        <v>233</v>
      </c>
      <c r="G50" s="964"/>
      <c r="H50" s="1307"/>
      <c r="I50" s="1307"/>
      <c r="J50" s="1307"/>
      <c r="K50" s="1307"/>
      <c r="L50" s="967"/>
      <c r="M50" s="964"/>
      <c r="N50" s="964"/>
      <c r="O50" s="964"/>
      <c r="P50" s="964"/>
      <c r="Q50" s="967"/>
      <c r="R50" s="964"/>
      <c r="S50" s="964"/>
      <c r="T50" s="964"/>
      <c r="U50" s="964"/>
      <c r="V50" s="967">
        <v>15797400</v>
      </c>
      <c r="W50" s="967">
        <v>920</v>
      </c>
      <c r="X50" s="1444">
        <f>V50/W50</f>
        <v>17171.08695652174</v>
      </c>
      <c r="Y50" s="1384">
        <f>Tabla1[[#This Row],[TOTAL USD]]/Tabla1[[#This Row],[HAS]]</f>
        <v>73.695652173913047</v>
      </c>
      <c r="Z50" s="1225" t="s">
        <v>413</v>
      </c>
      <c r="AA50" s="1225"/>
    </row>
    <row r="51" spans="1:27" x14ac:dyDescent="0.25">
      <c r="A51" s="879"/>
      <c r="B51" s="873"/>
      <c r="C51" s="864"/>
      <c r="D51" s="866"/>
      <c r="E51" s="866"/>
      <c r="F51" s="866"/>
      <c r="G51" s="866"/>
      <c r="H51" s="885"/>
      <c r="I51" s="885"/>
      <c r="J51" s="885"/>
      <c r="K51" s="885"/>
      <c r="L51" s="868"/>
      <c r="M51" s="866"/>
      <c r="N51" s="866"/>
      <c r="O51" s="866"/>
      <c r="P51" s="866"/>
      <c r="Q51" s="868"/>
      <c r="R51" s="866"/>
      <c r="S51" s="866"/>
      <c r="T51" s="866"/>
      <c r="U51" s="866"/>
      <c r="V51" s="868"/>
      <c r="W51" s="868"/>
      <c r="X51" s="1411"/>
      <c r="Y51" s="1385"/>
      <c r="Z51" s="872"/>
      <c r="AA51" s="872"/>
    </row>
    <row r="52" spans="1:27" x14ac:dyDescent="0.25">
      <c r="A52" s="914"/>
      <c r="B52" s="908"/>
      <c r="C52" s="909" t="s">
        <v>94</v>
      </c>
      <c r="D52" s="911"/>
      <c r="E52" s="911"/>
      <c r="F52" s="911"/>
      <c r="G52" s="911"/>
      <c r="H52" s="920"/>
      <c r="I52" s="920"/>
      <c r="J52" s="1120">
        <f>SUM(J53:J74)</f>
        <v>619841</v>
      </c>
      <c r="K52" s="917">
        <f>SUM(K53:K74)</f>
        <v>0</v>
      </c>
      <c r="L52" s="917">
        <f>SUM(L53:L74)</f>
        <v>793000</v>
      </c>
      <c r="M52" s="917">
        <f>SUM(M53:M74)</f>
        <v>0</v>
      </c>
      <c r="N52" s="917">
        <f>SUM(N53:N74)</f>
        <v>23409280</v>
      </c>
      <c r="O52" s="922">
        <f t="shared" ref="O52:V52" si="20">SUM(O53:O73)</f>
        <v>0</v>
      </c>
      <c r="P52" s="922">
        <f t="shared" si="20"/>
        <v>4672378.1999999993</v>
      </c>
      <c r="Q52" s="922">
        <f t="shared" si="20"/>
        <v>26921798.200000003</v>
      </c>
      <c r="R52" s="922">
        <f t="shared" si="20"/>
        <v>0</v>
      </c>
      <c r="S52" s="922">
        <f t="shared" si="20"/>
        <v>0</v>
      </c>
      <c r="T52" s="922">
        <f t="shared" si="20"/>
        <v>0</v>
      </c>
      <c r="U52" s="922">
        <f t="shared" si="20"/>
        <v>0</v>
      </c>
      <c r="V52" s="922">
        <f t="shared" si="20"/>
        <v>26944897.100000005</v>
      </c>
      <c r="W52" s="919"/>
      <c r="X52" s="1415">
        <f>SUM(X53:X74)</f>
        <v>30448.151062567475</v>
      </c>
      <c r="Y52" s="1383">
        <f>SUM(Y53:Y74)</f>
        <v>132.37057318173152</v>
      </c>
      <c r="Z52" s="916"/>
      <c r="AA52" s="916"/>
    </row>
    <row r="53" spans="1:27" x14ac:dyDescent="0.25">
      <c r="A53" s="879">
        <v>45391</v>
      </c>
      <c r="B53" s="873"/>
      <c r="C53" s="864"/>
      <c r="D53" s="866" t="s">
        <v>414</v>
      </c>
      <c r="E53" s="866" t="s">
        <v>377</v>
      </c>
      <c r="F53" s="866">
        <v>260</v>
      </c>
      <c r="G53" s="866"/>
      <c r="H53" s="885"/>
      <c r="I53" s="885"/>
      <c r="J53" s="893">
        <v>1</v>
      </c>
      <c r="K53" s="893"/>
      <c r="L53" s="868"/>
      <c r="M53" s="866"/>
      <c r="N53" s="866"/>
      <c r="O53" s="866"/>
      <c r="P53" s="866"/>
      <c r="Q53" s="866"/>
      <c r="R53" s="866"/>
      <c r="S53" s="866"/>
      <c r="T53" s="866"/>
      <c r="U53" s="866"/>
      <c r="V53" s="868">
        <v>23098.9</v>
      </c>
      <c r="W53" s="868">
        <v>913</v>
      </c>
      <c r="X53" s="1416">
        <v>25.3</v>
      </c>
      <c r="Y53" s="1386">
        <f t="shared" ref="Y53:Y68" si="21">X53/F53</f>
        <v>9.7307692307692317E-2</v>
      </c>
      <c r="Z53" s="872" t="s">
        <v>236</v>
      </c>
      <c r="AA53" s="872"/>
    </row>
    <row r="54" spans="1:27" x14ac:dyDescent="0.25">
      <c r="A54" s="1217">
        <v>45392</v>
      </c>
      <c r="B54" s="1157"/>
      <c r="C54" s="962"/>
      <c r="D54" s="1212" t="s">
        <v>415</v>
      </c>
      <c r="E54" s="1212" t="s">
        <v>377</v>
      </c>
      <c r="F54" s="1212">
        <v>230</v>
      </c>
      <c r="G54" s="1212"/>
      <c r="H54" s="1212"/>
      <c r="I54" s="1212"/>
      <c r="J54" s="1212">
        <v>29680</v>
      </c>
      <c r="K54" s="1212"/>
      <c r="L54" s="1220">
        <v>40000</v>
      </c>
      <c r="M54" s="1212"/>
      <c r="N54" s="1221">
        <f>Tabla1[[#This Row],[$/TN]]*J54/1000</f>
        <v>1187200</v>
      </c>
      <c r="O54" s="1212"/>
      <c r="P54" s="1221">
        <f>Tabla1[[#This Row],[SUBTOTAL]]*0.21</f>
        <v>249312</v>
      </c>
      <c r="Q54" s="1221">
        <f t="shared" ref="Q54:Q58" si="22">N54+O54+P54</f>
        <v>1436512</v>
      </c>
      <c r="R54" s="1212"/>
      <c r="S54" s="1212"/>
      <c r="T54" s="1212"/>
      <c r="U54" s="1212"/>
      <c r="V54" s="1220">
        <f>+Tabla1[[#This Row],[TOTAL*]]-Tabla1[[#This Row],[DEDUCCIONES]]-Tabla1[[#This Row],[COMISIONES]]-Tabla1[[#This Row],[RETENCION IVA]]-Tabla1[[#This Row],[IVA RG 2300/2007]]</f>
        <v>1436512</v>
      </c>
      <c r="W54" s="1220">
        <v>913</v>
      </c>
      <c r="X54" s="1417">
        <f>Tabla1[[#This Row],[TOTAL A LIQUIDAR]]/W54</f>
        <v>1573.3975903614457</v>
      </c>
      <c r="Y54" s="1387">
        <f t="shared" si="21"/>
        <v>6.8408590885280249</v>
      </c>
      <c r="Z54" s="1219" t="s">
        <v>416</v>
      </c>
      <c r="AA54" s="1219" t="s">
        <v>417</v>
      </c>
    </row>
    <row r="55" spans="1:27" x14ac:dyDescent="0.25">
      <c r="A55" s="1217">
        <v>45392</v>
      </c>
      <c r="B55" s="1157"/>
      <c r="C55" s="962"/>
      <c r="D55" s="1212" t="s">
        <v>418</v>
      </c>
      <c r="E55" s="1212" t="s">
        <v>377</v>
      </c>
      <c r="F55" s="1212">
        <v>230</v>
      </c>
      <c r="G55" s="1212"/>
      <c r="H55" s="1212">
        <v>15440</v>
      </c>
      <c r="I55" s="1212">
        <v>45360</v>
      </c>
      <c r="J55" s="1212">
        <v>30040</v>
      </c>
      <c r="K55" s="1212"/>
      <c r="L55" s="1220">
        <v>40000</v>
      </c>
      <c r="M55" s="1212"/>
      <c r="N55" s="1221">
        <f>Tabla1[[#This Row],[$/TN]]*J55/1000</f>
        <v>1201600</v>
      </c>
      <c r="O55" s="1212"/>
      <c r="P55" s="1221">
        <f>Tabla1[[#This Row],[SUBTOTAL]]*0.21</f>
        <v>252336</v>
      </c>
      <c r="Q55" s="1221">
        <f t="shared" si="22"/>
        <v>1453936</v>
      </c>
      <c r="R55" s="1212"/>
      <c r="S55" s="1212"/>
      <c r="T55" s="1212"/>
      <c r="U55" s="1212"/>
      <c r="V55" s="1220">
        <f>+Tabla1[[#This Row],[TOTAL*]]-Tabla1[[#This Row],[DEDUCCIONES]]-Tabla1[[#This Row],[COMISIONES]]-Tabla1[[#This Row],[RETENCION IVA]]-Tabla1[[#This Row],[IVA RG 2300/2007]]</f>
        <v>1453936</v>
      </c>
      <c r="W55" s="1220">
        <v>913</v>
      </c>
      <c r="X55" s="1417">
        <f>Tabla1[[#This Row],[TOTAL A LIQUIDAR]]/W55</f>
        <v>1592.4819277108434</v>
      </c>
      <c r="Y55" s="1387">
        <f t="shared" si="21"/>
        <v>6.9238344683080149</v>
      </c>
      <c r="Z55" s="1219" t="s">
        <v>419</v>
      </c>
      <c r="AA55" s="1219" t="s">
        <v>420</v>
      </c>
    </row>
    <row r="56" spans="1:27" x14ac:dyDescent="0.25">
      <c r="A56" s="1217">
        <v>45414</v>
      </c>
      <c r="B56" s="1157"/>
      <c r="C56" s="962"/>
      <c r="D56" s="1212" t="s">
        <v>421</v>
      </c>
      <c r="E56" s="1212" t="s">
        <v>377</v>
      </c>
      <c r="F56" s="1212">
        <v>230</v>
      </c>
      <c r="G56" s="1212">
        <v>550</v>
      </c>
      <c r="H56" s="1212">
        <v>15700</v>
      </c>
      <c r="I56" s="1212">
        <v>44920</v>
      </c>
      <c r="J56" s="1212">
        <v>29220</v>
      </c>
      <c r="K56" s="1212"/>
      <c r="L56" s="1220">
        <v>39000</v>
      </c>
      <c r="M56" s="1222"/>
      <c r="N56" s="1221">
        <f>Tabla1[[#This Row],[$/TN]]*J56/1000</f>
        <v>1139580</v>
      </c>
      <c r="O56" s="1212"/>
      <c r="P56" s="1221">
        <f>Tabla1[[#This Row],[SUBTOTAL]]*0.21</f>
        <v>239311.8</v>
      </c>
      <c r="Q56" s="1221">
        <f t="shared" si="22"/>
        <v>1378891.8</v>
      </c>
      <c r="R56" s="1212"/>
      <c r="S56" s="1212"/>
      <c r="T56" s="1212"/>
      <c r="U56" s="1212"/>
      <c r="V56" s="1220">
        <f>+Tabla1[[#This Row],[TOTAL*]]-Tabla1[[#This Row],[DEDUCCIONES]]-Tabla1[[#This Row],[COMISIONES]]-Tabla1[[#This Row],[RETENCION IVA]]-Tabla1[[#This Row],[IVA RG 2300/2007]]</f>
        <v>1378891.8</v>
      </c>
      <c r="W56" s="1220">
        <v>913</v>
      </c>
      <c r="X56" s="1417">
        <f>Tabla1[[#This Row],[TOTAL A LIQUIDAR]]/W56</f>
        <v>1510.2867469879518</v>
      </c>
      <c r="Y56" s="1387">
        <f t="shared" si="21"/>
        <v>6.5664641173389207</v>
      </c>
      <c r="Z56" s="1219" t="s">
        <v>422</v>
      </c>
      <c r="AA56" s="1219" t="s">
        <v>423</v>
      </c>
    </row>
    <row r="57" spans="1:27" x14ac:dyDescent="0.25">
      <c r="A57" s="1217">
        <v>45463</v>
      </c>
      <c r="B57" s="1157"/>
      <c r="C57" s="962"/>
      <c r="D57" s="1212" t="s">
        <v>424</v>
      </c>
      <c r="E57" s="1212" t="s">
        <v>377</v>
      </c>
      <c r="F57" s="1212">
        <v>230</v>
      </c>
      <c r="G57" s="1212"/>
      <c r="H57" s="1212">
        <v>14340</v>
      </c>
      <c r="I57" s="1212">
        <v>44840</v>
      </c>
      <c r="J57" s="1212">
        <v>30500</v>
      </c>
      <c r="K57" s="1212"/>
      <c r="L57" s="1220">
        <v>39000</v>
      </c>
      <c r="M57" s="1222"/>
      <c r="N57" s="1221">
        <f>Tabla1[[#This Row],[$/TN]]*J57/1000</f>
        <v>1189500</v>
      </c>
      <c r="O57" s="1212"/>
      <c r="P57" s="1221">
        <f>N57*0.21</f>
        <v>249795</v>
      </c>
      <c r="Q57" s="1221">
        <f t="shared" si="22"/>
        <v>1439295</v>
      </c>
      <c r="R57" s="1221"/>
      <c r="S57" s="1221"/>
      <c r="T57" s="1221"/>
      <c r="U57" s="1221"/>
      <c r="V57" s="1220">
        <f>+Tabla1[[#This Row],[TOTAL*]]-Tabla1[[#This Row],[DEDUCCIONES]]-Tabla1[[#This Row],[COMISIONES]]-Tabla1[[#This Row],[RETENCION IVA]]-Tabla1[[#This Row],[IVA RG 2300/2007]]</f>
        <v>1439295</v>
      </c>
      <c r="W57" s="1220">
        <v>913</v>
      </c>
      <c r="X57" s="1417">
        <f>Tabla1[[#This Row],[TOTAL A LIQUIDAR]]/W57</f>
        <v>1576.4457831325301</v>
      </c>
      <c r="Y57" s="1222">
        <f t="shared" si="21"/>
        <v>6.8541121005762182</v>
      </c>
      <c r="Z57" s="1219" t="s">
        <v>425</v>
      </c>
      <c r="AA57" s="1219" t="s">
        <v>426</v>
      </c>
    </row>
    <row r="58" spans="1:27" x14ac:dyDescent="0.25">
      <c r="A58" s="1217">
        <v>45463</v>
      </c>
      <c r="B58" s="1157"/>
      <c r="C58" s="962"/>
      <c r="D58" s="1211" t="s">
        <v>427</v>
      </c>
      <c r="E58" s="1211" t="s">
        <v>377</v>
      </c>
      <c r="F58" s="1211">
        <v>230</v>
      </c>
      <c r="G58" s="1211">
        <v>400</v>
      </c>
      <c r="H58" s="1212">
        <v>15216</v>
      </c>
      <c r="I58" s="1211">
        <f>Tabla1[[#This Row],[KG NETOS TOT]]+Tabla1[[#This Row],[KG TARA]]</f>
        <v>45496</v>
      </c>
      <c r="J58" s="1211">
        <v>30280</v>
      </c>
      <c r="K58" s="1211"/>
      <c r="L58" s="1213">
        <v>37000</v>
      </c>
      <c r="M58" s="1211"/>
      <c r="N58" s="1214">
        <f>Tabla1[[#This Row],[$/TN]]*J58/1000</f>
        <v>1120360</v>
      </c>
      <c r="O58" s="1212"/>
      <c r="P58" s="1221">
        <f>N58*0.21</f>
        <v>235275.6</v>
      </c>
      <c r="Q58" s="1221">
        <f t="shared" si="22"/>
        <v>1355635.6</v>
      </c>
      <c r="R58" s="1221"/>
      <c r="S58" s="1221"/>
      <c r="T58" s="1221"/>
      <c r="U58" s="1221"/>
      <c r="V58" s="1220">
        <f>+Tabla1[[#This Row],[TOTAL*]]-Tabla1[[#This Row],[DEDUCCIONES]]-Tabla1[[#This Row],[COMISIONES]]-Tabla1[[#This Row],[RETENCION IVA]]-Tabla1[[#This Row],[IVA RG 2300/2007]]</f>
        <v>1355635.6</v>
      </c>
      <c r="W58" s="1220">
        <v>913</v>
      </c>
      <c r="X58" s="1417">
        <f>Tabla1[[#This Row],[TOTAL A LIQUIDAR]]/W58</f>
        <v>1484.8144578313254</v>
      </c>
      <c r="Y58" s="1222">
        <f t="shared" si="21"/>
        <v>6.4557150340492413</v>
      </c>
      <c r="Z58" s="1219" t="s">
        <v>416</v>
      </c>
      <c r="AA58" s="1219" t="s">
        <v>428</v>
      </c>
    </row>
    <row r="59" spans="1:27" x14ac:dyDescent="0.25">
      <c r="A59" s="1217">
        <v>45463</v>
      </c>
      <c r="B59" s="1157"/>
      <c r="C59" s="962"/>
      <c r="D59" s="1211" t="s">
        <v>429</v>
      </c>
      <c r="E59" s="1211" t="s">
        <v>377</v>
      </c>
      <c r="F59" s="1211">
        <v>230</v>
      </c>
      <c r="G59" s="1211">
        <v>400</v>
      </c>
      <c r="H59" s="1212">
        <v>15216</v>
      </c>
      <c r="I59" s="1211">
        <f>Tabla1[[#This Row],[KG NETOS TOT]]+Tabla1[[#This Row],[KG TARA]]</f>
        <v>44816</v>
      </c>
      <c r="J59" s="1211">
        <v>29600</v>
      </c>
      <c r="K59" s="1211"/>
      <c r="L59" s="1213">
        <v>37000</v>
      </c>
      <c r="M59" s="1211"/>
      <c r="N59" s="1214">
        <f>Tabla1[[#This Row],[$/TN]]*J59/1000</f>
        <v>1095200</v>
      </c>
      <c r="O59" s="1212"/>
      <c r="P59" s="1221">
        <f t="shared" ref="P59:P68" si="23">N59*0.21</f>
        <v>229992</v>
      </c>
      <c r="Q59" s="1221">
        <f t="shared" ref="Q59:Q68" si="24">N59+O59+P59</f>
        <v>1325192</v>
      </c>
      <c r="R59" s="1221"/>
      <c r="S59" s="1221"/>
      <c r="T59" s="1221"/>
      <c r="U59" s="1221"/>
      <c r="V59" s="1220">
        <f>+Tabla1[[#This Row],[TOTAL*]]-Tabla1[[#This Row],[DEDUCCIONES]]-Tabla1[[#This Row],[COMISIONES]]-Tabla1[[#This Row],[RETENCION IVA]]-Tabla1[[#This Row],[IVA RG 2300/2007]]</f>
        <v>1325192</v>
      </c>
      <c r="W59" s="1220">
        <v>913</v>
      </c>
      <c r="X59" s="1417">
        <f>Tabla1[[#This Row],[TOTAL A LIQUIDAR]]/W59</f>
        <v>1451.4698795180723</v>
      </c>
      <c r="Y59" s="1222">
        <f t="shared" si="21"/>
        <v>6.3107386066003146</v>
      </c>
      <c r="Z59" s="1219" t="s">
        <v>416</v>
      </c>
      <c r="AA59" s="1219" t="s">
        <v>428</v>
      </c>
    </row>
    <row r="60" spans="1:27" x14ac:dyDescent="0.25">
      <c r="A60" s="1217">
        <v>45463</v>
      </c>
      <c r="B60" s="1157"/>
      <c r="C60" s="962"/>
      <c r="D60" s="1211" t="s">
        <v>430</v>
      </c>
      <c r="E60" s="1211" t="s">
        <v>377</v>
      </c>
      <c r="F60" s="1211">
        <v>230</v>
      </c>
      <c r="G60" s="1211">
        <v>400</v>
      </c>
      <c r="H60" s="1212">
        <v>15216</v>
      </c>
      <c r="I60" s="1211">
        <f>Tabla1[[#This Row],[KG NETOS TOT]]+Tabla1[[#This Row],[KG TARA]]</f>
        <v>43176</v>
      </c>
      <c r="J60" s="1211">
        <v>27960</v>
      </c>
      <c r="K60" s="1211"/>
      <c r="L60" s="1213">
        <v>37000</v>
      </c>
      <c r="M60" s="1211"/>
      <c r="N60" s="1214">
        <f>Tabla1[[#This Row],[$/TN]]*J60/1000</f>
        <v>1034520</v>
      </c>
      <c r="O60" s="1212"/>
      <c r="P60" s="1221">
        <f t="shared" si="23"/>
        <v>217249.19999999998</v>
      </c>
      <c r="Q60" s="1221">
        <f t="shared" si="24"/>
        <v>1251769.2</v>
      </c>
      <c r="R60" s="1221"/>
      <c r="S60" s="1221"/>
      <c r="T60" s="1221"/>
      <c r="U60" s="1221"/>
      <c r="V60" s="1213">
        <f>+Tabla1[[#This Row],[TOTAL*]]-Tabla1[[#This Row],[DEDUCCIONES]]-Tabla1[[#This Row],[COMISIONES]]-Tabla1[[#This Row],[RETENCION IVA]]-Tabla1[[#This Row],[IVA RG 2300/2007]]</f>
        <v>1251769.2</v>
      </c>
      <c r="W60" s="1213">
        <v>913</v>
      </c>
      <c r="X60" s="1418">
        <f>Tabla1[[#This Row],[TOTAL A LIQUIDAR]]/W60</f>
        <v>1371.0506024096385</v>
      </c>
      <c r="Y60" s="1388">
        <f t="shared" si="21"/>
        <v>5.9610895756940803</v>
      </c>
      <c r="Z60" s="1219" t="s">
        <v>416</v>
      </c>
      <c r="AA60" s="1219" t="s">
        <v>428</v>
      </c>
    </row>
    <row r="61" spans="1:27" x14ac:dyDescent="0.25">
      <c r="A61" s="1217">
        <v>45502</v>
      </c>
      <c r="B61" s="1157"/>
      <c r="C61" s="962"/>
      <c r="D61" s="1211" t="s">
        <v>431</v>
      </c>
      <c r="E61" s="1211" t="s">
        <v>377</v>
      </c>
      <c r="F61" s="1211">
        <v>230</v>
      </c>
      <c r="G61" s="1211">
        <v>400</v>
      </c>
      <c r="H61" s="1212">
        <v>15216</v>
      </c>
      <c r="I61" s="1211">
        <f>Tabla1[[#This Row],[KG NETOS TOT]]+Tabla1[[#This Row],[KG TARA]]</f>
        <v>44416</v>
      </c>
      <c r="J61" s="1211">
        <v>29200</v>
      </c>
      <c r="K61" s="1211"/>
      <c r="L61" s="1213">
        <v>37000</v>
      </c>
      <c r="M61" s="1211"/>
      <c r="N61" s="1214">
        <f>Tabla1[[#This Row],[$/TN]]*J61/1000</f>
        <v>1080400</v>
      </c>
      <c r="O61" s="1218"/>
      <c r="P61" s="1221">
        <f t="shared" si="23"/>
        <v>226884</v>
      </c>
      <c r="Q61" s="1221">
        <f t="shared" si="24"/>
        <v>1307284</v>
      </c>
      <c r="R61" s="1218"/>
      <c r="S61" s="1218"/>
      <c r="T61" s="1218"/>
      <c r="U61" s="1218"/>
      <c r="V61" s="1213">
        <f>+Tabla1[[#This Row],[TOTAL*]]-Tabla1[[#This Row],[DEDUCCIONES]]-Tabla1[[#This Row],[COMISIONES]]-Tabla1[[#This Row],[RETENCION IVA]]-Tabla1[[#This Row],[IVA RG 2300/2007]]</f>
        <v>1307284</v>
      </c>
      <c r="W61" s="1215">
        <v>940</v>
      </c>
      <c r="X61" s="1418">
        <f>Tabla1[[#This Row],[TOTAL A LIQUIDAR]]/W61</f>
        <v>1390.7276595744681</v>
      </c>
      <c r="Y61" s="1388">
        <f t="shared" si="21"/>
        <v>6.0466419981498616</v>
      </c>
      <c r="Z61" s="1219" t="s">
        <v>416</v>
      </c>
      <c r="AA61" s="1219" t="s">
        <v>432</v>
      </c>
    </row>
    <row r="62" spans="1:27" x14ac:dyDescent="0.25">
      <c r="A62" s="1217">
        <v>45502</v>
      </c>
      <c r="B62" s="1157"/>
      <c r="C62" s="962"/>
      <c r="D62" s="1211" t="s">
        <v>433</v>
      </c>
      <c r="E62" s="1211" t="s">
        <v>377</v>
      </c>
      <c r="F62" s="1211">
        <v>230</v>
      </c>
      <c r="G62" s="1211">
        <v>400</v>
      </c>
      <c r="H62" s="1212">
        <v>15216</v>
      </c>
      <c r="I62" s="1211">
        <f>Tabla1[[#This Row],[KG NETOS TOT]]+Tabla1[[#This Row],[KG TARA]]</f>
        <v>45216</v>
      </c>
      <c r="J62" s="1211">
        <v>30000</v>
      </c>
      <c r="K62" s="1211"/>
      <c r="L62" s="1213">
        <v>37000</v>
      </c>
      <c r="M62" s="1211"/>
      <c r="N62" s="1214">
        <f>Tabla1[[#This Row],[$/TN]]*J62/1000</f>
        <v>1110000</v>
      </c>
      <c r="O62" s="1218"/>
      <c r="P62" s="1221">
        <f t="shared" si="23"/>
        <v>233100</v>
      </c>
      <c r="Q62" s="1221">
        <f t="shared" si="24"/>
        <v>1343100</v>
      </c>
      <c r="R62" s="1218"/>
      <c r="S62" s="1218"/>
      <c r="T62" s="1218"/>
      <c r="U62" s="1218"/>
      <c r="V62" s="1213">
        <f>+Tabla1[[#This Row],[TOTAL*]]-Tabla1[[#This Row],[DEDUCCIONES]]-Tabla1[[#This Row],[COMISIONES]]-Tabla1[[#This Row],[RETENCION IVA]]-Tabla1[[#This Row],[IVA RG 2300/2007]]</f>
        <v>1343100</v>
      </c>
      <c r="W62" s="1215">
        <v>940</v>
      </c>
      <c r="X62" s="1418">
        <f>Tabla1[[#This Row],[TOTAL A LIQUIDAR]]/W62</f>
        <v>1428.8297872340424</v>
      </c>
      <c r="Y62" s="1388">
        <f t="shared" si="21"/>
        <v>6.2123034227567064</v>
      </c>
      <c r="Z62" s="1219" t="s">
        <v>416</v>
      </c>
      <c r="AA62" s="1219" t="s">
        <v>434</v>
      </c>
    </row>
    <row r="63" spans="1:27" x14ac:dyDescent="0.25">
      <c r="A63" s="1217">
        <v>45505</v>
      </c>
      <c r="B63" s="1157"/>
      <c r="C63" s="962"/>
      <c r="D63" s="1211" t="s">
        <v>435</v>
      </c>
      <c r="E63" s="1211" t="s">
        <v>377</v>
      </c>
      <c r="F63" s="1211">
        <v>230</v>
      </c>
      <c r="G63" s="1209">
        <v>400</v>
      </c>
      <c r="H63" s="1212">
        <v>15216</v>
      </c>
      <c r="I63" s="1211">
        <f>Tabla1[[#This Row],[KG NETOS TOT]]+Tabla1[[#This Row],[KG TARA]]</f>
        <v>44936</v>
      </c>
      <c r="J63" s="1211">
        <v>29720</v>
      </c>
      <c r="K63" s="1211"/>
      <c r="L63" s="1213">
        <v>37000</v>
      </c>
      <c r="M63" s="1211"/>
      <c r="N63" s="1214">
        <f>Tabla1[[#This Row],[$/TN]]*J63/1000</f>
        <v>1099640</v>
      </c>
      <c r="O63" s="1211"/>
      <c r="P63" s="1221">
        <f t="shared" si="23"/>
        <v>230924.4</v>
      </c>
      <c r="Q63" s="1214">
        <f t="shared" si="24"/>
        <v>1330564.3999999999</v>
      </c>
      <c r="R63" s="1211"/>
      <c r="S63" s="1211"/>
      <c r="T63" s="1211"/>
      <c r="U63" s="1211"/>
      <c r="V63" s="1213">
        <f>+Tabla1[[#This Row],[TOTAL*]]-Tabla1[[#This Row],[DEDUCCIONES]]-Tabla1[[#This Row],[COMISIONES]]-Tabla1[[#This Row],[RETENCION IVA]]-Tabla1[[#This Row],[IVA RG 2300/2007]]</f>
        <v>1330564.3999999999</v>
      </c>
      <c r="W63" s="1215">
        <v>940</v>
      </c>
      <c r="X63" s="1418">
        <f>Tabla1[[#This Row],[TOTAL A LIQUIDAR]]/W63</f>
        <v>1415.4940425531913</v>
      </c>
      <c r="Y63" s="1388">
        <f t="shared" si="21"/>
        <v>6.1543219241443099</v>
      </c>
      <c r="Z63" s="1216" t="s">
        <v>436</v>
      </c>
      <c r="AA63" s="1216" t="s">
        <v>437</v>
      </c>
    </row>
    <row r="64" spans="1:27" x14ac:dyDescent="0.25">
      <c r="A64" s="1208">
        <v>45507</v>
      </c>
      <c r="B64" s="1209"/>
      <c r="C64" s="1210"/>
      <c r="D64" s="1211" t="s">
        <v>438</v>
      </c>
      <c r="E64" s="1211" t="s">
        <v>377</v>
      </c>
      <c r="F64" s="1211">
        <v>230</v>
      </c>
      <c r="G64" s="1209">
        <v>400</v>
      </c>
      <c r="H64" s="1212">
        <v>15216</v>
      </c>
      <c r="I64" s="1211">
        <f>Tabla1[[#This Row],[KG NETOS TOT]]+Tabla1[[#This Row],[KG TARA]]</f>
        <v>50796</v>
      </c>
      <c r="J64" s="1211">
        <v>35580</v>
      </c>
      <c r="K64" s="1211"/>
      <c r="L64" s="1213">
        <v>37000</v>
      </c>
      <c r="M64" s="1211"/>
      <c r="N64" s="1214">
        <f>Tabla1[[#This Row],[$/TN]]*J64/1000</f>
        <v>1316460</v>
      </c>
      <c r="O64" s="1211"/>
      <c r="P64" s="1214">
        <f t="shared" si="23"/>
        <v>276456.59999999998</v>
      </c>
      <c r="Q64" s="1214">
        <f t="shared" si="24"/>
        <v>1592916.6</v>
      </c>
      <c r="R64" s="1211"/>
      <c r="S64" s="1211"/>
      <c r="T64" s="1211"/>
      <c r="U64" s="1211"/>
      <c r="V64" s="1213">
        <f>+Tabla1[[#This Row],[TOTAL*]]-Tabla1[[#This Row],[DEDUCCIONES]]-Tabla1[[#This Row],[COMISIONES]]-Tabla1[[#This Row],[RETENCION IVA]]-Tabla1[[#This Row],[IVA RG 2300/2007]]</f>
        <v>1592916.6</v>
      </c>
      <c r="W64" s="1215">
        <v>940</v>
      </c>
      <c r="X64" s="1418">
        <f>Tabla1[[#This Row],[TOTAL A LIQUIDAR]]/W64</f>
        <v>1694.5921276595745</v>
      </c>
      <c r="Y64" s="1388">
        <f t="shared" si="21"/>
        <v>7.3677918593894542</v>
      </c>
      <c r="Z64" s="1216" t="s">
        <v>439</v>
      </c>
      <c r="AA64" s="1216" t="s">
        <v>440</v>
      </c>
    </row>
    <row r="65" spans="1:27" x14ac:dyDescent="0.25">
      <c r="A65" s="1217">
        <v>45525</v>
      </c>
      <c r="B65" s="1157"/>
      <c r="C65" s="962"/>
      <c r="D65" s="1211" t="s">
        <v>441</v>
      </c>
      <c r="E65" s="1211" t="s">
        <v>377</v>
      </c>
      <c r="F65" s="1211">
        <v>230</v>
      </c>
      <c r="G65" s="1209">
        <v>400</v>
      </c>
      <c r="H65" s="1212">
        <v>15216</v>
      </c>
      <c r="I65" s="1211">
        <f>Tabla1[[#This Row],[KG NETOS TOT]]+Tabla1[[#This Row],[KG TARA]]</f>
        <v>43296</v>
      </c>
      <c r="J65" s="1211">
        <v>28080</v>
      </c>
      <c r="K65" s="1211"/>
      <c r="L65" s="1213">
        <v>37000</v>
      </c>
      <c r="M65" s="1211"/>
      <c r="N65" s="1214">
        <f>Tabla1[[#This Row],[$/TN]]*J65/1000</f>
        <v>1038960</v>
      </c>
      <c r="O65" s="1218"/>
      <c r="P65" s="1214">
        <f t="shared" si="23"/>
        <v>218181.6</v>
      </c>
      <c r="Q65" s="1214">
        <f t="shared" si="24"/>
        <v>1257141.6000000001</v>
      </c>
      <c r="R65" s="1218"/>
      <c r="S65" s="1218"/>
      <c r="T65" s="1218"/>
      <c r="U65" s="1218"/>
      <c r="V65" s="1213">
        <f>+Tabla1[[#This Row],[TOTAL*]]-Tabla1[[#This Row],[DEDUCCIONES]]-Tabla1[[#This Row],[COMISIONES]]-Tabla1[[#This Row],[RETENCION IVA]]-Tabla1[[#This Row],[IVA RG 2300/2007]]</f>
        <v>1257141.6000000001</v>
      </c>
      <c r="W65" s="1215">
        <v>940</v>
      </c>
      <c r="X65" s="1418">
        <f>Tabla1[[#This Row],[TOTAL A LIQUIDAR]]/W65</f>
        <v>1337.3846808510639</v>
      </c>
      <c r="Y65" s="1388">
        <f t="shared" si="21"/>
        <v>5.8147160037002781</v>
      </c>
      <c r="Z65" s="1219" t="s">
        <v>280</v>
      </c>
      <c r="AA65" s="1219" t="s">
        <v>442</v>
      </c>
    </row>
    <row r="66" spans="1:27" x14ac:dyDescent="0.25">
      <c r="A66" s="1217">
        <v>45525</v>
      </c>
      <c r="B66" s="1157"/>
      <c r="C66" s="962"/>
      <c r="D66" s="1211" t="s">
        <v>443</v>
      </c>
      <c r="E66" s="1211" t="s">
        <v>377</v>
      </c>
      <c r="F66" s="1211">
        <v>230</v>
      </c>
      <c r="G66" s="1209">
        <v>400</v>
      </c>
      <c r="H66" s="1212">
        <v>15216</v>
      </c>
      <c r="I66" s="1211">
        <f>Tabla1[[#This Row],[KG NETOS TOT]]+Tabla1[[#This Row],[KG TARA]]</f>
        <v>42936</v>
      </c>
      <c r="J66" s="1211">
        <v>27720</v>
      </c>
      <c r="K66" s="1211"/>
      <c r="L66" s="1213">
        <v>37000</v>
      </c>
      <c r="M66" s="1211"/>
      <c r="N66" s="1214">
        <f>Tabla1[[#This Row],[$/TN]]*J66/1000</f>
        <v>1025640</v>
      </c>
      <c r="O66" s="1218"/>
      <c r="P66" s="1214">
        <f t="shared" si="23"/>
        <v>215384.4</v>
      </c>
      <c r="Q66" s="1214">
        <f t="shared" si="24"/>
        <v>1241024.3999999999</v>
      </c>
      <c r="R66" s="1218"/>
      <c r="S66" s="1218"/>
      <c r="T66" s="1218"/>
      <c r="U66" s="1218"/>
      <c r="V66" s="1213">
        <f>+Tabla1[[#This Row],[TOTAL*]]-Tabla1[[#This Row],[DEDUCCIONES]]-Tabla1[[#This Row],[COMISIONES]]-Tabla1[[#This Row],[RETENCION IVA]]-Tabla1[[#This Row],[IVA RG 2300/2007]]</f>
        <v>1241024.3999999999</v>
      </c>
      <c r="W66" s="1215">
        <v>940</v>
      </c>
      <c r="X66" s="1418">
        <f>Tabla1[[#This Row],[TOTAL A LIQUIDAR]]/W66</f>
        <v>1320.2387234042553</v>
      </c>
      <c r="Y66" s="1388">
        <f t="shared" si="21"/>
        <v>5.7401683626271973</v>
      </c>
      <c r="Z66" s="1219" t="s">
        <v>280</v>
      </c>
      <c r="AA66" s="1219" t="s">
        <v>444</v>
      </c>
    </row>
    <row r="67" spans="1:27" x14ac:dyDescent="0.25">
      <c r="A67" s="1217">
        <v>45525</v>
      </c>
      <c r="B67" s="1157"/>
      <c r="C67" s="962"/>
      <c r="D67" s="1211" t="s">
        <v>445</v>
      </c>
      <c r="E67" s="1211" t="s">
        <v>377</v>
      </c>
      <c r="F67" s="1211">
        <v>230</v>
      </c>
      <c r="G67" s="1209">
        <v>400</v>
      </c>
      <c r="H67" s="1212">
        <v>15216</v>
      </c>
      <c r="I67" s="1211">
        <f>Tabla1[[#This Row],[KG NETOS TOT]]+Tabla1[[#This Row],[KG TARA]]</f>
        <v>42396</v>
      </c>
      <c r="J67" s="1211">
        <v>27180</v>
      </c>
      <c r="K67" s="1211"/>
      <c r="L67" s="1213">
        <v>37000</v>
      </c>
      <c r="M67" s="1211"/>
      <c r="N67" s="1214">
        <f>Tabla1[[#This Row],[$/TN]]*J67/1000</f>
        <v>1005660</v>
      </c>
      <c r="O67" s="1211"/>
      <c r="P67" s="1214">
        <f t="shared" si="23"/>
        <v>211188.6</v>
      </c>
      <c r="Q67" s="1214">
        <f t="shared" si="24"/>
        <v>1216848.6000000001</v>
      </c>
      <c r="R67" s="1211"/>
      <c r="S67" s="1211"/>
      <c r="T67" s="1211"/>
      <c r="U67" s="1211"/>
      <c r="V67" s="1213">
        <f>+Tabla1[[#This Row],[TOTAL*]]-Tabla1[[#This Row],[DEDUCCIONES]]-Tabla1[[#This Row],[COMISIONES]]-Tabla1[[#This Row],[RETENCION IVA]]-Tabla1[[#This Row],[IVA RG 2300/2007]]</f>
        <v>1216848.6000000001</v>
      </c>
      <c r="W67" s="1215">
        <v>940</v>
      </c>
      <c r="X67" s="1418">
        <f>Tabla1[[#This Row],[TOTAL A LIQUIDAR]]/W67</f>
        <v>1294.5197872340427</v>
      </c>
      <c r="Y67" s="1388">
        <f t="shared" si="21"/>
        <v>5.6283469010175766</v>
      </c>
      <c r="Z67" s="1219" t="s">
        <v>280</v>
      </c>
      <c r="AA67" s="1219" t="s">
        <v>446</v>
      </c>
    </row>
    <row r="68" spans="1:27" x14ac:dyDescent="0.25">
      <c r="A68" s="1217">
        <v>45525</v>
      </c>
      <c r="B68" s="1157"/>
      <c r="C68" s="962"/>
      <c r="D68" s="1211" t="s">
        <v>447</v>
      </c>
      <c r="E68" s="1211" t="s">
        <v>377</v>
      </c>
      <c r="F68" s="1211">
        <v>230</v>
      </c>
      <c r="G68" s="1209">
        <v>400</v>
      </c>
      <c r="H68" s="1212">
        <v>15216</v>
      </c>
      <c r="I68" s="1211">
        <f>Tabla1[[#This Row],[KG NETOS TOT]]+Tabla1[[#This Row],[KG TARA]]</f>
        <v>43356</v>
      </c>
      <c r="J68" s="1211">
        <v>28140</v>
      </c>
      <c r="K68" s="1211"/>
      <c r="L68" s="1213">
        <v>37000</v>
      </c>
      <c r="M68" s="1211"/>
      <c r="N68" s="1214">
        <f>Tabla1[[#This Row],[$/TN]]*J68/1000</f>
        <v>1041180</v>
      </c>
      <c r="O68" s="1211"/>
      <c r="P68" s="1214">
        <f t="shared" si="23"/>
        <v>218647.8</v>
      </c>
      <c r="Q68" s="1214">
        <f t="shared" si="24"/>
        <v>1259827.8</v>
      </c>
      <c r="R68" s="1211"/>
      <c r="S68" s="1211"/>
      <c r="T68" s="1211"/>
      <c r="U68" s="1211"/>
      <c r="V68" s="1213">
        <f>+Tabla1[[#This Row],[TOTAL*]]-Tabla1[[#This Row],[DEDUCCIONES]]-Tabla1[[#This Row],[COMISIONES]]-Tabla1[[#This Row],[RETENCION IVA]]-Tabla1[[#This Row],[IVA RG 2300/2007]]</f>
        <v>1259827.8</v>
      </c>
      <c r="W68" s="1215">
        <v>940</v>
      </c>
      <c r="X68" s="1418">
        <f>Tabla1[[#This Row],[TOTAL A LIQUIDAR]]/W68</f>
        <v>1340.2423404255319</v>
      </c>
      <c r="Y68" s="1388">
        <f t="shared" si="21"/>
        <v>5.8271406105457908</v>
      </c>
      <c r="Z68" s="1219" t="s">
        <v>280</v>
      </c>
      <c r="AA68" s="1219" t="s">
        <v>446</v>
      </c>
    </row>
    <row r="69" spans="1:27" x14ac:dyDescent="0.25">
      <c r="A69" s="1217">
        <v>45540</v>
      </c>
      <c r="B69" s="1157"/>
      <c r="C69" s="962"/>
      <c r="D69" s="1211" t="s">
        <v>448</v>
      </c>
      <c r="E69" s="1211" t="s">
        <v>377</v>
      </c>
      <c r="F69" s="1211">
        <v>230</v>
      </c>
      <c r="G69" s="1209"/>
      <c r="H69" s="1212"/>
      <c r="I69" s="1211"/>
      <c r="J69" s="1211">
        <v>31520</v>
      </c>
      <c r="K69" s="1211"/>
      <c r="L69" s="1213">
        <v>37000</v>
      </c>
      <c r="M69" s="1211"/>
      <c r="N69" s="1214">
        <f>Tabla1[[#This Row],[$/TN]]*J69/1000</f>
        <v>1166240</v>
      </c>
      <c r="O69" s="1211"/>
      <c r="P69" s="1214">
        <f t="shared" ref="P69" si="25">N69*0.21</f>
        <v>244910.4</v>
      </c>
      <c r="Q69" s="1214">
        <f t="shared" ref="Q69" si="26">N69+O69+P69</f>
        <v>1411150.4</v>
      </c>
      <c r="R69" s="1211"/>
      <c r="S69" s="1211"/>
      <c r="T69" s="1211"/>
      <c r="U69" s="1211"/>
      <c r="V69" s="1213">
        <f>+Tabla1[[#This Row],[TOTAL*]]-Tabla1[[#This Row],[DEDUCCIONES]]-Tabla1[[#This Row],[COMISIONES]]-Tabla1[[#This Row],[RETENCION IVA]]-Tabla1[[#This Row],[IVA RG 2300/2007]]</f>
        <v>1411150.4</v>
      </c>
      <c r="W69" s="1215">
        <v>940</v>
      </c>
      <c r="X69" s="1418">
        <f>Tabla1[[#This Row],[TOTAL A LIQUIDAR]]/W69</f>
        <v>1501.2238297872339</v>
      </c>
      <c r="Y69" s="1388">
        <f t="shared" ref="Y69:Y70" si="27">X69/F69</f>
        <v>6.5270601295097128</v>
      </c>
      <c r="Z69" s="1219" t="s">
        <v>280</v>
      </c>
      <c r="AA69" s="1219" t="s">
        <v>449</v>
      </c>
    </row>
    <row r="70" spans="1:27" x14ac:dyDescent="0.25">
      <c r="A70" s="1217">
        <v>45392</v>
      </c>
      <c r="B70" s="1157"/>
      <c r="C70" s="962"/>
      <c r="D70" s="1211" t="s">
        <v>450</v>
      </c>
      <c r="E70" s="1211" t="s">
        <v>377</v>
      </c>
      <c r="F70" s="1211">
        <v>230</v>
      </c>
      <c r="G70" s="1209"/>
      <c r="H70" s="1212"/>
      <c r="I70" s="1211"/>
      <c r="J70" s="1211">
        <v>30580</v>
      </c>
      <c r="K70" s="1211"/>
      <c r="L70" s="1213">
        <v>37000</v>
      </c>
      <c r="M70" s="1211"/>
      <c r="N70" s="1214">
        <f>Tabla1[[#This Row],[$/TN]]*J70/1000</f>
        <v>1131460</v>
      </c>
      <c r="O70" s="1211"/>
      <c r="P70" s="1214">
        <f t="shared" ref="P70:P71" si="28">N70*0.21</f>
        <v>237606.59999999998</v>
      </c>
      <c r="Q70" s="1214">
        <f t="shared" ref="Q70:Q71" si="29">N70+O70+P70</f>
        <v>1369066.6</v>
      </c>
      <c r="R70" s="1211"/>
      <c r="S70" s="1211"/>
      <c r="T70" s="1211"/>
      <c r="U70" s="1211"/>
      <c r="V70" s="1213">
        <f>+Tabla1[[#This Row],[TOTAL*]]-Tabla1[[#This Row],[DEDUCCIONES]]-Tabla1[[#This Row],[COMISIONES]]-Tabla1[[#This Row],[RETENCION IVA]]-Tabla1[[#This Row],[IVA RG 2300/2007]]</f>
        <v>1369066.6</v>
      </c>
      <c r="W70" s="1215">
        <v>941</v>
      </c>
      <c r="X70" s="1418">
        <f>Tabla1[[#This Row],[TOTAL A LIQUIDAR]]/W70</f>
        <v>1454.9060573857598</v>
      </c>
      <c r="Y70" s="1388">
        <f t="shared" si="27"/>
        <v>6.3256785103728692</v>
      </c>
      <c r="Z70" s="1219" t="s">
        <v>280</v>
      </c>
      <c r="AA70" s="1219" t="s">
        <v>449</v>
      </c>
    </row>
    <row r="71" spans="1:27" x14ac:dyDescent="0.25">
      <c r="A71" s="1217">
        <v>45559</v>
      </c>
      <c r="B71" s="1157"/>
      <c r="C71" s="962"/>
      <c r="D71" s="1211" t="s">
        <v>451</v>
      </c>
      <c r="E71" s="1211" t="s">
        <v>377</v>
      </c>
      <c r="F71" s="1211">
        <v>230</v>
      </c>
      <c r="G71" s="1209"/>
      <c r="H71" s="1212"/>
      <c r="I71" s="1211"/>
      <c r="J71" s="1211">
        <v>26540</v>
      </c>
      <c r="K71" s="1211"/>
      <c r="L71" s="1213">
        <v>37000</v>
      </c>
      <c r="M71" s="1211"/>
      <c r="N71" s="1214">
        <f>Tabla1[[#This Row],[$/TN]]*J71/1000</f>
        <v>981980</v>
      </c>
      <c r="O71" s="1211"/>
      <c r="P71" s="1214">
        <f t="shared" si="28"/>
        <v>206215.8</v>
      </c>
      <c r="Q71" s="1214">
        <f t="shared" si="29"/>
        <v>1188195.8</v>
      </c>
      <c r="R71" s="1211"/>
      <c r="S71" s="1211"/>
      <c r="T71" s="1211"/>
      <c r="U71" s="1211"/>
      <c r="V71" s="1213">
        <f>+Tabla1[[#This Row],[TOTAL*]]-Tabla1[[#This Row],[DEDUCCIONES]]-Tabla1[[#This Row],[COMISIONES]]-Tabla1[[#This Row],[RETENCION IVA]]-Tabla1[[#This Row],[IVA RG 2300/2007]]</f>
        <v>1188195.8</v>
      </c>
      <c r="W71" s="1215">
        <v>942</v>
      </c>
      <c r="X71" s="1418">
        <f>Tabla1[[#This Row],[TOTAL A LIQUIDAR]]/W71</f>
        <v>1261.3543524416136</v>
      </c>
      <c r="Y71" s="1388">
        <f t="shared" ref="Y71" si="30">X71/F71</f>
        <v>5.4841493584417984</v>
      </c>
      <c r="Z71" s="1219" t="s">
        <v>280</v>
      </c>
      <c r="AA71" s="1219" t="s">
        <v>452</v>
      </c>
    </row>
    <row r="72" spans="1:27" x14ac:dyDescent="0.25">
      <c r="A72" s="1217">
        <v>45540</v>
      </c>
      <c r="B72" s="1157"/>
      <c r="C72" s="962"/>
      <c r="D72" s="1211" t="s">
        <v>453</v>
      </c>
      <c r="E72" s="1211" t="s">
        <v>377</v>
      </c>
      <c r="F72" s="1211">
        <v>230</v>
      </c>
      <c r="G72" s="1209"/>
      <c r="H72" s="1212"/>
      <c r="I72" s="1211"/>
      <c r="J72" s="1211">
        <v>28820</v>
      </c>
      <c r="K72" s="1211"/>
      <c r="L72" s="1213">
        <v>39000</v>
      </c>
      <c r="M72" s="1211"/>
      <c r="N72" s="1214">
        <f>Tabla1[[#This Row],[$/TN]]*J72/1000</f>
        <v>1123980</v>
      </c>
      <c r="O72" s="1211"/>
      <c r="P72" s="1214">
        <f t="shared" ref="P72" si="31">N72*0.21</f>
        <v>236035.8</v>
      </c>
      <c r="Q72" s="1214">
        <f t="shared" ref="Q72" si="32">N72+O72+P72</f>
        <v>1360015.8</v>
      </c>
      <c r="R72" s="1211"/>
      <c r="S72" s="1211"/>
      <c r="T72" s="1211"/>
      <c r="U72" s="1211"/>
      <c r="V72" s="1213">
        <f>+Tabla1[[#This Row],[TOTAL*]]-Tabla1[[#This Row],[DEDUCCIONES]]-Tabla1[[#This Row],[COMISIONES]]-Tabla1[[#This Row],[RETENCION IVA]]-Tabla1[[#This Row],[IVA RG 2300/2007]]</f>
        <v>1360015.8</v>
      </c>
      <c r="W72" s="1215">
        <v>941</v>
      </c>
      <c r="X72" s="1418">
        <f>Tabla1[[#This Row],[TOTAL A LIQUIDAR]]/W72</f>
        <v>1445.2877789585548</v>
      </c>
      <c r="Y72" s="1388">
        <f t="shared" ref="Y72" si="33">X72/F72</f>
        <v>6.2838599085154554</v>
      </c>
      <c r="Z72" s="1219" t="s">
        <v>280</v>
      </c>
      <c r="AA72" s="1219" t="s">
        <v>454</v>
      </c>
    </row>
    <row r="73" spans="1:27" x14ac:dyDescent="0.25">
      <c r="A73" s="1217">
        <v>45540</v>
      </c>
      <c r="B73" s="1157"/>
      <c r="C73" s="962"/>
      <c r="D73" s="1211" t="s">
        <v>455</v>
      </c>
      <c r="E73" s="1211" t="s">
        <v>377</v>
      </c>
      <c r="F73" s="1211">
        <v>230</v>
      </c>
      <c r="G73" s="1209"/>
      <c r="H73" s="1212"/>
      <c r="I73" s="1211"/>
      <c r="J73" s="1211">
        <v>29740</v>
      </c>
      <c r="K73" s="1211"/>
      <c r="L73" s="1213">
        <v>39000</v>
      </c>
      <c r="M73" s="1211"/>
      <c r="N73" s="1214">
        <f>Tabla1[[#This Row],[$/TN]]*J73/1000</f>
        <v>1159860</v>
      </c>
      <c r="O73" s="1211"/>
      <c r="P73" s="1214">
        <f t="shared" ref="P73" si="34">N73*0.21</f>
        <v>243570.59999999998</v>
      </c>
      <c r="Q73" s="1214">
        <f t="shared" ref="Q73" si="35">N73+O73+P73</f>
        <v>1403430.6</v>
      </c>
      <c r="R73" s="1211"/>
      <c r="S73" s="1211"/>
      <c r="T73" s="1211"/>
      <c r="U73" s="1211"/>
      <c r="V73" s="1213">
        <f>+Tabla1[[#This Row],[TOTAL*]]-Tabla1[[#This Row],[DEDUCCIONES]]-Tabla1[[#This Row],[COMISIONES]]-Tabla1[[#This Row],[RETENCION IVA]]-Tabla1[[#This Row],[IVA RG 2300/2007]]</f>
        <v>1403430.6</v>
      </c>
      <c r="W73" s="1215">
        <v>942</v>
      </c>
      <c r="X73" s="1418">
        <f>Tabla1[[#This Row],[TOTAL A LIQUIDAR]]/W73</f>
        <v>1489.8414012738854</v>
      </c>
      <c r="Y73" s="1388">
        <f t="shared" ref="Y73" si="36">X73/F73</f>
        <v>6.477571309886458</v>
      </c>
      <c r="Z73" s="1219" t="s">
        <v>280</v>
      </c>
      <c r="AA73" s="1219" t="s">
        <v>456</v>
      </c>
    </row>
    <row r="74" spans="1:27" x14ac:dyDescent="0.25">
      <c r="A74" s="1217">
        <v>45541</v>
      </c>
      <c r="B74" s="1157"/>
      <c r="C74" s="962"/>
      <c r="D74" s="1211" t="s">
        <v>457</v>
      </c>
      <c r="E74" s="1211" t="s">
        <v>377</v>
      </c>
      <c r="F74" s="1211">
        <v>230</v>
      </c>
      <c r="G74" s="1209"/>
      <c r="H74" s="1212"/>
      <c r="I74" s="1211"/>
      <c r="J74" s="1211">
        <v>29740</v>
      </c>
      <c r="K74" s="1211"/>
      <c r="L74" s="1213">
        <v>39000</v>
      </c>
      <c r="M74" s="1211"/>
      <c r="N74" s="1214">
        <f>Tabla1[[#This Row],[$/TN]]*J74/1000</f>
        <v>1159860</v>
      </c>
      <c r="O74" s="1211"/>
      <c r="P74" s="1214">
        <f t="shared" ref="P74" si="37">N74*0.21</f>
        <v>243570.59999999998</v>
      </c>
      <c r="Q74" s="1214">
        <f t="shared" ref="Q74" si="38">N74+O74+P74</f>
        <v>1403430.6</v>
      </c>
      <c r="R74" s="1211"/>
      <c r="S74" s="1211"/>
      <c r="T74" s="1211"/>
      <c r="U74" s="1211"/>
      <c r="V74" s="1213">
        <f>+Tabla1[[#This Row],[TOTAL*]]-Tabla1[[#This Row],[DEDUCCIONES]]-Tabla1[[#This Row],[COMISIONES]]-Tabla1[[#This Row],[RETENCION IVA]]-Tabla1[[#This Row],[IVA RG 2300/2007]]</f>
        <v>1403430.6</v>
      </c>
      <c r="W74" s="1215">
        <v>943</v>
      </c>
      <c r="X74" s="1418">
        <f>Tabla1[[#This Row],[TOTAL A LIQUIDAR]]/W74</f>
        <v>1488.2615058324498</v>
      </c>
      <c r="Y74" s="1388">
        <f t="shared" ref="Y74" si="39">X74/F74</f>
        <v>6.4707021992715203</v>
      </c>
      <c r="Z74" s="1219" t="s">
        <v>280</v>
      </c>
      <c r="AA74" s="1219" t="s">
        <v>458</v>
      </c>
    </row>
    <row r="75" spans="1:27" x14ac:dyDescent="0.25">
      <c r="A75" s="1128"/>
      <c r="B75" s="873"/>
      <c r="C75" s="864"/>
      <c r="D75" s="894"/>
      <c r="E75" s="894"/>
      <c r="F75" s="894"/>
      <c r="G75" s="891"/>
      <c r="H75" s="874"/>
      <c r="I75" s="894"/>
      <c r="J75" s="894"/>
      <c r="K75" s="894"/>
      <c r="L75" s="935"/>
      <c r="M75" s="894"/>
      <c r="N75" s="936"/>
      <c r="O75" s="894"/>
      <c r="P75" s="936"/>
      <c r="Q75" s="936"/>
      <c r="R75" s="894"/>
      <c r="S75" s="894"/>
      <c r="T75" s="894"/>
      <c r="U75" s="894"/>
      <c r="V75" s="935"/>
      <c r="W75" s="1129"/>
      <c r="X75" s="1419"/>
      <c r="Y75" s="1389"/>
      <c r="Z75" s="1130"/>
      <c r="AA75" s="1130"/>
    </row>
    <row r="76" spans="1:27" x14ac:dyDescent="0.25">
      <c r="A76" s="914"/>
      <c r="B76" s="908"/>
      <c r="C76" s="909" t="s">
        <v>322</v>
      </c>
      <c r="D76" s="911"/>
      <c r="E76" s="911"/>
      <c r="F76" s="911"/>
      <c r="G76" s="911"/>
      <c r="H76" s="911"/>
      <c r="I76" s="911"/>
      <c r="J76" s="911"/>
      <c r="K76" s="911"/>
      <c r="L76" s="912"/>
      <c r="M76" s="911"/>
      <c r="N76" s="911"/>
      <c r="O76" s="911"/>
      <c r="P76" s="911"/>
      <c r="Q76" s="917">
        <f t="shared" ref="Q76:V76" si="40">SUM(Q77:Q77)</f>
        <v>0</v>
      </c>
      <c r="R76" s="917">
        <f t="shared" si="40"/>
        <v>0</v>
      </c>
      <c r="S76" s="917">
        <f t="shared" si="40"/>
        <v>0</v>
      </c>
      <c r="T76" s="917">
        <f t="shared" si="40"/>
        <v>0</v>
      </c>
      <c r="U76" s="917">
        <f t="shared" si="40"/>
        <v>0</v>
      </c>
      <c r="V76" s="917">
        <f t="shared" si="40"/>
        <v>2749723.6</v>
      </c>
      <c r="W76" s="917">
        <f>AVERAGE(W77:W77)</f>
        <v>920</v>
      </c>
      <c r="X76" s="1415">
        <f>SUM(X77:X77)</f>
        <v>2988.83</v>
      </c>
      <c r="Y76" s="1383">
        <f>SUM(Y77:Y77)</f>
        <v>12.994913043478261</v>
      </c>
      <c r="Z76" s="916"/>
      <c r="AA76" s="916"/>
    </row>
    <row r="77" spans="1:27" x14ac:dyDescent="0.25">
      <c r="A77" s="879">
        <v>45388</v>
      </c>
      <c r="B77" s="873"/>
      <c r="C77" s="873"/>
      <c r="D77" s="866" t="s">
        <v>193</v>
      </c>
      <c r="E77" s="866" t="s">
        <v>377</v>
      </c>
      <c r="F77" s="866">
        <v>230</v>
      </c>
      <c r="G77" s="866"/>
      <c r="H77" s="866"/>
      <c r="I77" s="866"/>
      <c r="J77" s="866"/>
      <c r="K77" s="866"/>
      <c r="L77" s="867"/>
      <c r="M77" s="866"/>
      <c r="N77" s="866"/>
      <c r="O77" s="866"/>
      <c r="P77" s="866"/>
      <c r="Q77" s="866"/>
      <c r="R77" s="866"/>
      <c r="S77" s="866"/>
      <c r="T77" s="866"/>
      <c r="U77" s="866"/>
      <c r="V77" s="868">
        <v>2749723.6</v>
      </c>
      <c r="W77" s="868">
        <v>920</v>
      </c>
      <c r="X77" s="1411">
        <v>2988.83</v>
      </c>
      <c r="Y77" s="1386">
        <f>X77/F77</f>
        <v>12.994913043478261</v>
      </c>
      <c r="Z77" s="838" t="s">
        <v>194</v>
      </c>
      <c r="AA77" s="838" t="s">
        <v>459</v>
      </c>
    </row>
    <row r="78" spans="1:27" x14ac:dyDescent="0.25">
      <c r="A78" s="880"/>
      <c r="B78" s="881"/>
      <c r="C78" s="904" t="s">
        <v>338</v>
      </c>
      <c r="D78" s="905"/>
      <c r="E78" s="905"/>
      <c r="F78" s="904"/>
      <c r="G78" s="904"/>
      <c r="H78" s="904"/>
      <c r="I78" s="904"/>
      <c r="J78" s="904"/>
      <c r="K78" s="904"/>
      <c r="L78" s="906"/>
      <c r="M78" s="883"/>
      <c r="N78" s="883"/>
      <c r="O78" s="883"/>
      <c r="P78" s="883"/>
      <c r="Q78" s="883"/>
      <c r="R78" s="883"/>
      <c r="S78" s="883"/>
      <c r="T78" s="883"/>
      <c r="U78" s="883"/>
      <c r="V78" s="883"/>
      <c r="W78" s="883"/>
      <c r="X78" s="1420"/>
      <c r="Y78" s="1390"/>
      <c r="Z78" s="884"/>
      <c r="AA78" s="884"/>
    </row>
    <row r="79" spans="1:27" x14ac:dyDescent="0.25">
      <c r="A79" s="879"/>
      <c r="B79" s="873"/>
      <c r="C79" s="866"/>
      <c r="D79" s="866" t="s">
        <v>460</v>
      </c>
      <c r="E79" s="865"/>
      <c r="F79" s="866"/>
      <c r="G79" s="866"/>
      <c r="H79" s="866"/>
      <c r="I79" s="866"/>
      <c r="J79" s="866"/>
      <c r="K79" s="866"/>
      <c r="L79" s="867"/>
      <c r="M79" s="866"/>
      <c r="N79" s="866"/>
      <c r="O79" s="866"/>
      <c r="P79" s="866"/>
      <c r="Q79" s="866"/>
      <c r="R79" s="866"/>
      <c r="S79" s="866"/>
      <c r="T79" s="866"/>
      <c r="U79" s="866"/>
      <c r="V79" s="866"/>
      <c r="W79" s="866"/>
      <c r="X79" s="1413"/>
      <c r="Y79" s="866"/>
      <c r="Z79" s="872"/>
      <c r="AA79" s="838"/>
    </row>
    <row r="80" spans="1:27" ht="15.75" x14ac:dyDescent="0.25">
      <c r="A80" s="1153"/>
      <c r="B80" s="1148" t="s">
        <v>461</v>
      </c>
      <c r="C80" s="1154"/>
      <c r="D80" s="1154"/>
      <c r="E80" s="1154"/>
      <c r="F80" s="1151"/>
      <c r="G80" s="1151"/>
      <c r="H80" s="1151"/>
      <c r="I80" s="1151"/>
      <c r="J80" s="1151"/>
      <c r="K80" s="1151"/>
      <c r="L80" s="1155"/>
      <c r="M80" s="1151"/>
      <c r="N80" s="1151"/>
      <c r="O80" s="1151"/>
      <c r="P80" s="1151"/>
      <c r="Q80" s="1151"/>
      <c r="R80" s="1151"/>
      <c r="S80" s="1151"/>
      <c r="T80" s="1151"/>
      <c r="U80" s="1151"/>
      <c r="V80" s="1151"/>
      <c r="W80" s="1151"/>
      <c r="X80" s="1421">
        <f>SUM(X5)-SUM(X16,X20)</f>
        <v>35509.135577277397</v>
      </c>
      <c r="Y80" s="934">
        <f>SUM(Y5)-SUM(Y16,Y20)</f>
        <v>166.32747746994801</v>
      </c>
      <c r="Z80" s="1156"/>
      <c r="AA80" s="1156"/>
    </row>
    <row r="81" spans="1:27" ht="15.75" x14ac:dyDescent="0.25">
      <c r="A81" s="1289" t="s">
        <v>462</v>
      </c>
      <c r="B81" s="629"/>
      <c r="C81" s="939"/>
      <c r="D81" s="939"/>
      <c r="E81" s="939"/>
      <c r="F81" s="36"/>
      <c r="G81" s="36"/>
      <c r="H81" s="36"/>
      <c r="I81" s="36"/>
      <c r="J81" s="36"/>
      <c r="K81" s="36"/>
      <c r="L81" s="940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1422"/>
      <c r="Y81" s="36"/>
      <c r="Z81" s="36"/>
      <c r="AA81" s="36"/>
    </row>
    <row r="82" spans="1:27" ht="15.75" x14ac:dyDescent="0.25">
      <c r="A82" s="938"/>
      <c r="B82" s="629"/>
      <c r="C82" s="939"/>
      <c r="D82" s="939"/>
      <c r="E82" s="939"/>
      <c r="F82" s="36"/>
      <c r="G82" s="36"/>
      <c r="H82" s="36"/>
      <c r="I82" s="36"/>
      <c r="J82" s="36"/>
      <c r="K82" s="36"/>
      <c r="L82" s="940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1422"/>
      <c r="Y82" s="36"/>
      <c r="Z82" s="36"/>
      <c r="AA82" s="36"/>
    </row>
    <row r="83" spans="1:27" ht="15.75" x14ac:dyDescent="0.25">
      <c r="A83" s="938"/>
      <c r="B83" s="629"/>
      <c r="C83" s="939"/>
      <c r="D83" s="939"/>
      <c r="E83" s="939"/>
      <c r="F83" s="36"/>
      <c r="G83" s="36"/>
      <c r="H83" s="36"/>
      <c r="I83" s="36"/>
      <c r="J83" s="36"/>
      <c r="K83" s="36"/>
      <c r="L83" s="940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1422"/>
      <c r="Y83" s="36"/>
      <c r="Z83" s="36"/>
      <c r="AA83" s="36"/>
    </row>
    <row r="84" spans="1:27" ht="15.75" x14ac:dyDescent="0.25">
      <c r="A84" s="938"/>
      <c r="B84" s="629"/>
      <c r="C84" s="939"/>
      <c r="D84" s="939"/>
      <c r="E84" s="939"/>
      <c r="F84" s="36"/>
      <c r="G84" s="36"/>
      <c r="H84" s="36"/>
      <c r="I84" s="36"/>
      <c r="J84" s="36"/>
      <c r="K84" s="36"/>
      <c r="L84" s="940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1422"/>
      <c r="Y84" s="36"/>
      <c r="Z84" s="36"/>
      <c r="AA84" s="36"/>
    </row>
    <row r="85" spans="1:27" ht="15.75" x14ac:dyDescent="0.25">
      <c r="A85" s="938"/>
      <c r="B85" s="629"/>
      <c r="C85" s="939"/>
      <c r="D85" s="939"/>
      <c r="E85" s="939"/>
      <c r="F85" s="36"/>
      <c r="G85" s="36"/>
      <c r="H85" s="36"/>
      <c r="I85" s="36"/>
      <c r="J85" s="36"/>
      <c r="K85" s="36"/>
      <c r="L85" s="940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1422"/>
      <c r="Y85" s="36"/>
      <c r="Z85" s="36"/>
      <c r="AA85" s="36"/>
    </row>
    <row r="86" spans="1:27" ht="15.75" x14ac:dyDescent="0.25">
      <c r="A86" s="938"/>
      <c r="B86" s="629"/>
      <c r="C86" s="939"/>
      <c r="D86" s="939"/>
      <c r="E86" s="939"/>
      <c r="F86" s="36"/>
      <c r="G86" s="36"/>
      <c r="H86" s="36"/>
      <c r="I86" s="36"/>
      <c r="J86" s="36"/>
      <c r="K86" s="36"/>
      <c r="L86" s="940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1422"/>
      <c r="Y86" s="36"/>
      <c r="Z86" s="36"/>
      <c r="AA86" s="36"/>
    </row>
    <row r="87" spans="1:27" ht="15.75" x14ac:dyDescent="0.25">
      <c r="A87" s="938"/>
      <c r="B87" s="629"/>
      <c r="C87" s="939"/>
      <c r="D87" s="939"/>
      <c r="E87" s="939"/>
      <c r="F87" s="36"/>
      <c r="G87" s="36"/>
      <c r="H87" s="36"/>
      <c r="I87" s="36"/>
      <c r="J87" s="36"/>
      <c r="K87" s="36"/>
      <c r="L87" s="940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1422"/>
      <c r="Y87" s="36"/>
      <c r="Z87" s="36"/>
      <c r="AA87" s="36"/>
    </row>
    <row r="88" spans="1:27" ht="15.75" x14ac:dyDescent="0.25">
      <c r="A88" s="938"/>
      <c r="B88" s="629"/>
      <c r="C88" s="939"/>
      <c r="D88" s="939"/>
      <c r="E88" s="939"/>
      <c r="F88" s="36"/>
      <c r="G88" s="36"/>
      <c r="H88" s="36"/>
      <c r="I88" s="36"/>
      <c r="J88" s="36"/>
      <c r="K88" s="36"/>
      <c r="L88" s="940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1422"/>
      <c r="Y88" s="36"/>
      <c r="Z88" s="36"/>
      <c r="AA88" s="36"/>
    </row>
    <row r="89" spans="1:27" ht="15.75" x14ac:dyDescent="0.25">
      <c r="A89" s="938"/>
      <c r="B89" s="629"/>
      <c r="C89" s="939"/>
      <c r="D89" s="939"/>
      <c r="E89" s="939"/>
      <c r="F89" s="36"/>
      <c r="G89" s="36"/>
      <c r="H89" s="36"/>
      <c r="I89" s="36"/>
      <c r="J89" s="36"/>
      <c r="K89" s="36"/>
      <c r="L89" s="940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1422"/>
      <c r="Y89" s="36"/>
      <c r="Z89" s="36"/>
      <c r="AA89" s="36"/>
    </row>
    <row r="90" spans="1:27" ht="15.75" x14ac:dyDescent="0.25">
      <c r="A90" s="938"/>
      <c r="B90" s="629"/>
      <c r="C90" s="939"/>
      <c r="D90" s="939"/>
      <c r="E90" s="939"/>
      <c r="F90" s="36"/>
      <c r="G90" s="36"/>
      <c r="H90" s="36"/>
      <c r="I90" s="36"/>
      <c r="J90" s="36"/>
      <c r="K90" s="36"/>
      <c r="L90" s="940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1422"/>
      <c r="Y90" s="36"/>
      <c r="Z90" s="36"/>
      <c r="AA90" s="36"/>
    </row>
    <row r="91" spans="1:27" ht="15.75" x14ac:dyDescent="0.25">
      <c r="A91" s="1230" t="s">
        <v>111</v>
      </c>
      <c r="B91" s="1231"/>
      <c r="C91" s="1232"/>
      <c r="D91" s="1231"/>
      <c r="E91" s="1232"/>
      <c r="F91" s="1231"/>
      <c r="G91" s="1232"/>
      <c r="H91" s="1231"/>
      <c r="I91" s="1232"/>
      <c r="J91" s="1231"/>
      <c r="K91" s="1232"/>
      <c r="L91" s="1231"/>
      <c r="M91" s="1232"/>
      <c r="N91" s="1231"/>
      <c r="O91" s="1232"/>
      <c r="P91" s="1231"/>
      <c r="Q91" s="1232"/>
      <c r="R91" s="1231"/>
      <c r="S91" s="1232"/>
      <c r="T91" s="1231"/>
      <c r="U91" s="1232"/>
      <c r="V91" s="1231"/>
      <c r="W91" s="1232"/>
      <c r="X91" s="1423"/>
      <c r="Y91" s="1232"/>
      <c r="Z91" s="1231"/>
      <c r="AA91" s="1233"/>
    </row>
    <row r="92" spans="1:27" x14ac:dyDescent="0.25">
      <c r="A92" s="855"/>
      <c r="B92" s="856"/>
      <c r="C92" s="857" t="s">
        <v>463</v>
      </c>
      <c r="D92" s="856"/>
      <c r="E92" s="856"/>
      <c r="F92" s="858">
        <v>176</v>
      </c>
      <c r="G92" s="839"/>
      <c r="H92" s="839"/>
      <c r="I92" s="839"/>
      <c r="J92" s="968">
        <f>SUM(J93:J108)</f>
        <v>501453</v>
      </c>
      <c r="K92" s="839"/>
      <c r="L92" s="840"/>
      <c r="M92" s="839"/>
      <c r="N92" s="839"/>
      <c r="O92" s="839"/>
      <c r="P92" s="839"/>
      <c r="Q92" s="839"/>
      <c r="R92" s="839"/>
      <c r="S92" s="839"/>
      <c r="T92" s="839"/>
      <c r="U92" s="839"/>
      <c r="V92" s="1131">
        <f>SUM(V93:V108)</f>
        <v>91495045.795000002</v>
      </c>
      <c r="W92" s="92"/>
      <c r="X92" s="1424">
        <f>SUM(X93:X112)</f>
        <v>205780.82530697979</v>
      </c>
      <c r="Y92" s="1391">
        <f>Tabla1[[#This Row],[TOTAL USD]]/Tabla1[[#This Row],[HAS]]</f>
        <v>1169.2092346987488</v>
      </c>
      <c r="Z92" s="859"/>
      <c r="AA92" s="839"/>
    </row>
    <row r="93" spans="1:27" x14ac:dyDescent="0.25">
      <c r="A93" s="1234"/>
      <c r="B93" s="1235"/>
      <c r="C93" s="1236"/>
      <c r="D93" s="1237" t="s">
        <v>464</v>
      </c>
      <c r="E93" s="1238"/>
      <c r="F93" s="1239">
        <f>Tabla1[[#This Row],[KG NETOS TOT]]/Tabla1[[#This Row],[KG/HA (REND)]]</f>
        <v>3.5314999999999999</v>
      </c>
      <c r="G93" s="1240"/>
      <c r="H93" s="1237"/>
      <c r="I93" s="1237"/>
      <c r="J93" s="1237">
        <v>28252</v>
      </c>
      <c r="K93" s="1241">
        <v>8000</v>
      </c>
      <c r="L93" s="1242">
        <v>165</v>
      </c>
      <c r="M93" s="1243">
        <v>165000</v>
      </c>
      <c r="N93" s="1244">
        <f>Tabla1[[#This Row],[KG NETOS TOT]]*Tabla1[[#This Row],[PRECIO UNITARIO USD/TN]]/1000</f>
        <v>4661580</v>
      </c>
      <c r="O93" s="1244">
        <f>Tabla1[[#This Row],[SUBTOTAL]]*0.105</f>
        <v>489465.89999999997</v>
      </c>
      <c r="P93" s="1237"/>
      <c r="Q93" s="1244">
        <f>Tabla1[[#This Row],[SUBTOTAL]]+Tabla1[[#This Row],[IVA 10,5]]</f>
        <v>5151045.9000000004</v>
      </c>
      <c r="R93" s="1237"/>
      <c r="S93" s="1237"/>
      <c r="T93" s="1237"/>
      <c r="U93" s="1237"/>
      <c r="V93" s="1243">
        <f>Tabla1[[#This Row],[TOTAL*]]-Tabla1[[#This Row],[DEDUCCIONES]]+Tabla1[[#This Row],[COMISIONES]]+Tabla1[[#This Row],[RETENCION IVA]]+Tabla1[[#This Row],[IVA RG 2300/2007]]</f>
        <v>5151045.9000000004</v>
      </c>
      <c r="W93" s="1243">
        <v>920</v>
      </c>
      <c r="X93" s="1425">
        <f>Tabla1[[#This Row],[TOTAL A LIQUIDAR]]/Tabla1[[#This Row],[TIPO DE CAMBIO]]</f>
        <v>5598.9629347826094</v>
      </c>
      <c r="Y93" s="1392">
        <f>Tabla1[[#This Row],[TOTAL USD]]/Tabla1[[#This Row],[HAS]]</f>
        <v>1585.434782608696</v>
      </c>
      <c r="Z93" s="1245"/>
      <c r="AA93" s="1237"/>
    </row>
    <row r="94" spans="1:27" s="836" customFormat="1" ht="12" x14ac:dyDescent="0.2">
      <c r="A94" s="1234"/>
      <c r="B94" s="1235"/>
      <c r="C94" s="1236"/>
      <c r="D94" s="1237" t="s">
        <v>464</v>
      </c>
      <c r="E94" s="1238"/>
      <c r="F94" s="1239">
        <f>Tabla1[[#This Row],[KG NETOS TOT]]/Tabla1[[#This Row],[KG/HA (REND)]]</f>
        <v>4.4615</v>
      </c>
      <c r="G94" s="1240"/>
      <c r="H94" s="1237"/>
      <c r="I94" s="1237"/>
      <c r="J94" s="1237">
        <v>35692</v>
      </c>
      <c r="K94" s="1241">
        <v>8000</v>
      </c>
      <c r="L94" s="1242">
        <v>165</v>
      </c>
      <c r="M94" s="1243">
        <v>165000</v>
      </c>
      <c r="N94" s="1244">
        <f>Tabla1[[#This Row],[KG NETOS TOT]]*Tabla1[[#This Row],[PRECIO UNITARIO USD/TN]]/1000</f>
        <v>5889180</v>
      </c>
      <c r="O94" s="1244">
        <f>Tabla1[[#This Row],[SUBTOTAL]]*0.105</f>
        <v>618363.9</v>
      </c>
      <c r="P94" s="1237"/>
      <c r="Q94" s="1244">
        <f>Tabla1[[#This Row],[SUBTOTAL]]+Tabla1[[#This Row],[IVA 10,5]]</f>
        <v>6507543.9000000004</v>
      </c>
      <c r="R94" s="1237"/>
      <c r="S94" s="1237"/>
      <c r="T94" s="1237"/>
      <c r="U94" s="1237"/>
      <c r="V94" s="1243">
        <f>Tabla1[[#This Row],[TOTAL*]]-Tabla1[[#This Row],[DEDUCCIONES]]+Tabla1[[#This Row],[COMISIONES]]+Tabla1[[#This Row],[RETENCION IVA]]+Tabla1[[#This Row],[IVA RG 2300/2007]]</f>
        <v>6507543.9000000004</v>
      </c>
      <c r="W94" s="1243">
        <v>920</v>
      </c>
      <c r="X94" s="1425">
        <f>Tabla1[[#This Row],[TOTAL A LIQUIDAR]]/Tabla1[[#This Row],[TIPO DE CAMBIO]]</f>
        <v>7073.417282608696</v>
      </c>
      <c r="Y94" s="1392">
        <f>Tabla1[[#This Row],[TOTAL USD]]/Tabla1[[#This Row],[HAS]]</f>
        <v>1585.4347826086957</v>
      </c>
      <c r="Z94" s="1245"/>
      <c r="AA94" s="1237"/>
    </row>
    <row r="95" spans="1:27" s="836" customFormat="1" ht="12" x14ac:dyDescent="0.2">
      <c r="A95" s="1234"/>
      <c r="B95" s="1235"/>
      <c r="C95" s="1236"/>
      <c r="D95" s="1237" t="s">
        <v>464</v>
      </c>
      <c r="E95" s="1238"/>
      <c r="F95" s="1239">
        <f>Tabla1[[#This Row],[KG NETOS TOT]]/Tabla1[[#This Row],[KG/HA (REND)]]</f>
        <v>3.643875</v>
      </c>
      <c r="G95" s="1240"/>
      <c r="H95" s="1237"/>
      <c r="I95" s="1237"/>
      <c r="J95" s="1237">
        <v>29151</v>
      </c>
      <c r="K95" s="1241">
        <v>8000</v>
      </c>
      <c r="L95" s="1242">
        <v>165</v>
      </c>
      <c r="M95" s="1243">
        <v>165000</v>
      </c>
      <c r="N95" s="1244">
        <f>Tabla1[[#This Row],[KG NETOS TOT]]*Tabla1[[#This Row],[PRECIO UNITARIO USD/TN]]/1000</f>
        <v>4809915</v>
      </c>
      <c r="O95" s="1244">
        <f>Tabla1[[#This Row],[SUBTOTAL]]*0.105</f>
        <v>505041.07499999995</v>
      </c>
      <c r="P95" s="1237"/>
      <c r="Q95" s="1244">
        <f>Tabla1[[#This Row],[SUBTOTAL]]+Tabla1[[#This Row],[IVA 10,5]]</f>
        <v>5314956.0750000002</v>
      </c>
      <c r="R95" s="1237"/>
      <c r="S95" s="1237"/>
      <c r="T95" s="1237"/>
      <c r="U95" s="1237"/>
      <c r="V95" s="1243">
        <f>Tabla1[[#This Row],[TOTAL*]]-Tabla1[[#This Row],[DEDUCCIONES]]+Tabla1[[#This Row],[COMISIONES]]+Tabla1[[#This Row],[RETENCION IVA]]+Tabla1[[#This Row],[IVA RG 2300/2007]]</f>
        <v>5314956.0750000002</v>
      </c>
      <c r="W95" s="1243">
        <v>920</v>
      </c>
      <c r="X95" s="1425">
        <f>Tabla1[[#This Row],[TOTAL A LIQUIDAR]]/Tabla1[[#This Row],[TIPO DE CAMBIO]]</f>
        <v>5777.1261684782612</v>
      </c>
      <c r="Y95" s="1392">
        <f>Tabla1[[#This Row],[TOTAL USD]]/Tabla1[[#This Row],[HAS]]</f>
        <v>1585.4347826086957</v>
      </c>
      <c r="Z95" s="1245"/>
      <c r="AA95" s="1237"/>
    </row>
    <row r="96" spans="1:27" s="836" customFormat="1" ht="12" x14ac:dyDescent="0.2">
      <c r="A96" s="862"/>
      <c r="B96" s="873"/>
      <c r="C96" s="864"/>
      <c r="D96" s="866" t="s">
        <v>465</v>
      </c>
      <c r="E96" s="863"/>
      <c r="F96" s="876">
        <f>Tabla1[[#This Row],[KG NETOS TOT]]/Tabla1[[#This Row],[KG/HA (REND)]]</f>
        <v>0</v>
      </c>
      <c r="G96" s="865"/>
      <c r="H96" s="866"/>
      <c r="I96" s="866"/>
      <c r="J96" s="866">
        <v>0</v>
      </c>
      <c r="K96" s="937">
        <v>8000</v>
      </c>
      <c r="L96" s="867">
        <v>165</v>
      </c>
      <c r="M96" s="868">
        <v>165000</v>
      </c>
      <c r="N96" s="869">
        <f>Tabla1[[#This Row],[KG NETOS TOT]]*Tabla1[[#This Row],[PRECIO UNITARIO USD/TN]]/1000</f>
        <v>0</v>
      </c>
      <c r="O96" s="869">
        <f>Tabla1[[#This Row],[SUBTOTAL]]*0.105</f>
        <v>0</v>
      </c>
      <c r="P96" s="866"/>
      <c r="Q96" s="869">
        <f>Tabla1[[#This Row],[SUBTOTAL]]+Tabla1[[#This Row],[IVA 10,5]]</f>
        <v>0</v>
      </c>
      <c r="R96" s="866"/>
      <c r="S96" s="866"/>
      <c r="T96" s="866"/>
      <c r="U96" s="866"/>
      <c r="V96" s="868">
        <f>Tabla1[[#This Row],[TOTAL*]]-Tabla1[[#This Row],[DEDUCCIONES]]+Tabla1[[#This Row],[COMISIONES]]+Tabla1[[#This Row],[RETENCION IVA]]+Tabla1[[#This Row],[IVA RG 2300/2007]]</f>
        <v>0</v>
      </c>
      <c r="W96" s="868">
        <v>920</v>
      </c>
      <c r="X96" s="1411">
        <f>Tabla1[[#This Row],[TOTAL A LIQUIDAR]]/Tabla1[[#This Row],[TIPO DE CAMBIO]]</f>
        <v>0</v>
      </c>
      <c r="Y96" s="1386"/>
      <c r="Z96" s="870"/>
      <c r="AA96" s="866"/>
    </row>
    <row r="97" spans="1:30" s="836" customFormat="1" ht="12" x14ac:dyDescent="0.2">
      <c r="A97" s="1246"/>
      <c r="B97" s="1250"/>
      <c r="C97" s="1259"/>
      <c r="D97" s="1249" t="s">
        <v>466</v>
      </c>
      <c r="E97" s="1250"/>
      <c r="F97" s="1251">
        <f>Tabla1[[#This Row],[KG NETOS TOT]]/Tabla1[[#This Row],[KG/HA (REND)]]</f>
        <v>8.2985373171646462</v>
      </c>
      <c r="G97" s="1252"/>
      <c r="H97" s="1249"/>
      <c r="I97" s="1249"/>
      <c r="J97" s="1249">
        <f>60000+6380</f>
        <v>66380</v>
      </c>
      <c r="K97" s="1253">
        <v>7999</v>
      </c>
      <c r="L97" s="1254">
        <v>160</v>
      </c>
      <c r="M97" s="1255">
        <v>160000</v>
      </c>
      <c r="N97" s="1256">
        <f>Tabla1[[#This Row],[KG NETOS TOT]]*Tabla1[[#This Row],[PRECIO UNITARIO USD/TN]]/1000</f>
        <v>10620800</v>
      </c>
      <c r="O97" s="1256">
        <f>Tabla1[[#This Row],[SUBTOTAL]]*0.105</f>
        <v>1115184</v>
      </c>
      <c r="P97" s="1249"/>
      <c r="Q97" s="1256">
        <f>Tabla1[[#This Row],[SUBTOTAL]]+Tabla1[[#This Row],[IVA 10,5]]</f>
        <v>11735984</v>
      </c>
      <c r="R97" s="1249"/>
      <c r="S97" s="1249"/>
      <c r="T97" s="1249"/>
      <c r="U97" s="1249"/>
      <c r="V97" s="1255">
        <f>Tabla1[[#This Row],[TOTAL*]]-Tabla1[[#This Row],[DEDUCCIONES]]+Tabla1[[#This Row],[COMISIONES]]+Tabla1[[#This Row],[RETENCION IVA]]+Tabla1[[#This Row],[IVA RG 2300/2007]]</f>
        <v>11735984</v>
      </c>
      <c r="W97" s="1255">
        <v>959</v>
      </c>
      <c r="X97" s="1426">
        <f>Tabla1[[#This Row],[TOTAL A LIQUIDAR]]/Tabla1[[#This Row],[TIPO DE CAMBIO]]</f>
        <v>12237.730969760167</v>
      </c>
      <c r="Y97" s="1393">
        <f>Tabla1[[#This Row],[TOTAL USD]]/Tabla1[[#This Row],[HAS]]</f>
        <v>1474.6852971845672</v>
      </c>
      <c r="Z97" s="1257"/>
      <c r="AA97" s="1249" t="s">
        <v>467</v>
      </c>
    </row>
    <row r="98" spans="1:30" s="836" customFormat="1" ht="12" x14ac:dyDescent="0.2">
      <c r="A98" s="1246">
        <v>45531</v>
      </c>
      <c r="B98" s="1247"/>
      <c r="C98" s="1248"/>
      <c r="D98" s="1249" t="s">
        <v>466</v>
      </c>
      <c r="E98" s="1250"/>
      <c r="F98" s="1251">
        <f>Tabla1[[#This Row],[KG NETOS TOT]]/Tabla1[[#This Row],[KG/HA (REND)]]</f>
        <v>3.8812500000000001</v>
      </c>
      <c r="G98" s="1252"/>
      <c r="H98" s="1249"/>
      <c r="I98" s="1249"/>
      <c r="J98" s="1249">
        <v>31050</v>
      </c>
      <c r="K98" s="1253">
        <v>8000</v>
      </c>
      <c r="L98" s="1254">
        <v>160</v>
      </c>
      <c r="M98" s="1255">
        <v>160000</v>
      </c>
      <c r="N98" s="1256">
        <f>Tabla1[[#This Row],[KG NETOS TOT]]*Tabla1[[#This Row],[PRECIO UNITARIO USD/TN]]/1000</f>
        <v>4968000</v>
      </c>
      <c r="O98" s="1256">
        <f>Tabla1[[#This Row],[SUBTOTAL]]*0.105</f>
        <v>521640</v>
      </c>
      <c r="P98" s="1249"/>
      <c r="Q98" s="1256">
        <f>Tabla1[[#This Row],[SUBTOTAL]]+Tabla1[[#This Row],[IVA 10,5]]</f>
        <v>5489640</v>
      </c>
      <c r="R98" s="1249"/>
      <c r="S98" s="1249"/>
      <c r="T98" s="1249"/>
      <c r="U98" s="1249"/>
      <c r="V98" s="1255">
        <f>Tabla1[[#This Row],[TOTAL*]]-Tabla1[[#This Row],[DEDUCCIONES]]+Tabla1[[#This Row],[COMISIONES]]+Tabla1[[#This Row],[RETENCION IVA]]+Tabla1[[#This Row],[IVA RG 2300/2007]]</f>
        <v>5489640</v>
      </c>
      <c r="W98" s="1255">
        <v>960</v>
      </c>
      <c r="X98" s="1426">
        <f>Tabla1[[#This Row],[TOTAL A LIQUIDAR]]/Tabla1[[#This Row],[TIPO DE CAMBIO]]</f>
        <v>5718.375</v>
      </c>
      <c r="Y98" s="1393">
        <f>Tabla1[[#This Row],[TOTAL USD]]/Tabla1[[#This Row],[HAS]]</f>
        <v>1473.3333333333333</v>
      </c>
      <c r="Z98" s="1257"/>
      <c r="AA98" s="1249"/>
    </row>
    <row r="99" spans="1:30" s="836" customFormat="1" ht="12" x14ac:dyDescent="0.2">
      <c r="A99" s="1246">
        <v>45531</v>
      </c>
      <c r="B99" s="1247"/>
      <c r="C99" s="1248"/>
      <c r="D99" s="1249" t="s">
        <v>466</v>
      </c>
      <c r="E99" s="1250"/>
      <c r="F99" s="1251">
        <f>Tabla1[[#This Row],[KG NETOS TOT]]/Tabla1[[#This Row],[KG/HA (REND)]]</f>
        <v>3.7987500000000001</v>
      </c>
      <c r="G99" s="1252"/>
      <c r="H99" s="1249"/>
      <c r="I99" s="1249"/>
      <c r="J99" s="1249">
        <v>30390</v>
      </c>
      <c r="K99" s="1253">
        <v>8000</v>
      </c>
      <c r="L99" s="1254">
        <v>160</v>
      </c>
      <c r="M99" s="1255">
        <v>160000</v>
      </c>
      <c r="N99" s="1256">
        <f>Tabla1[[#This Row],[KG NETOS TOT]]*Tabla1[[#This Row],[PRECIO UNITARIO USD/TN]]/1000</f>
        <v>4862400</v>
      </c>
      <c r="O99" s="1256">
        <f>Tabla1[[#This Row],[SUBTOTAL]]*0.105</f>
        <v>510552</v>
      </c>
      <c r="P99" s="1249"/>
      <c r="Q99" s="1256">
        <f>Tabla1[[#This Row],[SUBTOTAL]]+Tabla1[[#This Row],[IVA 10,5]]</f>
        <v>5372952</v>
      </c>
      <c r="R99" s="1249"/>
      <c r="S99" s="1249"/>
      <c r="T99" s="1249"/>
      <c r="U99" s="1249"/>
      <c r="V99" s="1255">
        <f>Tabla1[[#This Row],[TOTAL*]]-Tabla1[[#This Row],[DEDUCCIONES]]+Tabla1[[#This Row],[COMISIONES]]+Tabla1[[#This Row],[RETENCION IVA]]+Tabla1[[#This Row],[IVA RG 2300/2007]]</f>
        <v>5372952</v>
      </c>
      <c r="W99" s="1255">
        <v>960</v>
      </c>
      <c r="X99" s="1426">
        <f>Tabla1[[#This Row],[TOTAL A LIQUIDAR]]/Tabla1[[#This Row],[TIPO DE CAMBIO]]</f>
        <v>5596.8249999999998</v>
      </c>
      <c r="Y99" s="1393">
        <f>Tabla1[[#This Row],[TOTAL USD]]/Tabla1[[#This Row],[HAS]]</f>
        <v>1473.3333333333333</v>
      </c>
      <c r="Z99" s="1257"/>
      <c r="AA99" s="1249" t="s">
        <v>468</v>
      </c>
    </row>
    <row r="100" spans="1:30" s="836" customFormat="1" ht="12" x14ac:dyDescent="0.2">
      <c r="A100" s="1246">
        <v>45533</v>
      </c>
      <c r="B100" s="1247"/>
      <c r="C100" s="1248"/>
      <c r="D100" s="1249" t="s">
        <v>469</v>
      </c>
      <c r="E100" s="1250"/>
      <c r="F100" s="1251">
        <f>Tabla1[[#This Row],[KG NETOS TOT]]/Tabla1[[#This Row],[KG/HA (REND)]]</f>
        <v>3.4849999999999999</v>
      </c>
      <c r="G100" s="1252"/>
      <c r="H100" s="1249"/>
      <c r="I100" s="1249"/>
      <c r="J100" s="1249">
        <v>27880</v>
      </c>
      <c r="K100" s="1253">
        <v>8000</v>
      </c>
      <c r="L100" s="1254">
        <v>160</v>
      </c>
      <c r="M100" s="1255">
        <f>Tabla1[[#This Row],[$/TN]]*960</f>
        <v>153600</v>
      </c>
      <c r="N100" s="1256">
        <f>Tabla1[[#This Row],[KG NETOS TOT]]*Tabla1[[#This Row],[PRECIO UNITARIO USD/TN]]/1000</f>
        <v>4282368</v>
      </c>
      <c r="O100" s="1256">
        <f>Tabla1[[#This Row],[SUBTOTAL]]*0.105</f>
        <v>449648.63999999996</v>
      </c>
      <c r="P100" s="1249"/>
      <c r="Q100" s="1256">
        <f>Tabla1[[#This Row],[SUBTOTAL]]+Tabla1[[#This Row],[IVA 10,5]]</f>
        <v>4732016.6399999997</v>
      </c>
      <c r="R100" s="1249"/>
      <c r="S100" s="1249"/>
      <c r="T100" s="1258">
        <v>146984</v>
      </c>
      <c r="U100" s="1249"/>
      <c r="V100" s="1255">
        <f>Tabla1[[#This Row],[TOTAL*]]-Tabla1[[#This Row],[DEDUCCIONES]]+Tabla1[[#This Row],[COMISIONES]]+Tabla1[[#This Row],[RETENCION IVA]]+Tabla1[[#This Row],[IVA RG 2300/2007]]</f>
        <v>4879000.6399999997</v>
      </c>
      <c r="W100" s="1255">
        <v>960</v>
      </c>
      <c r="X100" s="1426">
        <f>Tabla1[[#This Row],[TOTAL A LIQUIDAR]]/Tabla1[[#This Row],[TIPO DE CAMBIO]]</f>
        <v>5082.2923333333329</v>
      </c>
      <c r="Y100" s="1393">
        <f>Tabla1[[#This Row],[TOTAL USD]]/Tabla1[[#This Row],[HAS]]</f>
        <v>1458.3335246293639</v>
      </c>
      <c r="Z100" s="1257"/>
      <c r="AA100" s="1249" t="s">
        <v>470</v>
      </c>
    </row>
    <row r="101" spans="1:30" s="836" customFormat="1" ht="12" x14ac:dyDescent="0.2">
      <c r="A101" s="1246">
        <v>45533</v>
      </c>
      <c r="B101" s="1247"/>
      <c r="C101" s="1248"/>
      <c r="D101" s="1249" t="s">
        <v>469</v>
      </c>
      <c r="E101" s="1250"/>
      <c r="F101" s="1251">
        <f>Tabla1[[#This Row],[KG NETOS TOT]]/Tabla1[[#This Row],[KG/HA (REND)]]</f>
        <v>4.5949999999999998</v>
      </c>
      <c r="G101" s="1252"/>
      <c r="H101" s="1249"/>
      <c r="I101" s="1249"/>
      <c r="J101" s="1249">
        <v>36760</v>
      </c>
      <c r="K101" s="1253">
        <v>8000</v>
      </c>
      <c r="L101" s="1254">
        <v>160</v>
      </c>
      <c r="M101" s="1255">
        <f>Tabla1[[#This Row],[$/TN]]*960</f>
        <v>153600</v>
      </c>
      <c r="N101" s="1256">
        <f>Tabla1[[#This Row],[KG NETOS TOT]]*Tabla1[[#This Row],[PRECIO UNITARIO USD/TN]]/1000</f>
        <v>5646336</v>
      </c>
      <c r="O101" s="1256">
        <f>Tabla1[[#This Row],[SUBTOTAL]]*0.105</f>
        <v>592865.28000000003</v>
      </c>
      <c r="P101" s="1249"/>
      <c r="Q101" s="1256">
        <f>Tabla1[[#This Row],[SUBTOTAL]]+Tabla1[[#This Row],[IVA 10,5]]</f>
        <v>6239201.2800000003</v>
      </c>
      <c r="R101" s="1249"/>
      <c r="S101" s="1249"/>
      <c r="T101" s="1249"/>
      <c r="U101" s="1249"/>
      <c r="V101" s="1255">
        <f>Tabla1[[#This Row],[TOTAL*]]-Tabla1[[#This Row],[DEDUCCIONES]]+Tabla1[[#This Row],[COMISIONES]]+Tabla1[[#This Row],[RETENCION IVA]]+Tabla1[[#This Row],[IVA RG 2300/2007]]</f>
        <v>6239201.2800000003</v>
      </c>
      <c r="W101" s="1255">
        <v>960</v>
      </c>
      <c r="X101" s="1426">
        <f>Tabla1[[#This Row],[TOTAL A LIQUIDAR]]/Tabla1[[#This Row],[TIPO DE CAMBIO]]</f>
        <v>6499.1680000000006</v>
      </c>
      <c r="Y101" s="1393">
        <f>Tabla1[[#This Row],[TOTAL USD]]/Tabla1[[#This Row],[HAS]]</f>
        <v>1414.4</v>
      </c>
      <c r="Z101" s="1257"/>
      <c r="AA101" s="1249" t="s">
        <v>471</v>
      </c>
    </row>
    <row r="102" spans="1:30" s="836" customFormat="1" ht="12" x14ac:dyDescent="0.2">
      <c r="A102" s="1246">
        <v>45537</v>
      </c>
      <c r="B102" s="1247"/>
      <c r="C102" s="1248"/>
      <c r="D102" s="1249" t="s">
        <v>378</v>
      </c>
      <c r="E102" s="1250"/>
      <c r="F102" s="1251">
        <f>Tabla1[[#This Row],[KG NETOS TOT]]/Tabla1[[#This Row],[KG/HA (REND)]]</f>
        <v>3.73725</v>
      </c>
      <c r="G102" s="1252"/>
      <c r="H102" s="1249"/>
      <c r="I102" s="1249"/>
      <c r="J102" s="1249">
        <f>29710+188</f>
        <v>29898</v>
      </c>
      <c r="K102" s="1253">
        <v>8000</v>
      </c>
      <c r="L102" s="1254">
        <v>160</v>
      </c>
      <c r="M102" s="1255">
        <v>175000</v>
      </c>
      <c r="N102" s="1256">
        <f>Tabla1[[#This Row],[KG NETOS TOT]]*Tabla1[[#This Row],[PRECIO UNITARIO USD/TN]]/1000</f>
        <v>5232150</v>
      </c>
      <c r="O102" s="1256">
        <f>Tabla1[[#This Row],[SUBTOTAL]]*0.08</f>
        <v>418572</v>
      </c>
      <c r="P102" s="1249"/>
      <c r="Q102" s="1256">
        <f>Tabla1[[#This Row],[SUBTOTAL]]+Tabla1[[#This Row],[IVA 10,5]]</f>
        <v>5650722</v>
      </c>
      <c r="R102" s="1249"/>
      <c r="S102" s="1249"/>
      <c r="T102" s="1249"/>
      <c r="U102" s="1249"/>
      <c r="V102" s="1255">
        <f>Tabla1[[#This Row],[TOTAL*]]-Tabla1[[#This Row],[DEDUCCIONES]]+Tabla1[[#This Row],[COMISIONES]]+Tabla1[[#This Row],[RETENCION IVA]]+Tabla1[[#This Row],[IVA RG 2300/2007]]</f>
        <v>5650722</v>
      </c>
      <c r="W102" s="1255">
        <v>963</v>
      </c>
      <c r="X102" s="1426">
        <f>Tabla1[[#This Row],[TOTAL A LIQUIDAR]]/Tabla1[[#This Row],[TIPO DE CAMBIO]]</f>
        <v>5867.8317757009345</v>
      </c>
      <c r="Y102" s="1393">
        <f>Tabla1[[#This Row],[TOTAL USD]]/Tabla1[[#This Row],[HAS]]</f>
        <v>1570.0934579439252</v>
      </c>
      <c r="Z102" s="1257"/>
      <c r="AA102" s="1249" t="s">
        <v>472</v>
      </c>
      <c r="AD102" s="1443">
        <f>SUM(X93:X108)</f>
        <v>95733.169987830872</v>
      </c>
    </row>
    <row r="103" spans="1:30" s="836" customFormat="1" ht="12" x14ac:dyDescent="0.2">
      <c r="A103" s="1246">
        <v>45537</v>
      </c>
      <c r="B103" s="1247"/>
      <c r="C103" s="1248"/>
      <c r="D103" s="1249" t="s">
        <v>378</v>
      </c>
      <c r="E103" s="1250"/>
      <c r="F103" s="1251">
        <f>Tabla1[[#This Row],[KG NETOS TOT]]/Tabla1[[#This Row],[KG/HA (REND)]]</f>
        <v>3.7949999999999999</v>
      </c>
      <c r="G103" s="1252"/>
      <c r="H103" s="1249"/>
      <c r="I103" s="1249"/>
      <c r="J103" s="1249">
        <v>30360</v>
      </c>
      <c r="K103" s="1253">
        <v>8000</v>
      </c>
      <c r="L103" s="1254">
        <v>160</v>
      </c>
      <c r="M103" s="1255">
        <v>175000</v>
      </c>
      <c r="N103" s="1256">
        <f>Tabla1[[#This Row],[KG NETOS TOT]]*Tabla1[[#This Row],[PRECIO UNITARIO USD/TN]]/1000</f>
        <v>5313000</v>
      </c>
      <c r="O103" s="1256">
        <f>Tabla1[[#This Row],[SUBTOTAL]]*0.08</f>
        <v>425040</v>
      </c>
      <c r="P103" s="1249"/>
      <c r="Q103" s="1256">
        <f>Tabla1[[#This Row],[SUBTOTAL]]+Tabla1[[#This Row],[IVA 10,5]]</f>
        <v>5738040</v>
      </c>
      <c r="R103" s="1249"/>
      <c r="S103" s="1249"/>
      <c r="T103" s="1249"/>
      <c r="U103" s="1249"/>
      <c r="V103" s="1255">
        <f>Tabla1[[#This Row],[TOTAL*]]-Tabla1[[#This Row],[DEDUCCIONES]]+Tabla1[[#This Row],[COMISIONES]]+Tabla1[[#This Row],[RETENCION IVA]]+Tabla1[[#This Row],[IVA RG 2300/2007]]</f>
        <v>5738040</v>
      </c>
      <c r="W103" s="1255">
        <v>965</v>
      </c>
      <c r="X103" s="1426">
        <f>Tabla1[[#This Row],[TOTAL A LIQUIDAR]]/Tabla1[[#This Row],[TIPO DE CAMBIO]]</f>
        <v>5946.1554404145081</v>
      </c>
      <c r="Y103" s="1393">
        <f>Tabla1[[#This Row],[TOTAL USD]]/Tabla1[[#This Row],[HAS]]</f>
        <v>1566.8393782383421</v>
      </c>
      <c r="Z103" s="1257"/>
      <c r="AA103" s="1249" t="s">
        <v>473</v>
      </c>
    </row>
    <row r="104" spans="1:30" s="836" customFormat="1" ht="12" x14ac:dyDescent="0.2">
      <c r="A104" s="1246">
        <v>45539</v>
      </c>
      <c r="B104" s="1247"/>
      <c r="C104" s="1248"/>
      <c r="D104" s="1249" t="s">
        <v>378</v>
      </c>
      <c r="E104" s="1250"/>
      <c r="F104" s="1251">
        <f>Tabla1[[#This Row],[KG NETOS TOT]]/Tabla1[[#This Row],[KG/HA (REND)]]</f>
        <v>4.4775</v>
      </c>
      <c r="G104" s="1252"/>
      <c r="H104" s="1249"/>
      <c r="I104" s="1249"/>
      <c r="J104" s="1249">
        <v>35820</v>
      </c>
      <c r="K104" s="1253">
        <v>8000</v>
      </c>
      <c r="L104" s="1254">
        <v>160</v>
      </c>
      <c r="M104" s="1255">
        <v>175000</v>
      </c>
      <c r="N104" s="1256">
        <f>Tabla1[[#This Row],[KG NETOS TOT]]*Tabla1[[#This Row],[PRECIO UNITARIO USD/TN]]/1000</f>
        <v>6268500</v>
      </c>
      <c r="O104" s="1256">
        <f>Tabla1[[#This Row],[SUBTOTAL]]*0.08</f>
        <v>501480</v>
      </c>
      <c r="P104" s="1249"/>
      <c r="Q104" s="1256">
        <f>Tabla1[[#This Row],[SUBTOTAL]]+Tabla1[[#This Row],[IVA 10,5]]</f>
        <v>6769980</v>
      </c>
      <c r="R104" s="1249"/>
      <c r="S104" s="1249"/>
      <c r="T104" s="1249"/>
      <c r="U104" s="1249"/>
      <c r="V104" s="1255">
        <f>Tabla1[[#This Row],[TOTAL*]]-Tabla1[[#This Row],[DEDUCCIONES]]+Tabla1[[#This Row],[COMISIONES]]+Tabla1[[#This Row],[RETENCION IVA]]+Tabla1[[#This Row],[IVA RG 2300/2007]]</f>
        <v>6769980</v>
      </c>
      <c r="W104" s="1255">
        <v>967</v>
      </c>
      <c r="X104" s="1426">
        <f>Tabla1[[#This Row],[TOTAL A LIQUIDAR]]/Tabla1[[#This Row],[TIPO DE CAMBIO]]</f>
        <v>7001.013443640124</v>
      </c>
      <c r="Y104" s="1393">
        <f>Tabla1[[#This Row],[TOTAL USD]]/Tabla1[[#This Row],[HAS]]</f>
        <v>1563.5987590486038</v>
      </c>
      <c r="Z104" s="1257"/>
      <c r="AA104" s="1249"/>
    </row>
    <row r="105" spans="1:30" s="836" customFormat="1" ht="12" x14ac:dyDescent="0.2">
      <c r="A105" s="1246">
        <v>45539</v>
      </c>
      <c r="B105" s="1247"/>
      <c r="C105" s="1248"/>
      <c r="D105" s="1249" t="s">
        <v>378</v>
      </c>
      <c r="E105" s="1250"/>
      <c r="F105" s="1251">
        <f>Tabla1[[#This Row],[KG NETOS TOT]]/Tabla1[[#This Row],[KG/HA (REND)]]</f>
        <v>3.6749999999999998</v>
      </c>
      <c r="G105" s="1252"/>
      <c r="H105" s="1249"/>
      <c r="I105" s="1249"/>
      <c r="J105" s="1249">
        <v>29400</v>
      </c>
      <c r="K105" s="1253">
        <v>8000</v>
      </c>
      <c r="L105" s="1254">
        <v>160</v>
      </c>
      <c r="M105" s="1255">
        <v>175000</v>
      </c>
      <c r="N105" s="1256">
        <f>Tabla1[[#This Row],[KG NETOS TOT]]*Tabla1[[#This Row],[PRECIO UNITARIO USD/TN]]/1000</f>
        <v>5145000</v>
      </c>
      <c r="O105" s="1256">
        <f>Tabla1[[#This Row],[SUBTOTAL]]*0.08</f>
        <v>411600</v>
      </c>
      <c r="P105" s="1249"/>
      <c r="Q105" s="1256">
        <f>Tabla1[[#This Row],[SUBTOTAL]]+Tabla1[[#This Row],[IVA 10,5]]</f>
        <v>5556600</v>
      </c>
      <c r="R105" s="1249"/>
      <c r="S105" s="1249"/>
      <c r="T105" s="1249"/>
      <c r="U105" s="1249"/>
      <c r="V105" s="1255">
        <f>Tabla1[[#This Row],[TOTAL*]]-Tabla1[[#This Row],[DEDUCCIONES]]+Tabla1[[#This Row],[COMISIONES]]+Tabla1[[#This Row],[RETENCION IVA]]+Tabla1[[#This Row],[IVA RG 2300/2007]]</f>
        <v>5556600</v>
      </c>
      <c r="W105" s="1255">
        <v>969</v>
      </c>
      <c r="X105" s="1426">
        <f>Tabla1[[#This Row],[TOTAL A LIQUIDAR]]/Tabla1[[#This Row],[TIPO DE CAMBIO]]</f>
        <v>5734.3653250773996</v>
      </c>
      <c r="Y105" s="1393">
        <f>Tabla1[[#This Row],[TOTAL USD]]/Tabla1[[#This Row],[HAS]]</f>
        <v>1560.371517027864</v>
      </c>
      <c r="Z105" s="1257"/>
      <c r="AA105" s="1249" t="s">
        <v>474</v>
      </c>
    </row>
    <row r="106" spans="1:30" s="836" customFormat="1" ht="12" x14ac:dyDescent="0.2">
      <c r="A106" s="1246">
        <v>45539</v>
      </c>
      <c r="B106" s="1247"/>
      <c r="C106" s="1248"/>
      <c r="D106" s="1249" t="s">
        <v>378</v>
      </c>
      <c r="E106" s="1250"/>
      <c r="F106" s="1251">
        <f>Tabla1[[#This Row],[KG NETOS TOT]]/Tabla1[[#This Row],[KG/HA (REND)]]</f>
        <v>3.855</v>
      </c>
      <c r="G106" s="1252"/>
      <c r="H106" s="1249"/>
      <c r="I106" s="1249"/>
      <c r="J106" s="1249">
        <v>30840</v>
      </c>
      <c r="K106" s="1253">
        <v>8000</v>
      </c>
      <c r="L106" s="1254">
        <v>160</v>
      </c>
      <c r="M106" s="1255">
        <v>175000</v>
      </c>
      <c r="N106" s="1256">
        <f>Tabla1[[#This Row],[KG NETOS TOT]]*Tabla1[[#This Row],[PRECIO UNITARIO USD/TN]]/1000</f>
        <v>5397000</v>
      </c>
      <c r="O106" s="1256">
        <f>Tabla1[[#This Row],[SUBTOTAL]]*0.08</f>
        <v>431760</v>
      </c>
      <c r="P106" s="1249"/>
      <c r="Q106" s="1256">
        <f>Tabla1[[#This Row],[SUBTOTAL]]+Tabla1[[#This Row],[IVA 10,5]]</f>
        <v>5828760</v>
      </c>
      <c r="R106" s="1249"/>
      <c r="S106" s="1249"/>
      <c r="T106" s="1249"/>
      <c r="U106" s="1249"/>
      <c r="V106" s="1255">
        <f>Tabla1[[#This Row],[TOTAL*]]-Tabla1[[#This Row],[DEDUCCIONES]]+Tabla1[[#This Row],[COMISIONES]]+Tabla1[[#This Row],[RETENCION IVA]]+Tabla1[[#This Row],[IVA RG 2300/2007]]</f>
        <v>5828760</v>
      </c>
      <c r="W106" s="1255">
        <v>970</v>
      </c>
      <c r="X106" s="1426">
        <f>Tabla1[[#This Row],[TOTAL A LIQUIDAR]]/Tabla1[[#This Row],[TIPO DE CAMBIO]]</f>
        <v>6009.0309278350514</v>
      </c>
      <c r="Y106" s="1393">
        <f>Tabla1[[#This Row],[TOTAL USD]]/Tabla1[[#This Row],[HAS]]</f>
        <v>1558.7628865979382</v>
      </c>
      <c r="Z106" s="1257"/>
      <c r="AA106" s="1249" t="s">
        <v>474</v>
      </c>
    </row>
    <row r="107" spans="1:30" s="836" customFormat="1" ht="12" x14ac:dyDescent="0.2">
      <c r="A107" s="1246">
        <v>45539</v>
      </c>
      <c r="B107" s="1247"/>
      <c r="C107" s="1248"/>
      <c r="D107" s="1249" t="s">
        <v>378</v>
      </c>
      <c r="E107" s="1250"/>
      <c r="F107" s="1251">
        <f>Tabla1[[#This Row],[KG NETOS TOT]]/Tabla1[[#This Row],[KG/HA (REND)]]</f>
        <v>3.6675</v>
      </c>
      <c r="G107" s="1252"/>
      <c r="H107" s="1249"/>
      <c r="I107" s="1249"/>
      <c r="J107" s="1249">
        <v>29340</v>
      </c>
      <c r="K107" s="1253">
        <v>8000</v>
      </c>
      <c r="L107" s="1254">
        <v>160</v>
      </c>
      <c r="M107" s="1255">
        <v>175000</v>
      </c>
      <c r="N107" s="1256">
        <f>Tabla1[[#This Row],[KG NETOS TOT]]*Tabla1[[#This Row],[PRECIO UNITARIO USD/TN]]/1000</f>
        <v>5134500</v>
      </c>
      <c r="O107" s="1256">
        <f>Tabla1[[#This Row],[SUBTOTAL]]*0.08</f>
        <v>410760</v>
      </c>
      <c r="P107" s="1249"/>
      <c r="Q107" s="1256">
        <f>Tabla1[[#This Row],[SUBTOTAL]]+Tabla1[[#This Row],[IVA 10,5]]</f>
        <v>5545260</v>
      </c>
      <c r="R107" s="1249"/>
      <c r="S107" s="1249"/>
      <c r="T107" s="1249"/>
      <c r="U107" s="1249"/>
      <c r="V107" s="1255">
        <f>Tabla1[[#This Row],[TOTAL*]]-Tabla1[[#This Row],[DEDUCCIONES]]+Tabla1[[#This Row],[COMISIONES]]+Tabla1[[#This Row],[RETENCION IVA]]+Tabla1[[#This Row],[IVA RG 2300/2007]]</f>
        <v>5545260</v>
      </c>
      <c r="W107" s="1255">
        <v>971</v>
      </c>
      <c r="X107" s="1426">
        <f>Tabla1[[#This Row],[TOTAL A LIQUIDAR]]/Tabla1[[#This Row],[TIPO DE CAMBIO]]</f>
        <v>5710.8753861997939</v>
      </c>
      <c r="Y107" s="1393">
        <f>Tabla1[[#This Row],[TOTAL USD]]/Tabla1[[#This Row],[HAS]]</f>
        <v>1557.1575695159629</v>
      </c>
      <c r="Z107" s="1257"/>
      <c r="AA107" s="1249" t="s">
        <v>474</v>
      </c>
    </row>
    <row r="108" spans="1:30" s="836" customFormat="1" ht="12" x14ac:dyDescent="0.2">
      <c r="A108" s="1246">
        <v>45539</v>
      </c>
      <c r="B108" s="1247"/>
      <c r="C108" s="1248"/>
      <c r="D108" s="1249" t="s">
        <v>378</v>
      </c>
      <c r="E108" s="1250"/>
      <c r="F108" s="1251">
        <f>Tabla1[[#This Row],[KG NETOS TOT]]/Tabla1[[#This Row],[KG/HA (REND)]]</f>
        <v>3.78</v>
      </c>
      <c r="G108" s="1252"/>
      <c r="H108" s="1249"/>
      <c r="I108" s="1249"/>
      <c r="J108" s="1249">
        <v>30240</v>
      </c>
      <c r="K108" s="1253">
        <v>8000</v>
      </c>
      <c r="L108" s="1254">
        <v>160</v>
      </c>
      <c r="M108" s="1255">
        <v>175000</v>
      </c>
      <c r="N108" s="1256">
        <f>Tabla1[[#This Row],[KG NETOS TOT]]*Tabla1[[#This Row],[PRECIO UNITARIO USD/TN]]/1000</f>
        <v>5292000</v>
      </c>
      <c r="O108" s="1256">
        <f>Tabla1[[#This Row],[SUBTOTAL]]*0.08</f>
        <v>423360</v>
      </c>
      <c r="P108" s="1249"/>
      <c r="Q108" s="1256">
        <f>Tabla1[[#This Row],[SUBTOTAL]]+Tabla1[[#This Row],[IVA 10,5]]</f>
        <v>5715360</v>
      </c>
      <c r="R108" s="1249"/>
      <c r="S108" s="1249"/>
      <c r="T108" s="1249"/>
      <c r="U108" s="1249"/>
      <c r="V108" s="1255">
        <f>Tabla1[[#This Row],[TOTAL*]]-Tabla1[[#This Row],[DEDUCCIONES]]+Tabla1[[#This Row],[COMISIONES]]+Tabla1[[#This Row],[RETENCION IVA]]+Tabla1[[#This Row],[IVA RG 2300/2007]]</f>
        <v>5715360</v>
      </c>
      <c r="W108" s="1255">
        <v>972</v>
      </c>
      <c r="X108" s="1426">
        <f>Tabla1[[#This Row],[TOTAL A LIQUIDAR]]/Tabla1[[#This Row],[TIPO DE CAMBIO]]</f>
        <v>5880</v>
      </c>
      <c r="Y108" s="1393">
        <f>Tabla1[[#This Row],[TOTAL USD]]/Tabla1[[#This Row],[HAS]]</f>
        <v>1555.5555555555557</v>
      </c>
      <c r="Z108" s="1257"/>
      <c r="AA108" s="1249" t="s">
        <v>474</v>
      </c>
    </row>
    <row r="109" spans="1:30" s="836" customFormat="1" ht="12" x14ac:dyDescent="0.2">
      <c r="A109" s="942"/>
      <c r="B109" s="943"/>
      <c r="C109" s="944"/>
      <c r="D109" s="894"/>
      <c r="E109" s="891"/>
      <c r="F109" s="945"/>
      <c r="G109" s="946"/>
      <c r="H109" s="894"/>
      <c r="I109" s="894"/>
      <c r="J109" s="894"/>
      <c r="K109" s="971"/>
      <c r="L109" s="947"/>
      <c r="M109" s="935"/>
      <c r="N109" s="936"/>
      <c r="O109" s="936"/>
      <c r="P109" s="894"/>
      <c r="Q109" s="936"/>
      <c r="R109" s="894"/>
      <c r="S109" s="894"/>
      <c r="T109" s="894"/>
      <c r="U109" s="894"/>
      <c r="V109" s="935"/>
      <c r="W109" s="935"/>
      <c r="X109" s="1419"/>
      <c r="Y109" s="1394"/>
      <c r="Z109" s="948"/>
      <c r="AA109" s="893"/>
    </row>
    <row r="110" spans="1:30" s="836" customFormat="1" ht="12" x14ac:dyDescent="0.2">
      <c r="A110" s="862"/>
      <c r="B110" s="873"/>
      <c r="C110" s="864"/>
      <c r="D110" s="866" t="s">
        <v>475</v>
      </c>
      <c r="E110" s="863"/>
      <c r="F110" s="876">
        <f>Tabla1[[#This Row],[KG NETOS TOT]]/Tabla1[[#This Row],[KG/HA (REND)]]</f>
        <v>57.5</v>
      </c>
      <c r="G110" s="865"/>
      <c r="H110" s="866"/>
      <c r="I110" s="866"/>
      <c r="J110" s="866">
        <v>460000</v>
      </c>
      <c r="K110" s="937">
        <v>8000</v>
      </c>
      <c r="L110" s="867"/>
      <c r="M110" s="868">
        <v>140.57</v>
      </c>
      <c r="N110" s="869">
        <f>Tabla1[[#This Row],[KG NETOS TOT]]*Tabla1[[#This Row],[PRECIO UNITARIO USD/TN]]</f>
        <v>64662200</v>
      </c>
      <c r="O110" s="869">
        <f>Tabla1[[#This Row],[SUBTOTAL]]*0.105</f>
        <v>6789531</v>
      </c>
      <c r="P110" s="866"/>
      <c r="Q110" s="869">
        <f>Tabla1[[#This Row],[SUBTOTAL]]+Tabla1[[#This Row],[IVA 10,5]]</f>
        <v>71451731</v>
      </c>
      <c r="R110" s="866"/>
      <c r="S110" s="866"/>
      <c r="T110" s="866"/>
      <c r="U110" s="866"/>
      <c r="V110" s="868">
        <f>Tabla1[[#This Row],[TOTAL*]]-Tabla1[[#This Row],[DEDUCCIONES]]+Tabla1[[#This Row],[COMISIONES]]+Tabla1[[#This Row],[RETENCION IVA]]+Tabla1[[#This Row],[IVA RG 2300/2007]]</f>
        <v>71451731</v>
      </c>
      <c r="W110" s="868">
        <v>940</v>
      </c>
      <c r="X110" s="1411">
        <f>Tabla1[[#This Row],[TOTAL A LIQUIDAR]]/Tabla1[[#This Row],[TIPO DE CAMBIO]]</f>
        <v>76012.479787234042</v>
      </c>
      <c r="Y110" s="1386">
        <f>Tabla1[[#This Row],[TOTAL USD]]/Tabla1[[#This Row],[HAS]]</f>
        <v>1321.956170212766</v>
      </c>
      <c r="Z110" s="870"/>
      <c r="AA110" s="866"/>
    </row>
    <row r="111" spans="1:30" s="836" customFormat="1" ht="12" x14ac:dyDescent="0.2">
      <c r="A111" s="878"/>
      <c r="B111" s="866"/>
      <c r="C111" s="866"/>
      <c r="D111" s="866" t="s">
        <v>476</v>
      </c>
      <c r="E111" s="866"/>
      <c r="F111" s="876">
        <f>Tabla1[[#This Row],[KG NETOS TOT]]/Tabla1[[#This Row],[KG/HA (REND)]]</f>
        <v>112.5</v>
      </c>
      <c r="G111" s="866"/>
      <c r="H111" s="866"/>
      <c r="I111" s="866"/>
      <c r="J111" s="866">
        <v>900000</v>
      </c>
      <c r="K111" s="937">
        <v>8000</v>
      </c>
      <c r="L111" s="867"/>
      <c r="M111" s="868">
        <v>32.17</v>
      </c>
      <c r="N111" s="869">
        <f>Tabla1[[#This Row],[KG NETOS TOT]]*Tabla1[[#This Row],[PRECIO UNITARIO USD/TN]]</f>
        <v>28953000</v>
      </c>
      <c r="O111" s="869">
        <f>Tabla1[[#This Row],[SUBTOTAL]]*0.105</f>
        <v>3040065</v>
      </c>
      <c r="P111" s="866"/>
      <c r="Q111" s="869">
        <f>Tabla1[[#This Row],[SUBTOTAL]]+Tabla1[[#This Row],[IVA 10,5]]</f>
        <v>31993065</v>
      </c>
      <c r="R111" s="866"/>
      <c r="S111" s="866"/>
      <c r="T111" s="866"/>
      <c r="U111" s="866"/>
      <c r="V111" s="868">
        <f>Tabla1[[#This Row],[TOTAL*]]-Tabla1[[#This Row],[DEDUCCIONES]]+Tabla1[[#This Row],[COMISIONES]]+Tabla1[[#This Row],[RETENCION IVA]]+Tabla1[[#This Row],[IVA RG 2300/2007]]</f>
        <v>31993065</v>
      </c>
      <c r="W111" s="868">
        <v>940</v>
      </c>
      <c r="X111" s="1411">
        <f>Tabla1[[#This Row],[TOTAL A LIQUIDAR]]/Tabla1[[#This Row],[TIPO DE CAMBIO]]</f>
        <v>34035.175531914894</v>
      </c>
      <c r="Y111" s="1386">
        <f>Tabla1[[#This Row],[TOTAL USD]]/Tabla1[[#This Row],[HAS]]</f>
        <v>302.53489361702128</v>
      </c>
      <c r="Z111" s="870"/>
      <c r="AA111" s="866"/>
    </row>
    <row r="112" spans="1:30" s="836" customFormat="1" ht="12" x14ac:dyDescent="0.2">
      <c r="A112" s="862"/>
      <c r="B112" s="873"/>
      <c r="C112" s="864"/>
      <c r="D112" s="863"/>
      <c r="E112" s="863"/>
      <c r="F112" s="865"/>
      <c r="G112" s="865"/>
      <c r="H112" s="866"/>
      <c r="I112" s="866"/>
      <c r="J112" s="866"/>
      <c r="K112" s="866"/>
      <c r="L112" s="868"/>
      <c r="M112" s="866"/>
      <c r="N112" s="866"/>
      <c r="O112" s="866"/>
      <c r="P112" s="866"/>
      <c r="Q112" s="866"/>
      <c r="R112" s="866"/>
      <c r="S112" s="866"/>
      <c r="T112" s="866"/>
      <c r="U112" s="866"/>
      <c r="V112" s="866"/>
      <c r="W112" s="866"/>
      <c r="X112" s="1413"/>
      <c r="Y112" s="870"/>
      <c r="Z112" s="870"/>
      <c r="AA112" s="866"/>
    </row>
    <row r="113" spans="1:27" s="836" customFormat="1" ht="12" x14ac:dyDescent="0.2">
      <c r="A113" s="853"/>
      <c r="B113" s="832"/>
      <c r="C113" s="834" t="s">
        <v>382</v>
      </c>
      <c r="D113" s="834"/>
      <c r="E113" s="834"/>
      <c r="F113" s="832">
        <v>176</v>
      </c>
      <c r="G113" s="832"/>
      <c r="H113" s="832"/>
      <c r="I113" s="832"/>
      <c r="J113" s="832"/>
      <c r="K113" s="832"/>
      <c r="L113" s="841"/>
      <c r="M113" s="832"/>
      <c r="N113" s="832"/>
      <c r="O113" s="832"/>
      <c r="P113" s="832"/>
      <c r="Q113" s="832"/>
      <c r="R113" s="832"/>
      <c r="S113" s="832"/>
      <c r="T113" s="832"/>
      <c r="U113" s="832"/>
      <c r="V113" s="832"/>
      <c r="W113" s="832"/>
      <c r="X113" s="1427">
        <f>SUM(X114:X115)</f>
        <v>2378</v>
      </c>
      <c r="Y113" s="1395">
        <f>Tabla1[[#This Row],[TOTAL USD]]/Tabla1[[#This Row],[HAS]]</f>
        <v>13.511363636363637</v>
      </c>
      <c r="Z113" s="854"/>
      <c r="AA113" s="832"/>
    </row>
    <row r="114" spans="1:27" s="836" customFormat="1" ht="12" x14ac:dyDescent="0.2">
      <c r="A114" s="862"/>
      <c r="B114" s="866"/>
      <c r="C114" s="866"/>
      <c r="D114" s="866" t="s">
        <v>383</v>
      </c>
      <c r="E114" s="866"/>
      <c r="F114" s="866">
        <v>145</v>
      </c>
      <c r="G114" s="866"/>
      <c r="H114" s="866"/>
      <c r="I114" s="866"/>
      <c r="J114" s="866"/>
      <c r="K114" s="866"/>
      <c r="L114" s="867"/>
      <c r="M114" s="866"/>
      <c r="N114" s="866"/>
      <c r="O114" s="866"/>
      <c r="P114" s="866"/>
      <c r="Q114" s="866"/>
      <c r="R114" s="866"/>
      <c r="S114" s="866"/>
      <c r="T114" s="866"/>
      <c r="U114" s="866"/>
      <c r="V114" s="868">
        <f>Tabla1[[#This Row],[TIPO DE CAMBIO]]*Tabla1[[#This Row],[TOTAL USD]]</f>
        <v>2187760</v>
      </c>
      <c r="W114" s="866">
        <v>920</v>
      </c>
      <c r="X114" s="1411">
        <v>2378</v>
      </c>
      <c r="Y114" s="1386">
        <f>Tabla1[[#This Row],[TOTAL USD]]/Tabla1[[#This Row],[HAS]]</f>
        <v>16.399999999999999</v>
      </c>
      <c r="Z114" s="870" t="s">
        <v>72</v>
      </c>
      <c r="AA114" s="866"/>
    </row>
    <row r="115" spans="1:27" s="836" customFormat="1" ht="12" x14ac:dyDescent="0.2">
      <c r="A115" s="862"/>
      <c r="B115" s="866"/>
      <c r="C115" s="866"/>
      <c r="D115" s="866"/>
      <c r="E115" s="866"/>
      <c r="F115" s="866"/>
      <c r="G115" s="866"/>
      <c r="H115" s="866"/>
      <c r="I115" s="866"/>
      <c r="J115" s="866"/>
      <c r="K115" s="866"/>
      <c r="L115" s="867"/>
      <c r="M115" s="866"/>
      <c r="N115" s="866"/>
      <c r="O115" s="866"/>
      <c r="P115" s="866"/>
      <c r="Q115" s="866"/>
      <c r="R115" s="866"/>
      <c r="S115" s="866"/>
      <c r="T115" s="866"/>
      <c r="U115" s="866"/>
      <c r="V115" s="866"/>
      <c r="W115" s="866"/>
      <c r="X115" s="1413"/>
      <c r="Y115" s="870"/>
      <c r="Z115" s="870"/>
      <c r="AA115" s="866"/>
    </row>
    <row r="116" spans="1:27" s="836" customFormat="1" ht="12" x14ac:dyDescent="0.2">
      <c r="A116" s="853"/>
      <c r="B116" s="832"/>
      <c r="C116" s="834" t="s">
        <v>318</v>
      </c>
      <c r="D116" s="834"/>
      <c r="E116" s="834"/>
      <c r="F116" s="832">
        <v>176</v>
      </c>
      <c r="G116" s="832"/>
      <c r="H116" s="832"/>
      <c r="I116" s="832"/>
      <c r="J116" s="832"/>
      <c r="K116" s="832"/>
      <c r="L116" s="841"/>
      <c r="M116" s="832"/>
      <c r="N116" s="941">
        <f t="shared" ref="N116:V116" si="41">SUM(N117,N120,N123,N144,N148,N151,N171)</f>
        <v>47109837.556857988</v>
      </c>
      <c r="O116" s="941">
        <f t="shared" si="41"/>
        <v>6490311.8923028391</v>
      </c>
      <c r="P116" s="941">
        <f t="shared" si="41"/>
        <v>2726886.3467999999</v>
      </c>
      <c r="Q116" s="941">
        <f t="shared" si="41"/>
        <v>118427896.10079484</v>
      </c>
      <c r="R116" s="941">
        <f t="shared" si="41"/>
        <v>0</v>
      </c>
      <c r="S116" s="941">
        <f t="shared" si="41"/>
        <v>0</v>
      </c>
      <c r="T116" s="941">
        <f t="shared" si="41"/>
        <v>0</v>
      </c>
      <c r="U116" s="941">
        <f t="shared" si="41"/>
        <v>12283.3</v>
      </c>
      <c r="V116" s="941">
        <f t="shared" si="41"/>
        <v>129175841.34479484</v>
      </c>
      <c r="W116" s="835"/>
      <c r="X116" s="1428">
        <f>SUM(X117,X120,X123,X144,X148,X151,X171)</f>
        <v>157499.8304446158</v>
      </c>
      <c r="Y116" s="1395">
        <f>Tabla1[[#This Row],[TOTAL USD]]/Tabla1[[#This Row],[HAS]]</f>
        <v>894.88540025349891</v>
      </c>
      <c r="Z116" s="854"/>
      <c r="AA116" s="832"/>
    </row>
    <row r="117" spans="1:27" s="836" customFormat="1" ht="12" x14ac:dyDescent="0.2">
      <c r="A117" s="930"/>
      <c r="B117" s="908"/>
      <c r="C117" s="909" t="s">
        <v>103</v>
      </c>
      <c r="D117" s="909"/>
      <c r="E117" s="909"/>
      <c r="F117" s="911">
        <v>176</v>
      </c>
      <c r="G117" s="911"/>
      <c r="H117" s="911"/>
      <c r="I117" s="911"/>
      <c r="J117" s="911"/>
      <c r="K117" s="911"/>
      <c r="L117" s="912"/>
      <c r="M117" s="911"/>
      <c r="N117" s="917">
        <f t="shared" ref="N117:V117" si="42">SUM(N118:N119)</f>
        <v>19756.54</v>
      </c>
      <c r="O117" s="917">
        <f t="shared" si="42"/>
        <v>0</v>
      </c>
      <c r="P117" s="917">
        <f t="shared" si="42"/>
        <v>4148.8734000000004</v>
      </c>
      <c r="Q117" s="917">
        <f t="shared" si="42"/>
        <v>6771447.3996840008</v>
      </c>
      <c r="R117" s="917">
        <f t="shared" si="42"/>
        <v>0</v>
      </c>
      <c r="S117" s="917">
        <f t="shared" si="42"/>
        <v>0</v>
      </c>
      <c r="T117" s="917">
        <f t="shared" si="42"/>
        <v>0</v>
      </c>
      <c r="U117" s="917">
        <f t="shared" si="42"/>
        <v>0</v>
      </c>
      <c r="V117" s="917">
        <f t="shared" si="42"/>
        <v>6771447.3996840008</v>
      </c>
      <c r="W117" s="915"/>
      <c r="X117" s="1415">
        <f>SUM(X118:X119)</f>
        <v>23905.413400000005</v>
      </c>
      <c r="Y117" s="1383">
        <f>Tabla1[[#This Row],[TOTAL USD]]/Tabla1[[#This Row],[HAS]]</f>
        <v>135.82621250000003</v>
      </c>
      <c r="Z117" s="931"/>
      <c r="AA117" s="911"/>
    </row>
    <row r="118" spans="1:27" s="836" customFormat="1" ht="12" x14ac:dyDescent="0.2">
      <c r="A118" s="862">
        <v>45054</v>
      </c>
      <c r="B118" s="863"/>
      <c r="C118" s="866"/>
      <c r="D118" s="865" t="s">
        <v>477</v>
      </c>
      <c r="E118" s="865"/>
      <c r="F118" s="866">
        <v>176.4</v>
      </c>
      <c r="G118" s="866"/>
      <c r="H118" s="866"/>
      <c r="I118" s="866"/>
      <c r="J118" s="866">
        <v>83</v>
      </c>
      <c r="K118" s="866"/>
      <c r="L118" s="868"/>
      <c r="M118" s="861">
        <v>172.08</v>
      </c>
      <c r="N118" s="861">
        <f>Tabla1[[#This Row],[PRECIO UNITARIO USD/TN]]*Tabla1[[#This Row],[KG NETOS TOT]]</f>
        <v>14282.640000000001</v>
      </c>
      <c r="O118" s="866"/>
      <c r="P118" s="861">
        <f>Tabla1[[#This Row],[SUBTOTAL]]*0.21</f>
        <v>2999.3544000000002</v>
      </c>
      <c r="Q118" s="869">
        <v>4895297.733744001</v>
      </c>
      <c r="R118" s="866"/>
      <c r="S118" s="866"/>
      <c r="T118" s="866"/>
      <c r="U118" s="861"/>
      <c r="V118" s="869">
        <f>Tabla1[[#This Row],[TOTAL USD]]*Tabla1[[#This Row],[TIPO DE CAMBIO]]</f>
        <v>4895297.733744001</v>
      </c>
      <c r="W118" s="868">
        <v>283.26</v>
      </c>
      <c r="X118" s="1429">
        <v>17281.994400000003</v>
      </c>
      <c r="Y118" s="1386">
        <f>Tabla1[[#This Row],[TOTAL USD]]/Tabla1[[#This Row],[HAS]]</f>
        <v>97.970489795918382</v>
      </c>
      <c r="Z118" s="870" t="s">
        <v>221</v>
      </c>
      <c r="AA118" s="866" t="s">
        <v>478</v>
      </c>
    </row>
    <row r="119" spans="1:27" s="836" customFormat="1" ht="12" x14ac:dyDescent="0.2">
      <c r="A119" s="862">
        <v>45054</v>
      </c>
      <c r="B119" s="863"/>
      <c r="C119" s="866"/>
      <c r="D119" s="865" t="s">
        <v>479</v>
      </c>
      <c r="E119" s="865"/>
      <c r="F119" s="866">
        <v>176.4</v>
      </c>
      <c r="G119" s="866"/>
      <c r="H119" s="866"/>
      <c r="I119" s="866"/>
      <c r="J119" s="866">
        <v>43</v>
      </c>
      <c r="K119" s="866"/>
      <c r="L119" s="868"/>
      <c r="M119" s="861">
        <v>127.3</v>
      </c>
      <c r="N119" s="861">
        <f>Tabla1[[#This Row],[PRECIO UNITARIO USD/TN]]*Tabla1[[#This Row],[KG NETOS TOT]]</f>
        <v>5473.9</v>
      </c>
      <c r="O119" s="866"/>
      <c r="P119" s="861">
        <f>Tabla1[[#This Row],[SUBTOTAL]]*0.21</f>
        <v>1149.5189999999998</v>
      </c>
      <c r="Q119" s="869">
        <v>1876149.66594</v>
      </c>
      <c r="R119" s="866"/>
      <c r="S119" s="866"/>
      <c r="T119" s="866"/>
      <c r="U119" s="861"/>
      <c r="V119" s="869">
        <f>Tabla1[[#This Row],[TOTAL USD]]*Tabla1[[#This Row],[TIPO DE CAMBIO]]</f>
        <v>1876149.66594</v>
      </c>
      <c r="W119" s="868">
        <v>283.26</v>
      </c>
      <c r="X119" s="1429">
        <v>6623.4189999999999</v>
      </c>
      <c r="Y119" s="1386">
        <f>Tabla1[[#This Row],[TOTAL USD]]/Tabla1[[#This Row],[HAS]]</f>
        <v>37.54772675736961</v>
      </c>
      <c r="Z119" s="870" t="s">
        <v>221</v>
      </c>
      <c r="AA119" s="866" t="s">
        <v>478</v>
      </c>
    </row>
    <row r="120" spans="1:27" s="836" customFormat="1" ht="12" x14ac:dyDescent="0.2">
      <c r="A120" s="930"/>
      <c r="B120" s="908"/>
      <c r="C120" s="909" t="s">
        <v>56</v>
      </c>
      <c r="D120" s="910"/>
      <c r="E120" s="910"/>
      <c r="F120" s="911">
        <v>176</v>
      </c>
      <c r="G120" s="911"/>
      <c r="H120" s="911"/>
      <c r="I120" s="911"/>
      <c r="J120" s="911"/>
      <c r="K120" s="911"/>
      <c r="L120" s="912"/>
      <c r="M120" s="911"/>
      <c r="N120" s="917">
        <f t="shared" ref="N120:V120" si="43">SUM(N121:N122)</f>
        <v>8713000</v>
      </c>
      <c r="O120" s="917">
        <f t="shared" si="43"/>
        <v>914865</v>
      </c>
      <c r="P120" s="917">
        <f t="shared" si="43"/>
        <v>0</v>
      </c>
      <c r="Q120" s="917">
        <f t="shared" si="43"/>
        <v>9627865</v>
      </c>
      <c r="R120" s="917">
        <f t="shared" si="43"/>
        <v>0</v>
      </c>
      <c r="S120" s="917">
        <f t="shared" si="43"/>
        <v>0</v>
      </c>
      <c r="T120" s="917">
        <f t="shared" si="43"/>
        <v>0</v>
      </c>
      <c r="U120" s="917">
        <f t="shared" si="43"/>
        <v>0</v>
      </c>
      <c r="V120" s="917">
        <f t="shared" si="43"/>
        <v>7938040</v>
      </c>
      <c r="W120" s="917"/>
      <c r="X120" s="1446">
        <f>SUM(X121:X122)</f>
        <v>8604.391304347826</v>
      </c>
      <c r="Y120" s="1383">
        <f>Tabla1[[#This Row],[TOTAL USD]]/Tabla1[[#This Row],[HAS]]</f>
        <v>48.888586956521742</v>
      </c>
      <c r="Z120" s="931"/>
      <c r="AA120" s="911"/>
    </row>
    <row r="121" spans="1:27" s="836" customFormat="1" ht="12" x14ac:dyDescent="0.2">
      <c r="A121" s="862"/>
      <c r="B121" s="863"/>
      <c r="C121" s="866"/>
      <c r="D121" s="865" t="s">
        <v>480</v>
      </c>
      <c r="E121" s="865"/>
      <c r="F121" s="866">
        <v>142</v>
      </c>
      <c r="G121" s="866"/>
      <c r="H121" s="866"/>
      <c r="I121" s="866"/>
      <c r="J121" s="866"/>
      <c r="K121" s="866"/>
      <c r="L121" s="868">
        <v>44000</v>
      </c>
      <c r="M121" s="861">
        <v>44</v>
      </c>
      <c r="N121" s="868">
        <f>Tabla1[[#This Row],[$/TN]]*Tabla1[[#This Row],[HAS]]</f>
        <v>6248000</v>
      </c>
      <c r="O121" s="869">
        <f>Tabla1[[#This Row],[SUBTOTAL]]*0.105</f>
        <v>656040</v>
      </c>
      <c r="P121" s="866"/>
      <c r="Q121" s="869">
        <f>Tabla1[[#This Row],[SUBTOTAL]]+Tabla1[[#This Row],[IVA 10,5]]+Tabla1[[#This Row],[IVA 21]]</f>
        <v>6904040</v>
      </c>
      <c r="R121" s="866"/>
      <c r="S121" s="866"/>
      <c r="T121" s="866"/>
      <c r="U121" s="866"/>
      <c r="V121" s="869">
        <f>Tabla1[[#This Row],[SUBTOTAL]]+Tabla1[[#This Row],[IVA 10,5]]+Tabla1[[#This Row],[IVA 21]]</f>
        <v>6904040</v>
      </c>
      <c r="W121" s="875">
        <v>920</v>
      </c>
      <c r="X121" s="1429">
        <f>Tabla1[[#This Row],[TOTAL A LIQUIDAR]]/Tabla1[[#This Row],[TIPO DE CAMBIO]]</f>
        <v>7504.391304347826</v>
      </c>
      <c r="Y121" s="1386">
        <f>Tabla1[[#This Row],[TOTAL USD]]/Tabla1[[#This Row],[HAS]]</f>
        <v>52.847826086956523</v>
      </c>
      <c r="Z121" s="870" t="s">
        <v>178</v>
      </c>
      <c r="AA121" s="866" t="s">
        <v>481</v>
      </c>
    </row>
    <row r="122" spans="1:27" s="836" customFormat="1" ht="12.75" customHeight="1" x14ac:dyDescent="0.2">
      <c r="A122" s="862"/>
      <c r="B122" s="863"/>
      <c r="C122" s="866"/>
      <c r="D122" s="865" t="s">
        <v>482</v>
      </c>
      <c r="E122" s="1132"/>
      <c r="F122" s="866">
        <v>145</v>
      </c>
      <c r="G122" s="866"/>
      <c r="H122" s="866"/>
      <c r="I122" s="866"/>
      <c r="J122" s="866"/>
      <c r="K122" s="866"/>
      <c r="L122" s="868">
        <v>17000</v>
      </c>
      <c r="M122" s="866"/>
      <c r="N122" s="868">
        <f>Tabla1[[#This Row],[$/TN]]*Tabla1[[#This Row],[HAS]]</f>
        <v>2465000</v>
      </c>
      <c r="O122" s="869">
        <f>Tabla1[[#This Row],[SUBTOTAL]]*0.105</f>
        <v>258825</v>
      </c>
      <c r="P122" s="866"/>
      <c r="Q122" s="869">
        <f>Tabla1[[#This Row],[SUBTOTAL]]+Tabla1[[#This Row],[IVA 10,5]]+Tabla1[[#This Row],[IVA 21]]</f>
        <v>2723825</v>
      </c>
      <c r="R122" s="866"/>
      <c r="S122" s="866"/>
      <c r="T122" s="866"/>
      <c r="U122" s="866"/>
      <c r="V122" s="868">
        <v>1034000</v>
      </c>
      <c r="W122" s="875">
        <v>940</v>
      </c>
      <c r="X122" s="1430">
        <v>1100</v>
      </c>
      <c r="Y122" s="1386">
        <f>Tabla1[[#This Row],[TOTAL USD]]/Tabla1[[#This Row],[HAS]]</f>
        <v>7.5862068965517242</v>
      </c>
      <c r="Z122" s="870" t="s">
        <v>388</v>
      </c>
      <c r="AA122" s="866" t="s">
        <v>483</v>
      </c>
    </row>
    <row r="123" spans="1:27" s="836" customFormat="1" ht="12" x14ac:dyDescent="0.2">
      <c r="A123" s="930"/>
      <c r="B123" s="908"/>
      <c r="C123" s="909" t="s">
        <v>52</v>
      </c>
      <c r="D123" s="913"/>
      <c r="E123" s="913"/>
      <c r="F123" s="911">
        <v>176</v>
      </c>
      <c r="G123" s="911"/>
      <c r="H123" s="911"/>
      <c r="I123" s="911"/>
      <c r="J123" s="911"/>
      <c r="K123" s="911"/>
      <c r="L123" s="912"/>
      <c r="M123" s="911"/>
      <c r="N123" s="917">
        <f t="shared" ref="N123:V123" si="44">SUM(N124:N142)</f>
        <v>23015504.476857994</v>
      </c>
      <c r="O123" s="917">
        <f t="shared" si="44"/>
        <v>2413805.3323028395</v>
      </c>
      <c r="P123" s="917">
        <f t="shared" si="44"/>
        <v>0</v>
      </c>
      <c r="Q123" s="917">
        <f t="shared" si="44"/>
        <v>50671756.127710834</v>
      </c>
      <c r="R123" s="917">
        <f t="shared" si="44"/>
        <v>0</v>
      </c>
      <c r="S123" s="917">
        <f t="shared" si="44"/>
        <v>0</v>
      </c>
      <c r="T123" s="917">
        <f t="shared" si="44"/>
        <v>0</v>
      </c>
      <c r="U123" s="917">
        <f t="shared" si="44"/>
        <v>656.16</v>
      </c>
      <c r="V123" s="917">
        <f t="shared" si="44"/>
        <v>50672412.287710838</v>
      </c>
      <c r="W123" s="917"/>
      <c r="X123" s="1445">
        <f>SUM(X124:X142)</f>
        <v>57039.300188648413</v>
      </c>
      <c r="Y123" s="1383">
        <f>Tabla1[[#This Row],[TOTAL USD]]/Tabla1[[#This Row],[HAS]]</f>
        <v>324.08693289004782</v>
      </c>
      <c r="Z123" s="931"/>
      <c r="AA123" s="911"/>
    </row>
    <row r="124" spans="1:27" s="836" customFormat="1" ht="12" x14ac:dyDescent="0.2">
      <c r="A124" s="871"/>
      <c r="B124" s="863"/>
      <c r="C124" s="866"/>
      <c r="D124" s="865" t="s">
        <v>484</v>
      </c>
      <c r="E124" s="865"/>
      <c r="F124" s="866">
        <v>176</v>
      </c>
      <c r="G124" s="866"/>
      <c r="H124" s="866"/>
      <c r="I124" s="866"/>
      <c r="J124" s="866"/>
      <c r="K124" s="866">
        <v>1.5</v>
      </c>
      <c r="L124" s="868"/>
      <c r="M124" s="867">
        <v>7.3</v>
      </c>
      <c r="N124" s="868">
        <f>Tabla1[[#This Row],[KG/HA (REND)]]*Tabla1[[#This Row],[PRECIO UNITARIO USD/TN]]*Tabla1[[#This Row],[HAS]]</f>
        <v>1927.1999999999998</v>
      </c>
      <c r="O124" s="868"/>
      <c r="P124" s="875"/>
      <c r="Q124" s="868">
        <f>SUM(Tabla1[[#This Row],[SUBTOTAL]:[IVA 21]])*940</f>
        <v>1811567.9999999998</v>
      </c>
      <c r="R124" s="875"/>
      <c r="S124" s="875"/>
      <c r="T124" s="875"/>
      <c r="U124" s="868"/>
      <c r="V124" s="875">
        <f>SUM(Tabla1[[#This Row],[TOTAL*]:[IVA RG 2300/2007]])</f>
        <v>1811567.9999999998</v>
      </c>
      <c r="W124" s="868">
        <v>940</v>
      </c>
      <c r="X124" s="1425">
        <f>Tabla1[[#This Row],[TOTAL A LIQUIDAR]]/Tabla1[[#This Row],[TIPO DE CAMBIO]]</f>
        <v>1927.1999999999998</v>
      </c>
      <c r="Y124" s="1386">
        <f>Tabla1[[#This Row],[TOTAL USD]]/Tabla1[[#This Row],[HAS]]</f>
        <v>10.95</v>
      </c>
      <c r="Z124" s="870"/>
      <c r="AA124" s="866"/>
    </row>
    <row r="125" spans="1:27" s="836" customFormat="1" ht="12" x14ac:dyDescent="0.2">
      <c r="A125" s="871"/>
      <c r="B125" s="863"/>
      <c r="C125" s="866"/>
      <c r="D125" s="865" t="s">
        <v>485</v>
      </c>
      <c r="E125" s="865"/>
      <c r="F125" s="866">
        <v>91.4</v>
      </c>
      <c r="G125" s="866"/>
      <c r="H125" s="866"/>
      <c r="I125" s="866"/>
      <c r="J125" s="866"/>
      <c r="K125" s="866">
        <v>0.12</v>
      </c>
      <c r="L125" s="868"/>
      <c r="M125" s="867">
        <v>1.3</v>
      </c>
      <c r="N125" s="867">
        <f>Tabla1[[#This Row],[KG/HA (REND)]]*Tabla1[[#This Row],[PRECIO UNITARIO USD/TN]]*Tabla1[[#This Row],[HAS]]</f>
        <v>14.258400000000002</v>
      </c>
      <c r="O125" s="868"/>
      <c r="P125" s="861"/>
      <c r="Q125" s="868">
        <f>SUM(Tabla1[[#This Row],[SUBTOTAL]:[IVA 21]])*940</f>
        <v>13402.896000000002</v>
      </c>
      <c r="R125" s="866"/>
      <c r="S125" s="866"/>
      <c r="T125" s="866"/>
      <c r="U125" s="868"/>
      <c r="V125" s="869">
        <f>SUM(Tabla1[[#This Row],[TOTAL*]:[IVA RG 2300/2007]])</f>
        <v>13402.896000000002</v>
      </c>
      <c r="W125" s="868">
        <v>940</v>
      </c>
      <c r="X125" s="1425">
        <f>Tabla1[[#This Row],[TOTAL A LIQUIDAR]]/Tabla1[[#This Row],[TIPO DE CAMBIO]]</f>
        <v>14.258400000000002</v>
      </c>
      <c r="Y125" s="1386">
        <f>Tabla1[[#This Row],[TOTAL USD]]/Tabla1[[#This Row],[HAS]]</f>
        <v>0.156</v>
      </c>
      <c r="Z125" s="870"/>
      <c r="AA125" s="866"/>
    </row>
    <row r="126" spans="1:27" s="836" customFormat="1" ht="12" x14ac:dyDescent="0.2">
      <c r="A126" s="871"/>
      <c r="B126" s="863"/>
      <c r="C126" s="866"/>
      <c r="D126" s="865" t="s">
        <v>396</v>
      </c>
      <c r="E126" s="865"/>
      <c r="F126" s="866">
        <v>176</v>
      </c>
      <c r="G126" s="866"/>
      <c r="H126" s="866"/>
      <c r="I126" s="866"/>
      <c r="J126" s="866"/>
      <c r="K126" s="866">
        <v>1</v>
      </c>
      <c r="L126" s="868"/>
      <c r="M126" s="867">
        <v>18</v>
      </c>
      <c r="N126" s="867">
        <f>Tabla1[[#This Row],[KG/HA (REND)]]*Tabla1[[#This Row],[PRECIO UNITARIO USD/TN]]*Tabla1[[#This Row],[HAS]]</f>
        <v>3168</v>
      </c>
      <c r="O126" s="868"/>
      <c r="P126" s="861"/>
      <c r="Q126" s="868">
        <f>SUM(Tabla1[[#This Row],[SUBTOTAL]:[IVA 21]])*940</f>
        <v>2977920</v>
      </c>
      <c r="R126" s="866"/>
      <c r="S126" s="866"/>
      <c r="T126" s="866"/>
      <c r="U126" s="868"/>
      <c r="V126" s="869">
        <f>SUM(Tabla1[[#This Row],[TOTAL*]:[IVA RG 2300/2007]])</f>
        <v>2977920</v>
      </c>
      <c r="W126" s="868">
        <v>940</v>
      </c>
      <c r="X126" s="1425">
        <f>Tabla1[[#This Row],[TOTAL A LIQUIDAR]]/Tabla1[[#This Row],[TIPO DE CAMBIO]]</f>
        <v>3168</v>
      </c>
      <c r="Y126" s="1386">
        <f>Tabla1[[#This Row],[TOTAL USD]]/Tabla1[[#This Row],[HAS]]</f>
        <v>18</v>
      </c>
      <c r="Z126" s="870"/>
      <c r="AA126" s="866"/>
    </row>
    <row r="127" spans="1:27" s="836" customFormat="1" ht="12" x14ac:dyDescent="0.2">
      <c r="A127" s="871"/>
      <c r="B127" s="863"/>
      <c r="C127" s="866"/>
      <c r="D127" s="865" t="s">
        <v>486</v>
      </c>
      <c r="E127" s="865"/>
      <c r="F127" s="866">
        <v>176</v>
      </c>
      <c r="G127" s="866"/>
      <c r="H127" s="866"/>
      <c r="I127" s="866"/>
      <c r="J127" s="866"/>
      <c r="K127" s="866">
        <v>0.28000000000000003</v>
      </c>
      <c r="L127" s="868"/>
      <c r="M127" s="867">
        <v>130.9</v>
      </c>
      <c r="N127" s="867">
        <f>Tabla1[[#This Row],[KG/HA (REND)]]*Tabla1[[#This Row],[PRECIO UNITARIO USD/TN]]*Tabla1[[#This Row],[HAS]]</f>
        <v>6450.7520000000013</v>
      </c>
      <c r="O127" s="868"/>
      <c r="P127" s="861"/>
      <c r="Q127" s="868">
        <f>SUM(Tabla1[[#This Row],[SUBTOTAL]:[IVA 21]])*940</f>
        <v>6063706.8800000008</v>
      </c>
      <c r="R127" s="866"/>
      <c r="S127" s="866"/>
      <c r="T127" s="866"/>
      <c r="U127" s="868"/>
      <c r="V127" s="869">
        <f>SUM(Tabla1[[#This Row],[TOTAL*]:[IVA RG 2300/2007]])</f>
        <v>6063706.8800000008</v>
      </c>
      <c r="W127" s="868">
        <v>940</v>
      </c>
      <c r="X127" s="1425">
        <f>Tabla1[[#This Row],[TOTAL A LIQUIDAR]]/Tabla1[[#This Row],[TIPO DE CAMBIO]]</f>
        <v>6450.7520000000013</v>
      </c>
      <c r="Y127" s="1386">
        <f>Tabla1[[#This Row],[TOTAL USD]]/Tabla1[[#This Row],[HAS]]</f>
        <v>36.652000000000008</v>
      </c>
      <c r="Z127" s="870"/>
      <c r="AA127" s="866"/>
    </row>
    <row r="128" spans="1:27" s="836" customFormat="1" ht="12" x14ac:dyDescent="0.2">
      <c r="A128" s="871"/>
      <c r="B128" s="863"/>
      <c r="C128" s="866"/>
      <c r="D128" s="865" t="s">
        <v>487</v>
      </c>
      <c r="E128" s="865"/>
      <c r="F128" s="866">
        <v>91.4</v>
      </c>
      <c r="G128" s="866"/>
      <c r="H128" s="866"/>
      <c r="I128" s="866"/>
      <c r="J128" s="866"/>
      <c r="K128" s="866">
        <v>0.1</v>
      </c>
      <c r="L128" s="868"/>
      <c r="M128" s="867">
        <v>18</v>
      </c>
      <c r="N128" s="867">
        <f>Tabla1[[#This Row],[KG/HA (REND)]]*Tabla1[[#This Row],[PRECIO UNITARIO USD/TN]]*Tabla1[[#This Row],[HAS]]</f>
        <v>164.52</v>
      </c>
      <c r="O128" s="868"/>
      <c r="P128" s="861"/>
      <c r="Q128" s="868">
        <f>SUM(Tabla1[[#This Row],[SUBTOTAL]:[IVA 21]])*940</f>
        <v>154648.80000000002</v>
      </c>
      <c r="R128" s="866"/>
      <c r="S128" s="866"/>
      <c r="T128" s="866"/>
      <c r="U128" s="868"/>
      <c r="V128" s="869">
        <f>SUM(Tabla1[[#This Row],[TOTAL*]:[IVA RG 2300/2007]])</f>
        <v>154648.80000000002</v>
      </c>
      <c r="W128" s="868">
        <v>940</v>
      </c>
      <c r="X128" s="1425">
        <f>Tabla1[[#This Row],[TOTAL A LIQUIDAR]]/Tabla1[[#This Row],[TIPO DE CAMBIO]]</f>
        <v>164.52</v>
      </c>
      <c r="Y128" s="1386">
        <f>Tabla1[[#This Row],[TOTAL USD]]/Tabla1[[#This Row],[HAS]]</f>
        <v>1.8</v>
      </c>
      <c r="Z128" s="870"/>
      <c r="AA128" s="866"/>
    </row>
    <row r="129" spans="1:27" s="836" customFormat="1" ht="12" x14ac:dyDescent="0.2">
      <c r="A129" s="871"/>
      <c r="B129" s="863"/>
      <c r="C129" s="866"/>
      <c r="D129" s="865" t="s">
        <v>488</v>
      </c>
      <c r="E129" s="865"/>
      <c r="F129" s="866">
        <v>176.4</v>
      </c>
      <c r="G129" s="866"/>
      <c r="H129" s="866"/>
      <c r="I129" s="866"/>
      <c r="J129" s="866"/>
      <c r="K129" s="866">
        <v>2.1</v>
      </c>
      <c r="L129" s="868"/>
      <c r="M129" s="867">
        <v>8.56</v>
      </c>
      <c r="N129" s="867">
        <f>Tabla1[[#This Row],[KG/HA (REND)]]*Tabla1[[#This Row],[PRECIO UNITARIO USD/TN]]*Tabla1[[#This Row],[HAS]]</f>
        <v>3170.9664000000007</v>
      </c>
      <c r="O129" s="868"/>
      <c r="P129" s="861"/>
      <c r="Q129" s="868">
        <f>SUM(Tabla1[[#This Row],[SUBTOTAL]:[IVA 21]])*940</f>
        <v>2980708.4160000007</v>
      </c>
      <c r="R129" s="866"/>
      <c r="S129" s="866"/>
      <c r="T129" s="866"/>
      <c r="U129" s="868"/>
      <c r="V129" s="869">
        <f>SUM(Tabla1[[#This Row],[TOTAL*]:[IVA RG 2300/2007]])</f>
        <v>2980708.4160000007</v>
      </c>
      <c r="W129" s="868">
        <v>940</v>
      </c>
      <c r="X129" s="1425">
        <f>Tabla1[[#This Row],[TOTAL A LIQUIDAR]]/Tabla1[[#This Row],[TIPO DE CAMBIO]]</f>
        <v>3170.9664000000007</v>
      </c>
      <c r="Y129" s="1386">
        <f>Tabla1[[#This Row],[TOTAL USD]]/Tabla1[[#This Row],[HAS]]</f>
        <v>17.976000000000003</v>
      </c>
      <c r="Z129" s="870"/>
      <c r="AA129" s="866"/>
    </row>
    <row r="130" spans="1:27" s="836" customFormat="1" ht="12" x14ac:dyDescent="0.2">
      <c r="A130" s="871"/>
      <c r="B130" s="863"/>
      <c r="C130" s="866"/>
      <c r="D130" s="865" t="s">
        <v>489</v>
      </c>
      <c r="E130" s="865"/>
      <c r="F130" s="866">
        <v>32.1</v>
      </c>
      <c r="G130" s="866"/>
      <c r="H130" s="866"/>
      <c r="I130" s="866"/>
      <c r="J130" s="866"/>
      <c r="K130" s="866">
        <v>1</v>
      </c>
      <c r="L130" s="868"/>
      <c r="M130" s="867">
        <v>10.3</v>
      </c>
      <c r="N130" s="867">
        <f>Tabla1[[#This Row],[KG/HA (REND)]]*Tabla1[[#This Row],[PRECIO UNITARIO USD/TN]]*Tabla1[[#This Row],[HAS]]</f>
        <v>330.63000000000005</v>
      </c>
      <c r="O130" s="868"/>
      <c r="P130" s="861"/>
      <c r="Q130" s="868">
        <f>SUM(Tabla1[[#This Row],[SUBTOTAL]:[IVA 21]])*940</f>
        <v>310792.20000000007</v>
      </c>
      <c r="R130" s="866"/>
      <c r="S130" s="866"/>
      <c r="T130" s="866"/>
      <c r="U130" s="868"/>
      <c r="V130" s="869">
        <f>SUM(Tabla1[[#This Row],[TOTAL*]:[IVA RG 2300/2007]])</f>
        <v>310792.20000000007</v>
      </c>
      <c r="W130" s="868">
        <v>940</v>
      </c>
      <c r="X130" s="1425">
        <f>Tabla1[[#This Row],[TOTAL A LIQUIDAR]]/Tabla1[[#This Row],[TIPO DE CAMBIO]]</f>
        <v>330.63000000000005</v>
      </c>
      <c r="Y130" s="1386">
        <f>Tabla1[[#This Row],[TOTAL USD]]/Tabla1[[#This Row],[HAS]]</f>
        <v>10.3</v>
      </c>
      <c r="Z130" s="870"/>
      <c r="AA130" s="866"/>
    </row>
    <row r="131" spans="1:27" s="836" customFormat="1" ht="12" x14ac:dyDescent="0.2">
      <c r="A131" s="871"/>
      <c r="B131" s="863"/>
      <c r="C131" s="866"/>
      <c r="D131" s="865" t="s">
        <v>393</v>
      </c>
      <c r="E131" s="865"/>
      <c r="F131" s="866">
        <v>176</v>
      </c>
      <c r="G131" s="866"/>
      <c r="H131" s="866"/>
      <c r="I131" s="866"/>
      <c r="J131" s="866"/>
      <c r="K131" s="866">
        <v>4</v>
      </c>
      <c r="L131" s="868"/>
      <c r="M131" s="867">
        <v>11.4</v>
      </c>
      <c r="N131" s="867">
        <f>Tabla1[[#This Row],[KG/HA (REND)]]*Tabla1[[#This Row],[PRECIO UNITARIO USD/TN]]*Tabla1[[#This Row],[HAS]]</f>
        <v>8025.6</v>
      </c>
      <c r="O131" s="868"/>
      <c r="P131" s="861"/>
      <c r="Q131" s="868">
        <f>SUM(Tabla1[[#This Row],[SUBTOTAL]:[IVA 21]])*940</f>
        <v>7544064</v>
      </c>
      <c r="R131" s="866"/>
      <c r="S131" s="866"/>
      <c r="T131" s="866"/>
      <c r="U131" s="868"/>
      <c r="V131" s="869">
        <f>SUM(Tabla1[[#This Row],[TOTAL*]:[IVA RG 2300/2007]])</f>
        <v>7544064</v>
      </c>
      <c r="W131" s="868">
        <v>940</v>
      </c>
      <c r="X131" s="1425">
        <f>Tabla1[[#This Row],[TOTAL A LIQUIDAR]]/Tabla1[[#This Row],[TIPO DE CAMBIO]]</f>
        <v>8025.6</v>
      </c>
      <c r="Y131" s="1386">
        <f>Tabla1[[#This Row],[TOTAL USD]]/Tabla1[[#This Row],[HAS]]</f>
        <v>45.6</v>
      </c>
      <c r="Z131" s="870"/>
      <c r="AA131" s="866"/>
    </row>
    <row r="132" spans="1:27" s="836" customFormat="1" ht="12" x14ac:dyDescent="0.2">
      <c r="A132" s="871"/>
      <c r="B132" s="863"/>
      <c r="C132" s="866"/>
      <c r="D132" s="865" t="s">
        <v>490</v>
      </c>
      <c r="E132" s="865"/>
      <c r="F132" s="866">
        <v>55.3</v>
      </c>
      <c r="G132" s="866"/>
      <c r="H132" s="866"/>
      <c r="I132" s="866"/>
      <c r="J132" s="866"/>
      <c r="K132" s="866">
        <v>0.2</v>
      </c>
      <c r="L132" s="868"/>
      <c r="M132" s="867">
        <v>18</v>
      </c>
      <c r="N132" s="867">
        <f>Tabla1[[#This Row],[KG/HA (REND)]]*Tabla1[[#This Row],[PRECIO UNITARIO USD/TN]]*Tabla1[[#This Row],[HAS]]</f>
        <v>199.07999999999998</v>
      </c>
      <c r="O132" s="868"/>
      <c r="P132" s="861"/>
      <c r="Q132" s="868">
        <f>SUM(Tabla1[[#This Row],[SUBTOTAL]:[IVA 21]])*940</f>
        <v>187135.19999999998</v>
      </c>
      <c r="R132" s="866"/>
      <c r="S132" s="866"/>
      <c r="T132" s="866"/>
      <c r="U132" s="868"/>
      <c r="V132" s="869">
        <f>SUM(Tabla1[[#This Row],[TOTAL*]:[IVA RG 2300/2007]])</f>
        <v>187135.19999999998</v>
      </c>
      <c r="W132" s="868">
        <v>940</v>
      </c>
      <c r="X132" s="1425">
        <f>Tabla1[[#This Row],[TOTAL A LIQUIDAR]]/Tabla1[[#This Row],[TIPO DE CAMBIO]]</f>
        <v>199.07999999999998</v>
      </c>
      <c r="Y132" s="1386">
        <f>Tabla1[[#This Row],[TOTAL USD]]/Tabla1[[#This Row],[HAS]]</f>
        <v>3.6</v>
      </c>
      <c r="Z132" s="870"/>
      <c r="AA132" s="866"/>
    </row>
    <row r="133" spans="1:27" s="836" customFormat="1" ht="12" x14ac:dyDescent="0.2">
      <c r="A133" s="871"/>
      <c r="B133" s="863"/>
      <c r="C133" s="866"/>
      <c r="D133" s="865" t="s">
        <v>491</v>
      </c>
      <c r="E133" s="865"/>
      <c r="F133" s="866">
        <v>61.8</v>
      </c>
      <c r="G133" s="866"/>
      <c r="H133" s="866"/>
      <c r="I133" s="866"/>
      <c r="J133" s="866"/>
      <c r="K133" s="866">
        <v>0.75</v>
      </c>
      <c r="L133" s="868"/>
      <c r="M133" s="867">
        <v>7</v>
      </c>
      <c r="N133" s="867">
        <f>Tabla1[[#This Row],[KG/HA (REND)]]*Tabla1[[#This Row],[PRECIO UNITARIO USD/TN]]*Tabla1[[#This Row],[HAS]]</f>
        <v>324.45</v>
      </c>
      <c r="O133" s="868"/>
      <c r="P133" s="861"/>
      <c r="Q133" s="868">
        <f>SUM(Tabla1[[#This Row],[SUBTOTAL]:[IVA 21]])*940</f>
        <v>304983</v>
      </c>
      <c r="R133" s="866"/>
      <c r="S133" s="866"/>
      <c r="T133" s="866"/>
      <c r="U133" s="868"/>
      <c r="V133" s="869">
        <f>SUM(Tabla1[[#This Row],[TOTAL*]:[IVA RG 2300/2007]])</f>
        <v>304983</v>
      </c>
      <c r="W133" s="868">
        <v>940</v>
      </c>
      <c r="X133" s="1425">
        <f>Tabla1[[#This Row],[TOTAL A LIQUIDAR]]/Tabla1[[#This Row],[TIPO DE CAMBIO]]</f>
        <v>324.45</v>
      </c>
      <c r="Y133" s="1386">
        <f>Tabla1[[#This Row],[TOTAL USD]]/Tabla1[[#This Row],[HAS]]</f>
        <v>5.25</v>
      </c>
      <c r="Z133" s="870"/>
      <c r="AA133" s="866"/>
    </row>
    <row r="134" spans="1:27" s="836" customFormat="1" ht="12" x14ac:dyDescent="0.2">
      <c r="A134" s="871"/>
      <c r="B134" s="863"/>
      <c r="C134" s="866"/>
      <c r="D134" s="865" t="s">
        <v>492</v>
      </c>
      <c r="E134" s="865"/>
      <c r="F134" s="866">
        <v>142.69999999999999</v>
      </c>
      <c r="G134" s="866"/>
      <c r="H134" s="866"/>
      <c r="I134" s="866"/>
      <c r="J134" s="866"/>
      <c r="K134" s="866">
        <v>0.15</v>
      </c>
      <c r="L134" s="868"/>
      <c r="M134" s="867">
        <v>10.9</v>
      </c>
      <c r="N134" s="867">
        <f>Tabla1[[#This Row],[KG/HA (REND)]]*Tabla1[[#This Row],[PRECIO UNITARIO USD/TN]]*Tabla1[[#This Row],[HAS]]</f>
        <v>233.31449999999998</v>
      </c>
      <c r="O134" s="868"/>
      <c r="P134" s="861"/>
      <c r="Q134" s="868">
        <f>SUM(Tabla1[[#This Row],[SUBTOTAL]:[IVA 21]])*940</f>
        <v>219315.62999999998</v>
      </c>
      <c r="R134" s="866"/>
      <c r="S134" s="866"/>
      <c r="T134" s="866"/>
      <c r="U134" s="868"/>
      <c r="V134" s="869">
        <f>SUM(Tabla1[[#This Row],[TOTAL*]:[IVA RG 2300/2007]])</f>
        <v>219315.62999999998</v>
      </c>
      <c r="W134" s="868">
        <v>941</v>
      </c>
      <c r="X134" s="1425">
        <f>Tabla1[[#This Row],[TOTAL A LIQUIDAR]]/Tabla1[[#This Row],[TIPO DE CAMBIO]]</f>
        <v>233.06655685441018</v>
      </c>
      <c r="Y134" s="1386">
        <f>Tabla1[[#This Row],[TOTAL USD]]/Tabla1[[#This Row],[HAS]]</f>
        <v>1.6332624867162593</v>
      </c>
      <c r="Z134" s="870"/>
      <c r="AA134" s="866"/>
    </row>
    <row r="135" spans="1:27" s="836" customFormat="1" ht="12" x14ac:dyDescent="0.2">
      <c r="A135" s="871"/>
      <c r="B135" s="863"/>
      <c r="C135" s="866"/>
      <c r="D135" s="865" t="s">
        <v>493</v>
      </c>
      <c r="E135" s="865"/>
      <c r="F135" s="866">
        <v>172.4</v>
      </c>
      <c r="G135" s="866"/>
      <c r="H135" s="866"/>
      <c r="I135" s="866"/>
      <c r="J135" s="866"/>
      <c r="K135" s="866">
        <v>0.1</v>
      </c>
      <c r="L135" s="868"/>
      <c r="M135" s="867">
        <v>18</v>
      </c>
      <c r="N135" s="867">
        <f>Tabla1[[#This Row],[KG/HA (REND)]]*Tabla1[[#This Row],[PRECIO UNITARIO USD/TN]]*Tabla1[[#This Row],[HAS]]</f>
        <v>310.32</v>
      </c>
      <c r="O135" s="868"/>
      <c r="P135" s="861"/>
      <c r="Q135" s="868">
        <f>SUM(Tabla1[[#This Row],[SUBTOTAL]:[IVA 21]])*940</f>
        <v>291700.8</v>
      </c>
      <c r="R135" s="866"/>
      <c r="S135" s="866"/>
      <c r="T135" s="866"/>
      <c r="U135" s="868"/>
      <c r="V135" s="869">
        <f>SUM(Tabla1[[#This Row],[TOTAL*]:[IVA RG 2300/2007]])</f>
        <v>291700.8</v>
      </c>
      <c r="W135" s="868">
        <v>942</v>
      </c>
      <c r="X135" s="1425">
        <f>Tabla1[[#This Row],[TOTAL A LIQUIDAR]]/Tabla1[[#This Row],[TIPO DE CAMBIO]]</f>
        <v>309.66114649681526</v>
      </c>
      <c r="Y135" s="1386">
        <f>Tabla1[[#This Row],[TOTAL USD]]/Tabla1[[#This Row],[HAS]]</f>
        <v>1.7961783439490444</v>
      </c>
      <c r="Z135" s="870"/>
      <c r="AA135" s="866"/>
    </row>
    <row r="136" spans="1:27" s="836" customFormat="1" ht="12" x14ac:dyDescent="0.2">
      <c r="A136" s="871"/>
      <c r="B136" s="863"/>
      <c r="C136" s="866"/>
      <c r="D136" s="865" t="s">
        <v>400</v>
      </c>
      <c r="E136" s="865"/>
      <c r="F136" s="866">
        <v>32.1</v>
      </c>
      <c r="G136" s="866"/>
      <c r="H136" s="866"/>
      <c r="I136" s="866"/>
      <c r="J136" s="866"/>
      <c r="K136" s="866">
        <v>1</v>
      </c>
      <c r="L136" s="868"/>
      <c r="M136" s="867">
        <v>5.2</v>
      </c>
      <c r="N136" s="867">
        <f>Tabla1[[#This Row],[KG/HA (REND)]]*Tabla1[[#This Row],[PRECIO UNITARIO USD/TN]]*Tabla1[[#This Row],[HAS]]</f>
        <v>166.92000000000002</v>
      </c>
      <c r="O136" s="868"/>
      <c r="P136" s="861"/>
      <c r="Q136" s="868">
        <f>SUM(Tabla1[[#This Row],[SUBTOTAL]:[IVA 21]])*940</f>
        <v>156904.80000000002</v>
      </c>
      <c r="R136" s="866"/>
      <c r="S136" s="866"/>
      <c r="T136" s="866"/>
      <c r="U136" s="868"/>
      <c r="V136" s="869">
        <f>SUM(Tabla1[[#This Row],[TOTAL*]:[IVA RG 2300/2007]])</f>
        <v>156904.80000000002</v>
      </c>
      <c r="W136" s="868">
        <v>943</v>
      </c>
      <c r="X136" s="1425">
        <f>Tabla1[[#This Row],[TOTAL A LIQUIDAR]]/Tabla1[[#This Row],[TIPO DE CAMBIO]]</f>
        <v>166.38897136797456</v>
      </c>
      <c r="Y136" s="1386">
        <f>Tabla1[[#This Row],[TOTAL USD]]/Tabla1[[#This Row],[HAS]]</f>
        <v>5.1834570519618239</v>
      </c>
      <c r="Z136" s="870"/>
      <c r="AA136" s="866"/>
    </row>
    <row r="137" spans="1:27" s="836" customFormat="1" ht="12" x14ac:dyDescent="0.2">
      <c r="A137" s="871"/>
      <c r="B137" s="863"/>
      <c r="C137" s="866"/>
      <c r="D137" s="865" t="s">
        <v>494</v>
      </c>
      <c r="E137" s="865"/>
      <c r="F137" s="866">
        <v>85</v>
      </c>
      <c r="G137" s="866"/>
      <c r="H137" s="866"/>
      <c r="I137" s="866"/>
      <c r="J137" s="866"/>
      <c r="K137" s="866">
        <v>0.16</v>
      </c>
      <c r="L137" s="868"/>
      <c r="M137" s="867">
        <v>15.2</v>
      </c>
      <c r="N137" s="867">
        <f>Tabla1[[#This Row],[KG/HA (REND)]]*Tabla1[[#This Row],[PRECIO UNITARIO USD/TN]]*Tabla1[[#This Row],[HAS]]</f>
        <v>206.72</v>
      </c>
      <c r="O137" s="868"/>
      <c r="P137" s="861"/>
      <c r="Q137" s="868">
        <f>SUM(Tabla1[[#This Row],[SUBTOTAL]:[IVA 21]])*940</f>
        <v>194316.79999999999</v>
      </c>
      <c r="R137" s="866"/>
      <c r="S137" s="866"/>
      <c r="T137" s="866"/>
      <c r="U137" s="868"/>
      <c r="V137" s="869">
        <f>SUM(Tabla1[[#This Row],[TOTAL*]:[IVA RG 2300/2007]])</f>
        <v>194316.79999999999</v>
      </c>
      <c r="W137" s="868">
        <v>944</v>
      </c>
      <c r="X137" s="1425">
        <f>Tabla1[[#This Row],[TOTAL A LIQUIDAR]]/Tabla1[[#This Row],[TIPO DE CAMBIO]]</f>
        <v>205.84406779661015</v>
      </c>
      <c r="Y137" s="1386">
        <f>Tabla1[[#This Row],[TOTAL USD]]/Tabla1[[#This Row],[HAS]]</f>
        <v>2.4216949152542369</v>
      </c>
      <c r="Z137" s="870"/>
      <c r="AA137" s="866"/>
    </row>
    <row r="138" spans="1:27" s="836" customFormat="1" ht="12" x14ac:dyDescent="0.2">
      <c r="A138" s="871"/>
      <c r="B138" s="873"/>
      <c r="C138" s="864"/>
      <c r="D138" s="865" t="s">
        <v>495</v>
      </c>
      <c r="E138" s="865"/>
      <c r="F138" s="866">
        <v>142.69999999999999</v>
      </c>
      <c r="G138" s="865"/>
      <c r="H138" s="866"/>
      <c r="I138" s="866"/>
      <c r="J138" s="866"/>
      <c r="K138" s="866">
        <v>1.06</v>
      </c>
      <c r="L138" s="868"/>
      <c r="M138" s="867">
        <v>13.7</v>
      </c>
      <c r="N138" s="867">
        <f>Tabla1[[#This Row],[KG/HA (REND)]]*Tabla1[[#This Row],[PRECIO UNITARIO USD/TN]]*Tabla1[[#This Row],[HAS]]</f>
        <v>2072.2893999999997</v>
      </c>
      <c r="O138" s="868"/>
      <c r="P138" s="861"/>
      <c r="Q138" s="868">
        <f>SUM(Tabla1[[#This Row],[SUBTOTAL]:[IVA 21]])*940</f>
        <v>1947952.0359999996</v>
      </c>
      <c r="R138" s="866"/>
      <c r="S138" s="866"/>
      <c r="T138" s="866"/>
      <c r="U138" s="868"/>
      <c r="V138" s="869">
        <f>SUM(Tabla1[[#This Row],[TOTAL*]:[IVA RG 2300/2007]])</f>
        <v>1947952.0359999996</v>
      </c>
      <c r="W138" s="868">
        <v>945</v>
      </c>
      <c r="X138" s="1425">
        <f>Tabla1[[#This Row],[TOTAL A LIQUIDAR]]/Tabla1[[#This Row],[TIPO DE CAMBIO]]</f>
        <v>2061.3249058201054</v>
      </c>
      <c r="Y138" s="1386">
        <f>Tabla1[[#This Row],[TOTAL USD]]/Tabla1[[#This Row],[HAS]]</f>
        <v>14.44516402116402</v>
      </c>
      <c r="Z138" s="870"/>
      <c r="AA138" s="866"/>
    </row>
    <row r="139" spans="1:27" s="836" customFormat="1" ht="12" x14ac:dyDescent="0.2">
      <c r="A139" s="871"/>
      <c r="B139" s="873"/>
      <c r="C139" s="864"/>
      <c r="D139" s="865" t="s">
        <v>496</v>
      </c>
      <c r="E139" s="865"/>
      <c r="F139" s="866">
        <v>144.30000000000001</v>
      </c>
      <c r="G139" s="865"/>
      <c r="H139" s="866"/>
      <c r="I139" s="866"/>
      <c r="J139" s="866"/>
      <c r="K139" s="866">
        <v>0.625</v>
      </c>
      <c r="L139" s="868"/>
      <c r="M139" s="867">
        <v>1.3</v>
      </c>
      <c r="N139" s="867">
        <f>Tabla1[[#This Row],[KG/HA (REND)]]*Tabla1[[#This Row],[PRECIO UNITARIO USD/TN]]*Tabla1[[#This Row],[HAS]]</f>
        <v>117.24375000000001</v>
      </c>
      <c r="O139" s="868"/>
      <c r="P139" s="861"/>
      <c r="Q139" s="868">
        <f>SUM(Tabla1[[#This Row],[SUBTOTAL]:[IVA 21]])*940</f>
        <v>110209.125</v>
      </c>
      <c r="R139" s="866"/>
      <c r="S139" s="866"/>
      <c r="T139" s="866"/>
      <c r="U139" s="868"/>
      <c r="V139" s="869">
        <f>SUM(Tabla1[[#This Row],[TOTAL*]:[IVA RG 2300/2007]])</f>
        <v>110209.125</v>
      </c>
      <c r="W139" s="868">
        <v>946</v>
      </c>
      <c r="X139" s="1425">
        <f>Tabla1[[#This Row],[TOTAL A LIQUIDAR]]/Tabla1[[#This Row],[TIPO DE CAMBIO]]</f>
        <v>116.50013213530656</v>
      </c>
      <c r="Y139" s="1386">
        <f>Tabla1[[#This Row],[TOTAL USD]]/Tabla1[[#This Row],[HAS]]</f>
        <v>0.80734672304439747</v>
      </c>
      <c r="Z139" s="870"/>
      <c r="AA139" s="866"/>
    </row>
    <row r="140" spans="1:27" s="836" customFormat="1" ht="12" x14ac:dyDescent="0.2">
      <c r="A140" s="871">
        <v>45345</v>
      </c>
      <c r="B140" s="873"/>
      <c r="C140" s="864"/>
      <c r="D140" s="866" t="s">
        <v>497</v>
      </c>
      <c r="E140" s="866" t="s">
        <v>111</v>
      </c>
      <c r="F140" s="866">
        <v>176</v>
      </c>
      <c r="G140" s="866"/>
      <c r="H140" s="874"/>
      <c r="I140" s="874"/>
      <c r="J140" s="866">
        <v>25.58</v>
      </c>
      <c r="K140" s="866"/>
      <c r="L140" s="868">
        <v>838.3</v>
      </c>
      <c r="M140" s="867">
        <v>927.21199999999999</v>
      </c>
      <c r="N140" s="868">
        <f>Tabla1[[#This Row],[KG NETOS TOT]]*Tabla1[[#This Row],[$/TN]]*Tabla1[[#This Row],[PRECIO UNITARIO USD/TN]]-198828.69</f>
        <v>19684040.255367994</v>
      </c>
      <c r="O140" s="868">
        <f>Tabla1[[#This Row],[SUBTOTAL]]*0.105</f>
        <v>2066824.2268136393</v>
      </c>
      <c r="P140" s="866"/>
      <c r="Q140" s="868">
        <f>Tabla1[[#This Row],[SUBTOTAL]]+Tabla1[[#This Row],[IVA 10,5]]+Tabla1[[#This Row],[IVA 21]]</f>
        <v>21750864.482181635</v>
      </c>
      <c r="R140" s="866"/>
      <c r="S140" s="866"/>
      <c r="T140" s="866"/>
      <c r="U140" s="868"/>
      <c r="V140" s="869">
        <f>Tabla1[[#This Row],[TOTAL*]]+Tabla1[[#This Row],[IVA RG 2300/2007]]</f>
        <v>21750864.482181635</v>
      </c>
      <c r="W140" s="868">
        <v>838.3</v>
      </c>
      <c r="X140" s="1425">
        <f>Tabla1[[#This Row],[TOTAL A LIQUIDAR]]/Tabla1[[#This Row],[TIPO DE CAMBIO]]</f>
        <v>25946.396853371865</v>
      </c>
      <c r="Y140" s="1386">
        <f>Tabla1[[#This Row],[TOTAL USD]]/Tabla1[[#This Row],[HAS]]</f>
        <v>147.42270939415832</v>
      </c>
      <c r="Z140" s="870" t="s">
        <v>236</v>
      </c>
      <c r="AA140" s="866" t="s">
        <v>498</v>
      </c>
    </row>
    <row r="141" spans="1:27" s="836" customFormat="1" ht="12" x14ac:dyDescent="0.2">
      <c r="A141" s="871">
        <v>45391</v>
      </c>
      <c r="B141" s="873"/>
      <c r="C141" s="864"/>
      <c r="D141" s="866" t="s">
        <v>499</v>
      </c>
      <c r="E141" s="866" t="s">
        <v>111</v>
      </c>
      <c r="F141" s="866">
        <v>176</v>
      </c>
      <c r="G141" s="866"/>
      <c r="H141" s="874"/>
      <c r="I141" s="874"/>
      <c r="J141" s="866">
        <v>3</v>
      </c>
      <c r="K141" s="866"/>
      <c r="L141" s="868">
        <v>864.5</v>
      </c>
      <c r="M141" s="867">
        <v>970.24</v>
      </c>
      <c r="N141" s="868">
        <f>Tabla1[[#This Row],[KG NETOS TOT]]*Tabla1[[#This Row],[$/TN]]*Tabla1[[#This Row],[PRECIO UNITARIO USD/TN]]</f>
        <v>2516317.44</v>
      </c>
      <c r="O141" s="868">
        <f>Tabla1[[#This Row],[SUBTOTAL]]*0.105</f>
        <v>264213.33119999996</v>
      </c>
      <c r="P141" s="866"/>
      <c r="Q141" s="868">
        <f>Tabla1[[#This Row],[SUBTOTAL]]+Tabla1[[#This Row],[IVA 10,5]]+Tabla1[[#This Row],[IVA 21]]</f>
        <v>2780530.7711999998</v>
      </c>
      <c r="R141" s="866"/>
      <c r="S141" s="866"/>
      <c r="T141" s="866"/>
      <c r="U141" s="866"/>
      <c r="V141" s="869">
        <f>Tabla1[[#This Row],[TOTAL*]]+Tabla1[[#This Row],[IVA RG 2300/2007]]</f>
        <v>2780530.7711999998</v>
      </c>
      <c r="W141" s="868">
        <v>864.5</v>
      </c>
      <c r="X141" s="1425">
        <f>Tabla1[[#This Row],[TOTAL A LIQUIDAR]]/Tabla1[[#This Row],[TIPO DE CAMBIO]]</f>
        <v>3216.3455999999996</v>
      </c>
      <c r="Y141" s="1386">
        <f>Tabla1[[#This Row],[TOTAL USD]]/Tabla1[[#This Row],[HAS]]</f>
        <v>18.274690909090907</v>
      </c>
      <c r="Z141" s="870" t="s">
        <v>236</v>
      </c>
      <c r="AA141" s="866" t="s">
        <v>498</v>
      </c>
    </row>
    <row r="142" spans="1:27" s="836" customFormat="1" ht="12" x14ac:dyDescent="0.2">
      <c r="A142" s="871">
        <v>45391</v>
      </c>
      <c r="B142" s="863"/>
      <c r="C142" s="866"/>
      <c r="D142" s="865" t="s">
        <v>497</v>
      </c>
      <c r="E142" s="865" t="s">
        <v>111</v>
      </c>
      <c r="F142" s="866">
        <v>176</v>
      </c>
      <c r="G142" s="866"/>
      <c r="H142" s="866"/>
      <c r="I142" s="866"/>
      <c r="J142" s="866">
        <v>1.4</v>
      </c>
      <c r="K142" s="866"/>
      <c r="L142" s="868">
        <v>864.5</v>
      </c>
      <c r="M142" s="867">
        <v>651.29679999999996</v>
      </c>
      <c r="N142" s="868">
        <f>Tabla1[[#This Row],[KG NETOS TOT]]*Tabla1[[#This Row],[$/TN]]*Tabla1[[#This Row],[PRECIO UNITARIO USD/TN]]</f>
        <v>788264.51703999995</v>
      </c>
      <c r="O142" s="868">
        <f>Tabla1[[#This Row],[SUBTOTAL]]*0.105</f>
        <v>82767.774289199995</v>
      </c>
      <c r="P142" s="866"/>
      <c r="Q142" s="868">
        <f>Tabla1[[#This Row],[SUBTOTAL]]+Tabla1[[#This Row],[IVA 10,5]]+Tabla1[[#This Row],[IVA 21]]</f>
        <v>871032.29132919991</v>
      </c>
      <c r="R142" s="866"/>
      <c r="S142" s="866"/>
      <c r="T142" s="866"/>
      <c r="U142" s="868">
        <v>656.16</v>
      </c>
      <c r="V142" s="869">
        <f>Tabla1[[#This Row],[TOTAL*]]+Tabla1[[#This Row],[IVA RG 2300/2007]]</f>
        <v>871688.45132919995</v>
      </c>
      <c r="W142" s="868">
        <v>864.5</v>
      </c>
      <c r="X142" s="1425">
        <f>Tabla1[[#This Row],[TOTAL A LIQUIDAR]]/Tabla1[[#This Row],[TIPO DE CAMBIO]]</f>
        <v>1008.315154805321</v>
      </c>
      <c r="Y142" s="1386">
        <f>Tabla1[[#This Row],[TOTAL USD]]/Tabla1[[#This Row],[HAS]]</f>
        <v>5.7290633795756873</v>
      </c>
      <c r="Z142" s="870" t="s">
        <v>236</v>
      </c>
      <c r="AA142" s="866" t="s">
        <v>498</v>
      </c>
    </row>
    <row r="143" spans="1:27" s="836" customFormat="1" ht="12" x14ac:dyDescent="0.2">
      <c r="A143" s="871"/>
      <c r="B143" s="863"/>
      <c r="C143" s="866"/>
      <c r="D143" s="865"/>
      <c r="E143" s="865"/>
      <c r="F143" s="866"/>
      <c r="G143" s="866"/>
      <c r="H143" s="866"/>
      <c r="I143" s="866"/>
      <c r="J143" s="866"/>
      <c r="K143" s="866"/>
      <c r="L143" s="868"/>
      <c r="M143" s="867"/>
      <c r="N143" s="868"/>
      <c r="O143" s="868"/>
      <c r="P143" s="866"/>
      <c r="Q143" s="868"/>
      <c r="R143" s="866"/>
      <c r="S143" s="866"/>
      <c r="T143" s="866"/>
      <c r="U143" s="868"/>
      <c r="V143" s="869"/>
      <c r="W143" s="868"/>
      <c r="X143" s="1413"/>
      <c r="Y143" s="870"/>
      <c r="Z143" s="870"/>
      <c r="AA143" s="866"/>
    </row>
    <row r="144" spans="1:27" s="836" customFormat="1" ht="12" x14ac:dyDescent="0.2">
      <c r="A144" s="932"/>
      <c r="B144" s="908"/>
      <c r="C144" s="909" t="s">
        <v>154</v>
      </c>
      <c r="D144" s="908"/>
      <c r="E144" s="908"/>
      <c r="F144" s="911"/>
      <c r="G144" s="911"/>
      <c r="H144" s="911"/>
      <c r="I144" s="911"/>
      <c r="J144" s="911"/>
      <c r="K144" s="911"/>
      <c r="L144" s="912"/>
      <c r="M144" s="911"/>
      <c r="N144" s="917">
        <f t="shared" ref="N144:V144" si="45">SUM(N145:N146)</f>
        <v>0</v>
      </c>
      <c r="O144" s="917">
        <f t="shared" si="45"/>
        <v>0</v>
      </c>
      <c r="P144" s="917">
        <f t="shared" si="45"/>
        <v>0</v>
      </c>
      <c r="Q144" s="917">
        <f t="shared" si="45"/>
        <v>0</v>
      </c>
      <c r="R144" s="917">
        <f t="shared" si="45"/>
        <v>0</v>
      </c>
      <c r="S144" s="917">
        <f t="shared" si="45"/>
        <v>0</v>
      </c>
      <c r="T144" s="917">
        <f t="shared" si="45"/>
        <v>0</v>
      </c>
      <c r="U144" s="917">
        <f t="shared" si="45"/>
        <v>0</v>
      </c>
      <c r="V144" s="917">
        <f t="shared" si="45"/>
        <v>2767893.7239999999</v>
      </c>
      <c r="W144" s="917"/>
      <c r="X144" s="1415">
        <f>SUM(X145:X146)</f>
        <v>3162.1068772486774</v>
      </c>
      <c r="Y144" s="1383">
        <f>SUM(Y145:Y146)</f>
        <v>21.322365996282379</v>
      </c>
      <c r="Z144" s="931"/>
      <c r="AA144" s="911"/>
    </row>
    <row r="145" spans="1:27" s="836" customFormat="1" ht="12" x14ac:dyDescent="0.2">
      <c r="A145" s="1300"/>
      <c r="B145" s="1301"/>
      <c r="C145" s="1302"/>
      <c r="D145" s="1303" t="s">
        <v>407</v>
      </c>
      <c r="E145" s="1301"/>
      <c r="F145" s="1293">
        <v>148.30000000000001</v>
      </c>
      <c r="G145" s="1293"/>
      <c r="H145" s="1293"/>
      <c r="I145" s="1293"/>
      <c r="J145" s="1293"/>
      <c r="K145" s="1293"/>
      <c r="L145" s="1304"/>
      <c r="M145" s="1293"/>
      <c r="N145" s="1298"/>
      <c r="O145" s="1298"/>
      <c r="P145" s="1298"/>
      <c r="Q145" s="1298"/>
      <c r="R145" s="1298"/>
      <c r="S145" s="1298"/>
      <c r="T145" s="1298"/>
      <c r="U145" s="1298"/>
      <c r="V145" s="1298">
        <v>1762378.2</v>
      </c>
      <c r="W145" s="1298">
        <v>840</v>
      </c>
      <c r="X145" s="1444">
        <f>Tabla1[[#This Row],[TOTAL A LIQUIDAR]]/Tabla1[[#This Row],[TIPO DE CAMBIO]]</f>
        <v>2098.0692857142858</v>
      </c>
      <c r="Y145" s="1396">
        <f>Tabla1[[#This Row],[TOTAL USD]]/Tabla1[[#This Row],[HAS]]</f>
        <v>14.14746652538291</v>
      </c>
      <c r="Z145" s="1305" t="s">
        <v>408</v>
      </c>
      <c r="AA145" s="1293"/>
    </row>
    <row r="146" spans="1:27" s="836" customFormat="1" ht="12" x14ac:dyDescent="0.2">
      <c r="A146" s="1300">
        <v>45530</v>
      </c>
      <c r="B146" s="1301"/>
      <c r="C146" s="1293"/>
      <c r="D146" s="1303" t="s">
        <v>407</v>
      </c>
      <c r="E146" s="1303"/>
      <c r="F146" s="1293">
        <v>148.30000000000001</v>
      </c>
      <c r="G146" s="1293"/>
      <c r="H146" s="1293"/>
      <c r="I146" s="1293"/>
      <c r="J146" s="1293"/>
      <c r="K146" s="1293"/>
      <c r="L146" s="1304"/>
      <c r="M146" s="1293"/>
      <c r="N146" s="1298"/>
      <c r="O146" s="1298"/>
      <c r="P146" s="1298"/>
      <c r="Q146" s="1298"/>
      <c r="R146" s="1298"/>
      <c r="S146" s="1298"/>
      <c r="T146" s="1298"/>
      <c r="U146" s="1298"/>
      <c r="V146" s="1296">
        <v>1005515.524</v>
      </c>
      <c r="W146" s="1298">
        <v>945</v>
      </c>
      <c r="X146" s="1444">
        <f>Tabla1[[#This Row],[TOTAL A LIQUIDAR]]/Tabla1[[#This Row],[TIPO DE CAMBIO]]</f>
        <v>1064.0375915343916</v>
      </c>
      <c r="Y146" s="1396">
        <f>Tabla1[[#This Row],[TOTAL USD]]/Tabla1[[#This Row],[HAS]]</f>
        <v>7.1748994708994704</v>
      </c>
      <c r="Z146" s="1305" t="s">
        <v>408</v>
      </c>
      <c r="AA146" s="1293"/>
    </row>
    <row r="147" spans="1:27" s="836" customFormat="1" ht="12" x14ac:dyDescent="0.2">
      <c r="A147" s="871"/>
      <c r="B147" s="863"/>
      <c r="C147" s="863"/>
      <c r="D147" s="863"/>
      <c r="E147" s="863"/>
      <c r="F147" s="866"/>
      <c r="G147" s="866"/>
      <c r="H147" s="866"/>
      <c r="I147" s="866"/>
      <c r="J147" s="866"/>
      <c r="K147" s="866"/>
      <c r="L147" s="867"/>
      <c r="M147" s="866"/>
      <c r="N147" s="866"/>
      <c r="O147" s="866"/>
      <c r="P147" s="866"/>
      <c r="Q147" s="866"/>
      <c r="R147" s="866"/>
      <c r="S147" s="866"/>
      <c r="T147" s="866"/>
      <c r="U147" s="866"/>
      <c r="V147" s="866"/>
      <c r="W147" s="866"/>
      <c r="X147" s="1413"/>
      <c r="Y147" s="870"/>
      <c r="Z147" s="870"/>
      <c r="AA147" s="866"/>
    </row>
    <row r="148" spans="1:27" s="836" customFormat="1" ht="12" x14ac:dyDescent="0.2">
      <c r="A148" s="932"/>
      <c r="B148" s="908"/>
      <c r="C148" s="909" t="s">
        <v>65</v>
      </c>
      <c r="D148" s="908"/>
      <c r="E148" s="908"/>
      <c r="F148" s="911"/>
      <c r="G148" s="911"/>
      <c r="H148" s="911"/>
      <c r="I148" s="911"/>
      <c r="J148" s="911"/>
      <c r="K148" s="911"/>
      <c r="L148" s="912"/>
      <c r="M148" s="911"/>
      <c r="N148" s="917"/>
      <c r="O148" s="917">
        <f t="shared" ref="O148:V148" si="46">SUM(O149)</f>
        <v>1032255</v>
      </c>
      <c r="P148" s="917">
        <f t="shared" si="46"/>
        <v>0</v>
      </c>
      <c r="Q148" s="917">
        <f t="shared" si="46"/>
        <v>10863255</v>
      </c>
      <c r="R148" s="917">
        <f t="shared" si="46"/>
        <v>0</v>
      </c>
      <c r="S148" s="917">
        <f t="shared" si="46"/>
        <v>0</v>
      </c>
      <c r="T148" s="917">
        <f t="shared" si="46"/>
        <v>0</v>
      </c>
      <c r="U148" s="917">
        <f t="shared" si="46"/>
        <v>0</v>
      </c>
      <c r="V148" s="917">
        <f t="shared" si="46"/>
        <v>10863255</v>
      </c>
      <c r="W148" s="915"/>
      <c r="X148" s="1415">
        <f>SUM(X149)</f>
        <v>11556.654255319148</v>
      </c>
      <c r="Y148" s="1383">
        <f>SUM(Y149)</f>
        <v>79.70106382978723</v>
      </c>
      <c r="Z148" s="931"/>
      <c r="AA148" s="911"/>
    </row>
    <row r="149" spans="1:27" s="836" customFormat="1" ht="12" x14ac:dyDescent="0.2">
      <c r="A149" s="1306">
        <v>45208</v>
      </c>
      <c r="B149" s="1301"/>
      <c r="C149" s="1302"/>
      <c r="D149" s="1303" t="s">
        <v>413</v>
      </c>
      <c r="E149" s="1301"/>
      <c r="F149" s="1293">
        <v>145</v>
      </c>
      <c r="G149" s="1293"/>
      <c r="H149" s="1293"/>
      <c r="I149" s="1293"/>
      <c r="J149" s="1293"/>
      <c r="K149" s="1293"/>
      <c r="L149" s="1304"/>
      <c r="M149" s="1296"/>
      <c r="N149" s="1296">
        <v>9831000</v>
      </c>
      <c r="O149" s="1298">
        <f>Tabla1[[#This Row],[SUBTOTAL]]*0.105</f>
        <v>1032255</v>
      </c>
      <c r="P149" s="1298"/>
      <c r="Q149" s="1296">
        <f>Tabla1[[#This Row],[SUBTOTAL]]+Tabla1[[#This Row],[IVA 10,5]]+Tabla1[[#This Row],[IVA 21]]</f>
        <v>10863255</v>
      </c>
      <c r="R149" s="1298"/>
      <c r="S149" s="1298"/>
      <c r="T149" s="1298"/>
      <c r="U149" s="1296"/>
      <c r="V149" s="1298">
        <f>Tabla1[[#This Row],[TOTAL*]]+Tabla1[[#This Row],[IVA RG 2300/2007]]</f>
        <v>10863255</v>
      </c>
      <c r="W149" s="1296">
        <v>940</v>
      </c>
      <c r="X149" s="1444">
        <f>Tabla1[[#This Row],[TOTAL A LIQUIDAR]]/Tabla1[[#This Row],[TIPO DE CAMBIO]]</f>
        <v>11556.654255319148</v>
      </c>
      <c r="Y149" s="1396">
        <f>Tabla1[[#This Row],[TOTAL USD]]/Tabla1[[#This Row],[HAS]]</f>
        <v>79.70106382978723</v>
      </c>
      <c r="Z149" s="1305" t="s">
        <v>413</v>
      </c>
      <c r="AA149" s="1293" t="s">
        <v>500</v>
      </c>
    </row>
    <row r="150" spans="1:27" s="836" customFormat="1" ht="12" x14ac:dyDescent="0.2">
      <c r="A150" s="862"/>
      <c r="B150" s="863"/>
      <c r="C150" s="864"/>
      <c r="D150" s="865"/>
      <c r="E150" s="863"/>
      <c r="F150" s="866"/>
      <c r="G150" s="866"/>
      <c r="H150" s="866"/>
      <c r="I150" s="866"/>
      <c r="J150" s="866"/>
      <c r="K150" s="866"/>
      <c r="L150" s="867"/>
      <c r="M150" s="866"/>
      <c r="N150" s="866"/>
      <c r="O150" s="866"/>
      <c r="P150" s="875"/>
      <c r="Q150" s="868">
        <f>Tabla1[[#This Row],[SUBTOTAL]]+Tabla1[[#This Row],[IVA 10,5]]+Tabla1[[#This Row],[IVA 21]]</f>
        <v>0</v>
      </c>
      <c r="R150" s="875"/>
      <c r="S150" s="875"/>
      <c r="T150" s="875"/>
      <c r="U150" s="875"/>
      <c r="V150" s="875">
        <f>Tabla1[[#This Row],[TOTAL*]]+Tabla1[[#This Row],[IVA RG 2300/2007]]</f>
        <v>0</v>
      </c>
      <c r="W150" s="875"/>
      <c r="X150" s="1411"/>
      <c r="Y150" s="1386"/>
      <c r="Z150" s="870"/>
      <c r="AA150" s="866"/>
    </row>
    <row r="151" spans="1:27" s="836" customFormat="1" ht="12" x14ac:dyDescent="0.2">
      <c r="A151" s="930"/>
      <c r="B151" s="908"/>
      <c r="C151" s="909" t="s">
        <v>94</v>
      </c>
      <c r="D151" s="910"/>
      <c r="E151" s="908"/>
      <c r="F151" s="911"/>
      <c r="G151" s="911"/>
      <c r="H151" s="911"/>
      <c r="I151" s="911"/>
      <c r="J151" s="911">
        <f>SUM(J155:J169)</f>
        <v>501040</v>
      </c>
      <c r="K151" s="911"/>
      <c r="L151" s="915"/>
      <c r="M151" s="915"/>
      <c r="N151" s="915">
        <f t="shared" ref="N151:T151" si="47">SUM(N152:N164)</f>
        <v>15361576.539999999</v>
      </c>
      <c r="O151" s="915">
        <f t="shared" si="47"/>
        <v>0</v>
      </c>
      <c r="P151" s="917">
        <f t="shared" si="47"/>
        <v>2722737.4734</v>
      </c>
      <c r="Q151" s="917">
        <f t="shared" si="47"/>
        <v>18084314.0134</v>
      </c>
      <c r="R151" s="917">
        <f t="shared" si="47"/>
        <v>0</v>
      </c>
      <c r="S151" s="917">
        <f t="shared" si="47"/>
        <v>0</v>
      </c>
      <c r="T151" s="917">
        <f t="shared" si="47"/>
        <v>0</v>
      </c>
      <c r="U151" s="917">
        <f>SUM(U152:U170)</f>
        <v>11627.14</v>
      </c>
      <c r="V151" s="917">
        <f>SUM(V152:V170)</f>
        <v>27753534.373399995</v>
      </c>
      <c r="W151" s="917"/>
      <c r="X151" s="1445">
        <f>SUM(X152:X170)</f>
        <v>28874.074679921287</v>
      </c>
      <c r="Y151" s="1383">
        <f>SUM(Y152:Y170)</f>
        <v>199.13154951669856</v>
      </c>
      <c r="Z151" s="931"/>
      <c r="AA151" s="911"/>
    </row>
    <row r="152" spans="1:27" s="836" customFormat="1" ht="12" x14ac:dyDescent="0.2">
      <c r="A152" s="871">
        <v>45345</v>
      </c>
      <c r="B152" s="873"/>
      <c r="C152" s="864"/>
      <c r="D152" s="866" t="s">
        <v>414</v>
      </c>
      <c r="E152" s="866" t="s">
        <v>111</v>
      </c>
      <c r="F152" s="866">
        <v>145</v>
      </c>
      <c r="G152" s="866"/>
      <c r="H152" s="874"/>
      <c r="I152" s="874"/>
      <c r="J152" s="866">
        <v>1</v>
      </c>
      <c r="K152" s="866"/>
      <c r="L152" s="867">
        <v>838.3</v>
      </c>
      <c r="M152" s="867">
        <v>467</v>
      </c>
      <c r="N152" s="868">
        <f>Tabla1[[#This Row],[KG NETOS TOT]]*Tabla1[[#This Row],[$/TN]]*Tabla1[[#This Row],[PRECIO UNITARIO USD/TN]]-3914.86</f>
        <v>387571.24</v>
      </c>
      <c r="O152" s="861"/>
      <c r="P152" s="868">
        <f>Tabla1[[#This Row],[SUBTOTAL]]*0.21</f>
        <v>81389.960399999996</v>
      </c>
      <c r="Q152" s="868">
        <f>Tabla1[[#This Row],[SUBTOTAL]]+Tabla1[[#This Row],[IVA 10,5]]+Tabla1[[#This Row],[IVA 21]]</f>
        <v>468961.20039999997</v>
      </c>
      <c r="R152" s="868"/>
      <c r="S152" s="868"/>
      <c r="T152" s="868"/>
      <c r="U152" s="868">
        <v>11627.14</v>
      </c>
      <c r="V152" s="868">
        <f>Tabla1[[#This Row],[TOTAL*]]+Tabla1[[#This Row],[IVA RG 2300/2007]]</f>
        <v>480588.34039999999</v>
      </c>
      <c r="W152" s="868">
        <v>838.3</v>
      </c>
      <c r="X152" s="1411">
        <f>Tabla1[[#This Row],[TOTAL A LIQUIDAR]]/Tabla1[[#This Row],[TIPO DE CAMBIO]]</f>
        <v>573.28920481927707</v>
      </c>
      <c r="Y152" s="1386">
        <f>Tabla1[[#This Row],[TOTAL USD]]/Tabla1[[#This Row],[HAS]]</f>
        <v>3.9537186539260487</v>
      </c>
      <c r="Z152" s="870" t="s">
        <v>236</v>
      </c>
      <c r="AA152" s="866" t="s">
        <v>498</v>
      </c>
    </row>
    <row r="153" spans="1:27" s="836" customFormat="1" ht="12" x14ac:dyDescent="0.2">
      <c r="A153" s="871">
        <v>45391</v>
      </c>
      <c r="B153" s="863"/>
      <c r="C153" s="866"/>
      <c r="D153" s="865" t="s">
        <v>501</v>
      </c>
      <c r="E153" s="865" t="s">
        <v>111</v>
      </c>
      <c r="F153" s="866">
        <v>145</v>
      </c>
      <c r="G153" s="866"/>
      <c r="H153" s="866"/>
      <c r="I153" s="866"/>
      <c r="J153" s="866">
        <v>1</v>
      </c>
      <c r="K153" s="866"/>
      <c r="L153" s="868">
        <v>864.5</v>
      </c>
      <c r="M153" s="867">
        <v>25.3</v>
      </c>
      <c r="N153" s="875">
        <f>Tabla1[[#This Row],[PRECIO UNITARIO USD/TN]]*J153</f>
        <v>25.3</v>
      </c>
      <c r="O153" s="868"/>
      <c r="P153" s="875">
        <f>Tabla1[[#This Row],[SUBTOTAL]]*0.21</f>
        <v>5.3129999999999997</v>
      </c>
      <c r="Q153" s="868">
        <f>Tabla1[[#This Row],[SUBTOTAL]]+Tabla1[[#This Row],[IVA 10,5]]+Tabla1[[#This Row],[IVA 21]]</f>
        <v>30.613</v>
      </c>
      <c r="R153" s="868"/>
      <c r="S153" s="868"/>
      <c r="T153" s="868"/>
      <c r="U153" s="868"/>
      <c r="V153" s="868">
        <f>Tabla1[[#This Row],[TOTAL*]]-Tabla1[[#This Row],[IVA RG 2300/2007]]</f>
        <v>30.613</v>
      </c>
      <c r="W153" s="868">
        <v>864.5</v>
      </c>
      <c r="X153" s="1411">
        <f>Tabla1[[#This Row],[TOTAL A LIQUIDAR]]/Tabla1[[#This Row],[TIPO DE CAMBIO]]</f>
        <v>3.5411220358588777E-2</v>
      </c>
      <c r="Y153" s="1386">
        <f>Tabla1[[#This Row],[TOTAL USD]]/Tabla1[[#This Row],[HAS]]</f>
        <v>2.4421531281785364E-4</v>
      </c>
      <c r="Z153" s="870" t="s">
        <v>236</v>
      </c>
      <c r="AA153" s="866" t="s">
        <v>498</v>
      </c>
    </row>
    <row r="154" spans="1:27" s="836" customFormat="1" ht="12" x14ac:dyDescent="0.2">
      <c r="A154" s="1234"/>
      <c r="B154" s="1238"/>
      <c r="C154" s="1236"/>
      <c r="D154" s="1240" t="s">
        <v>502</v>
      </c>
      <c r="E154" s="1238"/>
      <c r="F154" s="1237">
        <v>145</v>
      </c>
      <c r="G154" s="1237"/>
      <c r="H154" s="1237"/>
      <c r="I154" s="1237"/>
      <c r="J154" s="1237">
        <v>60000</v>
      </c>
      <c r="K154" s="1237"/>
      <c r="L154" s="1242">
        <f>Tabla1[[#This Row],[PRECIO UNITARIO USD/TN]]/100</f>
        <v>390</v>
      </c>
      <c r="M154" s="1260">
        <v>39000</v>
      </c>
      <c r="N154" s="1260">
        <f>Tabla1[[#This Row],[PRECIO UNITARIO USD/TN]]*J154/1000</f>
        <v>2340000</v>
      </c>
      <c r="O154" s="1237"/>
      <c r="P154" s="1244">
        <f>Tabla1[[#This Row],[SUBTOTAL]]*0.21</f>
        <v>491400</v>
      </c>
      <c r="Q154" s="1243">
        <f>Tabla1[[#This Row],[SUBTOTAL]]+Tabla1[[#This Row],[IVA 10,5]]+Tabla1[[#This Row],[IVA 21]]</f>
        <v>2831400</v>
      </c>
      <c r="R154" s="1243"/>
      <c r="S154" s="1243"/>
      <c r="T154" s="1243"/>
      <c r="U154" s="1243"/>
      <c r="V154" s="1243">
        <f>Tabla1[[#This Row],[TOTAL*]]-Tabla1[[#This Row],[IVA RG 2300/2007]]</f>
        <v>2831400</v>
      </c>
      <c r="W154" s="1243">
        <v>960</v>
      </c>
      <c r="X154" s="1425">
        <f>Tabla1[[#This Row],[TOTAL A LIQUIDAR]]/Tabla1[[#This Row],[TIPO DE CAMBIO]]</f>
        <v>2949.375</v>
      </c>
      <c r="Y154" s="1392">
        <f>Tabla1[[#This Row],[TOTAL USD]]/Tabla1[[#This Row],[HAS]]</f>
        <v>20.34051724137931</v>
      </c>
      <c r="Z154" s="1245" t="s">
        <v>219</v>
      </c>
      <c r="AA154" s="1237"/>
    </row>
    <row r="155" spans="1:27" s="836" customFormat="1" ht="12" x14ac:dyDescent="0.2">
      <c r="A155" s="1261">
        <v>45531</v>
      </c>
      <c r="B155" s="1262"/>
      <c r="C155" s="1263"/>
      <c r="D155" s="1264" t="s">
        <v>503</v>
      </c>
      <c r="E155" s="1262"/>
      <c r="F155" s="1265">
        <v>145</v>
      </c>
      <c r="G155" s="1265">
        <v>550</v>
      </c>
      <c r="H155" s="1265"/>
      <c r="I155" s="1265"/>
      <c r="J155" s="1265">
        <v>31050</v>
      </c>
      <c r="K155" s="1265"/>
      <c r="L155" s="1266">
        <f>Tabla1[[#This Row],[PRECIO UNITARIO USD/TN]]/100</f>
        <v>390</v>
      </c>
      <c r="M155" s="1267">
        <v>39000</v>
      </c>
      <c r="N155" s="1267">
        <f>Tabla1[[#This Row],[PRECIO UNITARIO USD/TN]]*J155/1000</f>
        <v>1210950</v>
      </c>
      <c r="O155" s="1265"/>
      <c r="P155" s="1265"/>
      <c r="Q155" s="1268">
        <f>Tabla1[[#This Row],[SUBTOTAL]]+Tabla1[[#This Row],[IVA 10,5]]+Tabla1[[#This Row],[IVA 21]]</f>
        <v>1210950</v>
      </c>
      <c r="R155" s="1268"/>
      <c r="S155" s="1268"/>
      <c r="T155" s="1268"/>
      <c r="U155" s="1268"/>
      <c r="V155" s="1268">
        <f>Tabla1[[#This Row],[TOTAL*]]-Tabla1[[#This Row],[IVA RG 2300/2007]]</f>
        <v>1210950</v>
      </c>
      <c r="W155" s="1268">
        <v>960</v>
      </c>
      <c r="X155" s="1431">
        <f>Tabla1[[#This Row],[TOTAL A LIQUIDAR]]/Tabla1[[#This Row],[TIPO DE CAMBIO]]</f>
        <v>1261.40625</v>
      </c>
      <c r="Y155" s="1397">
        <f>Tabla1[[#This Row],[TOTAL USD]]/Tabla1[[#This Row],[HAS]]</f>
        <v>8.6993534482758612</v>
      </c>
      <c r="Z155" s="1269" t="s">
        <v>219</v>
      </c>
      <c r="AA155" s="1265"/>
    </row>
    <row r="156" spans="1:27" s="836" customFormat="1" ht="12" x14ac:dyDescent="0.2">
      <c r="A156" s="1261">
        <v>45531</v>
      </c>
      <c r="B156" s="1262"/>
      <c r="C156" s="1263"/>
      <c r="D156" s="1264" t="s">
        <v>503</v>
      </c>
      <c r="E156" s="1262"/>
      <c r="F156" s="1265">
        <v>145</v>
      </c>
      <c r="G156" s="1265">
        <v>550</v>
      </c>
      <c r="H156" s="1265"/>
      <c r="I156" s="1265"/>
      <c r="J156" s="1265">
        <v>30390</v>
      </c>
      <c r="K156" s="1265"/>
      <c r="L156" s="1266">
        <f>Tabla1[[#This Row],[PRECIO UNITARIO USD/TN]]/100</f>
        <v>390</v>
      </c>
      <c r="M156" s="1267">
        <v>39000</v>
      </c>
      <c r="N156" s="1267">
        <f>Tabla1[[#This Row],[PRECIO UNITARIO USD/TN]]*J156/1000</f>
        <v>1185210</v>
      </c>
      <c r="O156" s="1265"/>
      <c r="P156" s="1265"/>
      <c r="Q156" s="1268">
        <f>Tabla1[[#This Row],[SUBTOTAL]]+Tabla1[[#This Row],[IVA 10,5]]+Tabla1[[#This Row],[IVA 21]]</f>
        <v>1185210</v>
      </c>
      <c r="R156" s="1268"/>
      <c r="S156" s="1268"/>
      <c r="T156" s="1268"/>
      <c r="U156" s="1268"/>
      <c r="V156" s="1268">
        <f>Tabla1[[#This Row],[TOTAL*]]-Tabla1[[#This Row],[IVA RG 2300/2007]]</f>
        <v>1185210</v>
      </c>
      <c r="W156" s="1268">
        <v>960</v>
      </c>
      <c r="X156" s="1431">
        <f>Tabla1[[#This Row],[TOTAL A LIQUIDAR]]/Tabla1[[#This Row],[TIPO DE CAMBIO]]</f>
        <v>1234.59375</v>
      </c>
      <c r="Y156" s="1397">
        <f>Tabla1[[#This Row],[TOTAL USD]]/Tabla1[[#This Row],[HAS]]</f>
        <v>8.5144396551724135</v>
      </c>
      <c r="Z156" s="1269" t="s">
        <v>219</v>
      </c>
      <c r="AA156" s="1265"/>
    </row>
    <row r="157" spans="1:27" s="836" customFormat="1" ht="12" x14ac:dyDescent="0.2">
      <c r="A157" s="1270">
        <v>45534</v>
      </c>
      <c r="B157" s="1235"/>
      <c r="C157" s="1236"/>
      <c r="D157" s="1271" t="s">
        <v>504</v>
      </c>
      <c r="E157" s="1235"/>
      <c r="F157" s="1272">
        <v>145</v>
      </c>
      <c r="G157" s="1272"/>
      <c r="H157" s="1272"/>
      <c r="I157" s="1272"/>
      <c r="J157" s="1272">
        <v>27880</v>
      </c>
      <c r="K157" s="1272"/>
      <c r="L157" s="1273">
        <f>Tabla1[[#This Row],[PRECIO UNITARIO USD/TN]]/100</f>
        <v>410</v>
      </c>
      <c r="M157" s="1274">
        <v>41000</v>
      </c>
      <c r="N157" s="1274">
        <f>Tabla1[[#This Row],[PRECIO UNITARIO USD/TN]]*J157/1000</f>
        <v>1143080</v>
      </c>
      <c r="O157" s="1272"/>
      <c r="P157" s="1275">
        <f>Tabla1[[#This Row],[SUBTOTAL]]*0.21</f>
        <v>240046.8</v>
      </c>
      <c r="Q157" s="1276">
        <f>Tabla1[[#This Row],[SUBTOTAL]]+Tabla1[[#This Row],[IVA 10,5]]+Tabla1[[#This Row],[IVA 21]]</f>
        <v>1383126.8</v>
      </c>
      <c r="R157" s="1276"/>
      <c r="S157" s="1276"/>
      <c r="T157" s="1276"/>
      <c r="U157" s="1276"/>
      <c r="V157" s="1276">
        <f>Tabla1[[#This Row],[TOTAL*]]-Tabla1[[#This Row],[IVA RG 2300/2007]]</f>
        <v>1383126.8</v>
      </c>
      <c r="W157" s="1276">
        <v>960</v>
      </c>
      <c r="X157" s="1432">
        <f>Tabla1[[#This Row],[TOTAL A LIQUIDAR]]/Tabla1[[#This Row],[TIPO DE CAMBIO]]</f>
        <v>1440.7570833333334</v>
      </c>
      <c r="Y157" s="1398">
        <f>Tabla1[[#This Row],[TOTAL USD]]/Tabla1[[#This Row],[HAS]]</f>
        <v>9.9362557471264381</v>
      </c>
      <c r="Z157" s="1277" t="s">
        <v>505</v>
      </c>
      <c r="AA157" s="1272" t="s">
        <v>506</v>
      </c>
    </row>
    <row r="158" spans="1:27" s="836" customFormat="1" ht="12" x14ac:dyDescent="0.2">
      <c r="A158" s="1270">
        <v>45534</v>
      </c>
      <c r="B158" s="1235"/>
      <c r="C158" s="1236"/>
      <c r="D158" s="1271" t="s">
        <v>504</v>
      </c>
      <c r="E158" s="1235"/>
      <c r="F158" s="1272">
        <v>145</v>
      </c>
      <c r="G158" s="1272"/>
      <c r="H158" s="1272"/>
      <c r="I158" s="1272"/>
      <c r="J158" s="1272">
        <v>36760</v>
      </c>
      <c r="K158" s="1272"/>
      <c r="L158" s="1273">
        <f>Tabla1[[#This Row],[PRECIO UNITARIO USD/TN]]/100</f>
        <v>410</v>
      </c>
      <c r="M158" s="1274">
        <v>41000</v>
      </c>
      <c r="N158" s="1274">
        <f>Tabla1[[#This Row],[PRECIO UNITARIO USD/TN]]*J158/1000</f>
        <v>1507160</v>
      </c>
      <c r="O158" s="1272"/>
      <c r="P158" s="1275">
        <f>Tabla1[[#This Row],[SUBTOTAL]]*0.21</f>
        <v>316503.59999999998</v>
      </c>
      <c r="Q158" s="1276">
        <f>Tabla1[[#This Row],[SUBTOTAL]]+Tabla1[[#This Row],[IVA 10,5]]+Tabla1[[#This Row],[IVA 21]]</f>
        <v>1823663.6</v>
      </c>
      <c r="R158" s="1276"/>
      <c r="S158" s="1276"/>
      <c r="T158" s="1276"/>
      <c r="U158" s="1276"/>
      <c r="V158" s="1276">
        <f>Tabla1[[#This Row],[TOTAL*]]-Tabla1[[#This Row],[IVA RG 2300/2007]]</f>
        <v>1823663.6</v>
      </c>
      <c r="W158" s="1276">
        <v>960</v>
      </c>
      <c r="X158" s="1432">
        <f>Tabla1[[#This Row],[TOTAL A LIQUIDAR]]/Tabla1[[#This Row],[TIPO DE CAMBIO]]</f>
        <v>1899.6495833333333</v>
      </c>
      <c r="Y158" s="1398">
        <f>Tabla1[[#This Row],[TOTAL USD]]/Tabla1[[#This Row],[HAS]]</f>
        <v>13.101031609195402</v>
      </c>
      <c r="Z158" s="1277" t="s">
        <v>507</v>
      </c>
      <c r="AA158" s="1272" t="s">
        <v>508</v>
      </c>
    </row>
    <row r="159" spans="1:27" s="836" customFormat="1" ht="12" x14ac:dyDescent="0.2">
      <c r="A159" s="1270">
        <v>45534</v>
      </c>
      <c r="B159" s="1235"/>
      <c r="C159" s="1236"/>
      <c r="D159" s="1271" t="s">
        <v>504</v>
      </c>
      <c r="E159" s="1235"/>
      <c r="F159" s="1272">
        <v>145</v>
      </c>
      <c r="G159" s="1272"/>
      <c r="H159" s="1272"/>
      <c r="I159" s="1272"/>
      <c r="J159" s="1272">
        <v>30560</v>
      </c>
      <c r="K159" s="1272"/>
      <c r="L159" s="1273">
        <f>Tabla1[[#This Row],[PRECIO UNITARIO USD/TN]]/100</f>
        <v>410</v>
      </c>
      <c r="M159" s="1274">
        <v>41000</v>
      </c>
      <c r="N159" s="1274">
        <f>Tabla1[[#This Row],[PRECIO UNITARIO USD/TN]]*J159/1000</f>
        <v>1252960</v>
      </c>
      <c r="O159" s="1272"/>
      <c r="P159" s="1275">
        <f>Tabla1[[#This Row],[SUBTOTAL]]*0.21</f>
        <v>263121.59999999998</v>
      </c>
      <c r="Q159" s="1276">
        <f>Tabla1[[#This Row],[SUBTOTAL]]+Tabla1[[#This Row],[IVA 10,5]]+Tabla1[[#This Row],[IVA 21]]</f>
        <v>1516081.6</v>
      </c>
      <c r="R159" s="1276"/>
      <c r="S159" s="1276"/>
      <c r="T159" s="1276"/>
      <c r="U159" s="1276"/>
      <c r="V159" s="1276">
        <f>Tabla1[[#This Row],[TOTAL*]]-Tabla1[[#This Row],[IVA RG 2300/2007]]</f>
        <v>1516081.6</v>
      </c>
      <c r="W159" s="1276">
        <v>960</v>
      </c>
      <c r="X159" s="1432">
        <f>Tabla1[[#This Row],[TOTAL A LIQUIDAR]]/Tabla1[[#This Row],[TIPO DE CAMBIO]]</f>
        <v>1579.2516666666668</v>
      </c>
      <c r="Y159" s="1398">
        <f>Tabla1[[#This Row],[TOTAL USD]]/Tabla1[[#This Row],[HAS]]</f>
        <v>10.891390804597702</v>
      </c>
      <c r="Z159" s="1277" t="s">
        <v>505</v>
      </c>
      <c r="AA159" s="1272" t="s">
        <v>509</v>
      </c>
    </row>
    <row r="160" spans="1:27" s="836" customFormat="1" ht="12" x14ac:dyDescent="0.2">
      <c r="A160" s="1270">
        <v>45532</v>
      </c>
      <c r="B160" s="1235"/>
      <c r="C160" s="1236"/>
      <c r="D160" s="1271" t="s">
        <v>504</v>
      </c>
      <c r="E160" s="1235"/>
      <c r="F160" s="1272">
        <v>145</v>
      </c>
      <c r="G160" s="1272"/>
      <c r="H160" s="1272"/>
      <c r="I160" s="1272"/>
      <c r="J160" s="1272">
        <v>30390</v>
      </c>
      <c r="K160" s="1272"/>
      <c r="L160" s="1273">
        <f>Tabla1[[#This Row],[PRECIO UNITARIO USD/TN]]/100</f>
        <v>390</v>
      </c>
      <c r="M160" s="1274">
        <v>39000</v>
      </c>
      <c r="N160" s="1274">
        <f>Tabla1[[#This Row],[PRECIO UNITARIO USD/TN]]*J160/1000</f>
        <v>1185210</v>
      </c>
      <c r="O160" s="1272"/>
      <c r="P160" s="1275">
        <f>Tabla1[[#This Row],[SUBTOTAL]]*0.21</f>
        <v>248894.09999999998</v>
      </c>
      <c r="Q160" s="1276">
        <f>Tabla1[[#This Row],[SUBTOTAL]]+Tabla1[[#This Row],[IVA 10,5]]+Tabla1[[#This Row],[IVA 21]]</f>
        <v>1434104.1</v>
      </c>
      <c r="R160" s="1276"/>
      <c r="S160" s="1276"/>
      <c r="T160" s="1276"/>
      <c r="U160" s="1276"/>
      <c r="V160" s="1276">
        <f>Tabla1[[#This Row],[TOTAL*]]-Tabla1[[#This Row],[IVA RG 2300/2007]]</f>
        <v>1434104.1</v>
      </c>
      <c r="W160" s="1276">
        <v>960</v>
      </c>
      <c r="X160" s="1432">
        <f>Tabla1[[#This Row],[TOTAL A LIQUIDAR]]/Tabla1[[#This Row],[TIPO DE CAMBIO]]</f>
        <v>1493.8584375</v>
      </c>
      <c r="Y160" s="1398">
        <f>Tabla1[[#This Row],[TOTAL USD]]/Tabla1[[#This Row],[HAS]]</f>
        <v>10.302471982758622</v>
      </c>
      <c r="Z160" s="1277" t="s">
        <v>248</v>
      </c>
      <c r="AA160" s="1272" t="s">
        <v>510</v>
      </c>
    </row>
    <row r="161" spans="1:27" s="836" customFormat="1" ht="12" x14ac:dyDescent="0.2">
      <c r="A161" s="1270">
        <v>45531</v>
      </c>
      <c r="B161" s="1235"/>
      <c r="C161" s="1236"/>
      <c r="D161" s="1271" t="s">
        <v>504</v>
      </c>
      <c r="E161" s="1235"/>
      <c r="F161" s="1272">
        <v>145</v>
      </c>
      <c r="G161" s="1272"/>
      <c r="H161" s="1272"/>
      <c r="I161" s="1272"/>
      <c r="J161" s="1272">
        <v>35820</v>
      </c>
      <c r="K161" s="1272"/>
      <c r="L161" s="1273">
        <f>Tabla1[[#This Row],[PRECIO UNITARIO USD/TN]]/100</f>
        <v>410</v>
      </c>
      <c r="M161" s="1274">
        <v>41000</v>
      </c>
      <c r="N161" s="1274">
        <f>Tabla1[[#This Row],[PRECIO UNITARIO USD/TN]]*J161/1000</f>
        <v>1468620</v>
      </c>
      <c r="O161" s="1272"/>
      <c r="P161" s="1275">
        <f>Tabla1[[#This Row],[SUBTOTAL]]*0.21</f>
        <v>308410.2</v>
      </c>
      <c r="Q161" s="1276">
        <f>Tabla1[[#This Row],[SUBTOTAL]]+Tabla1[[#This Row],[IVA 10,5]]+Tabla1[[#This Row],[IVA 21]]</f>
        <v>1777030.2</v>
      </c>
      <c r="R161" s="1276"/>
      <c r="S161" s="1276"/>
      <c r="T161" s="1276"/>
      <c r="U161" s="1276"/>
      <c r="V161" s="1276">
        <f>Tabla1[[#This Row],[TOTAL*]]-Tabla1[[#This Row],[IVA RG 2300/2007]]</f>
        <v>1777030.2</v>
      </c>
      <c r="W161" s="1276">
        <v>961</v>
      </c>
      <c r="X161" s="1432">
        <f>Tabla1[[#This Row],[TOTAL A LIQUIDAR]]/Tabla1[[#This Row],[TIPO DE CAMBIO]]</f>
        <v>1849.1469302809573</v>
      </c>
      <c r="Y161" s="1398">
        <f>Tabla1[[#This Row],[TOTAL USD]]/Tabla1[[#This Row],[HAS]]</f>
        <v>12.752737450213498</v>
      </c>
      <c r="Z161" s="1277" t="s">
        <v>505</v>
      </c>
      <c r="AA161" s="1272" t="s">
        <v>511</v>
      </c>
    </row>
    <row r="162" spans="1:27" s="836" customFormat="1" ht="12" x14ac:dyDescent="0.2">
      <c r="A162" s="1270">
        <v>45531</v>
      </c>
      <c r="B162" s="1235"/>
      <c r="C162" s="1236"/>
      <c r="D162" s="1271" t="s">
        <v>504</v>
      </c>
      <c r="E162" s="1235"/>
      <c r="F162" s="1272">
        <v>145</v>
      </c>
      <c r="G162" s="1272"/>
      <c r="H162" s="1272"/>
      <c r="I162" s="1272"/>
      <c r="J162" s="1272">
        <v>31050</v>
      </c>
      <c r="K162" s="1272"/>
      <c r="L162" s="1273">
        <f>Tabla1[[#This Row],[PRECIO UNITARIO USD/TN]]/100</f>
        <v>390</v>
      </c>
      <c r="M162" s="1274">
        <v>39000</v>
      </c>
      <c r="N162" s="1274">
        <f>Tabla1[[#This Row],[PRECIO UNITARIO USD/TN]]*J162/1000</f>
        <v>1210950</v>
      </c>
      <c r="O162" s="1272"/>
      <c r="P162" s="1275">
        <f>Tabla1[[#This Row],[SUBTOTAL]]*0.21</f>
        <v>254299.5</v>
      </c>
      <c r="Q162" s="1276">
        <f>Tabla1[[#This Row],[SUBTOTAL]]+Tabla1[[#This Row],[IVA 10,5]]+Tabla1[[#This Row],[IVA 21]]</f>
        <v>1465249.5</v>
      </c>
      <c r="R162" s="1276"/>
      <c r="S162" s="1276"/>
      <c r="T162" s="1276"/>
      <c r="U162" s="1276"/>
      <c r="V162" s="1276">
        <f>Tabla1[[#This Row],[TOTAL*]]-Tabla1[[#This Row],[IVA RG 2300/2007]]</f>
        <v>1465249.5</v>
      </c>
      <c r="W162" s="1276">
        <v>962</v>
      </c>
      <c r="X162" s="1432">
        <f>Tabla1[[#This Row],[TOTAL A LIQUIDAR]]/Tabla1[[#This Row],[TIPO DE CAMBIO]]</f>
        <v>1523.1283783783783</v>
      </c>
      <c r="Y162" s="1398">
        <f>Tabla1[[#This Row],[TOTAL USD]]/Tabla1[[#This Row],[HAS]]</f>
        <v>10.504333643988817</v>
      </c>
      <c r="Z162" s="1277" t="s">
        <v>505</v>
      </c>
      <c r="AA162" s="1272" t="s">
        <v>512</v>
      </c>
    </row>
    <row r="163" spans="1:27" s="836" customFormat="1" ht="12" x14ac:dyDescent="0.2">
      <c r="A163" s="1278">
        <v>45538</v>
      </c>
      <c r="B163" s="1279"/>
      <c r="C163" s="1280"/>
      <c r="D163" s="1281" t="s">
        <v>504</v>
      </c>
      <c r="E163" s="1279"/>
      <c r="F163" s="1282">
        <v>145</v>
      </c>
      <c r="G163" s="1282"/>
      <c r="H163" s="1282"/>
      <c r="I163" s="1282"/>
      <c r="J163" s="1282">
        <v>29400</v>
      </c>
      <c r="K163" s="1282"/>
      <c r="L163" s="1283">
        <v>410</v>
      </c>
      <c r="M163" s="1284">
        <v>41000</v>
      </c>
      <c r="N163" s="1284">
        <f>Tabla1[[#This Row],[PRECIO UNITARIO USD/TN]]*J163/1000</f>
        <v>1205400</v>
      </c>
      <c r="O163" s="1282"/>
      <c r="P163" s="1285">
        <f>Tabla1[[#This Row],[SUBTOTAL]]*0.21</f>
        <v>253134</v>
      </c>
      <c r="Q163" s="1286">
        <f>Tabla1[[#This Row],[SUBTOTAL]]+Tabla1[[#This Row],[IVA 10,5]]+Tabla1[[#This Row],[IVA 21]]</f>
        <v>1458534</v>
      </c>
      <c r="R163" s="1286"/>
      <c r="S163" s="1286"/>
      <c r="T163" s="1286"/>
      <c r="U163" s="1286"/>
      <c r="V163" s="1286">
        <f>Tabla1[[#This Row],[TOTAL*]]-Tabla1[[#This Row],[IVA RG 2300/2007]]</f>
        <v>1458534</v>
      </c>
      <c r="W163" s="1286">
        <v>966</v>
      </c>
      <c r="X163" s="1433">
        <f>Tabla1[[#This Row],[TOTAL A LIQUIDAR]]/Tabla1[[#This Row],[TIPO DE CAMBIO]]</f>
        <v>1509.8695652173913</v>
      </c>
      <c r="Y163" s="1399">
        <f>Tabla1[[#This Row],[TOTAL USD]]/Tabla1[[#This Row],[HAS]]</f>
        <v>10.412893553223387</v>
      </c>
      <c r="Z163" s="1287" t="s">
        <v>505</v>
      </c>
      <c r="AA163" s="1282" t="s">
        <v>513</v>
      </c>
    </row>
    <row r="164" spans="1:27" s="836" customFormat="1" ht="12" x14ac:dyDescent="0.2">
      <c r="A164" s="1278">
        <v>45539</v>
      </c>
      <c r="B164" s="1279"/>
      <c r="C164" s="1280"/>
      <c r="D164" s="1281" t="s">
        <v>504</v>
      </c>
      <c r="E164" s="1279"/>
      <c r="F164" s="1282">
        <v>145</v>
      </c>
      <c r="G164" s="1282"/>
      <c r="H164" s="1282"/>
      <c r="I164" s="1282"/>
      <c r="J164" s="1282">
        <v>30840</v>
      </c>
      <c r="K164" s="1282"/>
      <c r="L164" s="1283">
        <v>410</v>
      </c>
      <c r="M164" s="1284">
        <v>41000</v>
      </c>
      <c r="N164" s="1284">
        <f>Tabla1[[#This Row],[PRECIO UNITARIO USD/TN]]*J164/1000</f>
        <v>1264440</v>
      </c>
      <c r="O164" s="1282"/>
      <c r="P164" s="1285">
        <f>Tabla1[[#This Row],[SUBTOTAL]]*0.21</f>
        <v>265532.39999999997</v>
      </c>
      <c r="Q164" s="1286">
        <f>Tabla1[[#This Row],[SUBTOTAL]]+Tabla1[[#This Row],[IVA 10,5]]+Tabla1[[#This Row],[IVA 21]]</f>
        <v>1529972.4</v>
      </c>
      <c r="R164" s="1286"/>
      <c r="S164" s="1286"/>
      <c r="T164" s="1286"/>
      <c r="U164" s="1286"/>
      <c r="V164" s="1286">
        <f>Tabla1[[#This Row],[TOTAL*]]-Tabla1[[#This Row],[IVA RG 2300/2007]]</f>
        <v>1529972.4</v>
      </c>
      <c r="W164" s="1286">
        <v>967</v>
      </c>
      <c r="X164" s="1433">
        <f>Tabla1[[#This Row],[TOTAL A LIQUIDAR]]/Tabla1[[#This Row],[TIPO DE CAMBIO]]</f>
        <v>1582.184488107549</v>
      </c>
      <c r="Y164" s="1399">
        <f>Tabla1[[#This Row],[TOTAL USD]]/Tabla1[[#This Row],[HAS]]</f>
        <v>10.911617159362407</v>
      </c>
      <c r="Z164" s="1287" t="s">
        <v>505</v>
      </c>
      <c r="AA164" s="1282" t="s">
        <v>514</v>
      </c>
    </row>
    <row r="165" spans="1:27" s="836" customFormat="1" ht="12" x14ac:dyDescent="0.2">
      <c r="A165" s="1270">
        <v>45540</v>
      </c>
      <c r="B165" s="1235"/>
      <c r="C165" s="1236"/>
      <c r="D165" s="1281" t="s">
        <v>504</v>
      </c>
      <c r="E165" s="1235"/>
      <c r="F165" s="1282">
        <v>145</v>
      </c>
      <c r="G165" s="1272"/>
      <c r="H165" s="1272"/>
      <c r="I165" s="1272"/>
      <c r="J165" s="1272">
        <v>29340</v>
      </c>
      <c r="K165" s="1272"/>
      <c r="L165" s="1283">
        <v>410</v>
      </c>
      <c r="M165" s="1284">
        <v>41000</v>
      </c>
      <c r="N165" s="1284">
        <f>Tabla1[[#This Row],[PRECIO UNITARIO USD/TN]]*J165/1000</f>
        <v>1202940</v>
      </c>
      <c r="O165" s="1272"/>
      <c r="P165" s="1285">
        <f>Tabla1[[#This Row],[SUBTOTAL]]*0.21</f>
        <v>252617.4</v>
      </c>
      <c r="Q165" s="1286">
        <f>Tabla1[[#This Row],[SUBTOTAL]]+Tabla1[[#This Row],[IVA 10,5]]+Tabla1[[#This Row],[IVA 21]]</f>
        <v>1455557.4</v>
      </c>
      <c r="R165" s="1286"/>
      <c r="S165" s="1286"/>
      <c r="T165" s="1286"/>
      <c r="U165" s="1286"/>
      <c r="V165" s="1286">
        <f>Tabla1[[#This Row],[TOTAL*]]-Tabla1[[#This Row],[IVA RG 2300/2007]]</f>
        <v>1455557.4</v>
      </c>
      <c r="W165" s="1286">
        <v>968</v>
      </c>
      <c r="X165" s="1433">
        <f>Tabla1[[#This Row],[TOTAL A LIQUIDAR]]/Tabla1[[#This Row],[TIPO DE CAMBIO]]</f>
        <v>1503.675</v>
      </c>
      <c r="Y165" s="1399">
        <f>Tabla1[[#This Row],[TOTAL USD]]/Tabla1[[#This Row],[HAS]]</f>
        <v>10.370172413793103</v>
      </c>
      <c r="Z165" s="1277" t="s">
        <v>515</v>
      </c>
      <c r="AA165" s="1272" t="s">
        <v>516</v>
      </c>
    </row>
    <row r="166" spans="1:27" s="836" customFormat="1" ht="12" x14ac:dyDescent="0.2">
      <c r="A166" s="1270">
        <v>45540</v>
      </c>
      <c r="B166" s="1235"/>
      <c r="C166" s="1236"/>
      <c r="D166" s="1281" t="s">
        <v>504</v>
      </c>
      <c r="E166" s="1235"/>
      <c r="F166" s="1282">
        <v>145</v>
      </c>
      <c r="G166" s="1272"/>
      <c r="H166" s="1272"/>
      <c r="I166" s="1272"/>
      <c r="J166" s="1272">
        <v>30240</v>
      </c>
      <c r="K166" s="1272"/>
      <c r="L166" s="1283">
        <v>410</v>
      </c>
      <c r="M166" s="1284">
        <v>41000</v>
      </c>
      <c r="N166" s="1284">
        <f>Tabla1[[#This Row],[PRECIO UNITARIO USD/TN]]*J166/1000</f>
        <v>1239840</v>
      </c>
      <c r="O166" s="1272"/>
      <c r="P166" s="1285">
        <f>Tabla1[[#This Row],[SUBTOTAL]]*0.21</f>
        <v>260366.4</v>
      </c>
      <c r="Q166" s="1286">
        <f>Tabla1[[#This Row],[SUBTOTAL]]+Tabla1[[#This Row],[IVA 10,5]]+Tabla1[[#This Row],[IVA 21]]</f>
        <v>1500206.4</v>
      </c>
      <c r="R166" s="1286"/>
      <c r="S166" s="1286"/>
      <c r="T166" s="1286"/>
      <c r="U166" s="1286"/>
      <c r="V166" s="1286">
        <f>Tabla1[[#This Row],[TOTAL*]]-Tabla1[[#This Row],[IVA RG 2300/2007]]</f>
        <v>1500206.4</v>
      </c>
      <c r="W166" s="1286">
        <v>969</v>
      </c>
      <c r="X166" s="1433">
        <f>Tabla1[[#This Row],[TOTAL A LIQUIDAR]]/Tabla1[[#This Row],[TIPO DE CAMBIO]]</f>
        <v>1548.2006191950463</v>
      </c>
      <c r="Y166" s="1399">
        <f>Tabla1[[#This Row],[TOTAL USD]]/Tabla1[[#This Row],[HAS]]</f>
        <v>10.677245649621009</v>
      </c>
      <c r="Z166" s="1277" t="s">
        <v>505</v>
      </c>
      <c r="AA166" s="1272" t="s">
        <v>517</v>
      </c>
    </row>
    <row r="167" spans="1:27" s="836" customFormat="1" ht="12" x14ac:dyDescent="0.2">
      <c r="A167" s="1270">
        <v>45544</v>
      </c>
      <c r="B167" s="1235"/>
      <c r="C167" s="1236"/>
      <c r="D167" s="1281" t="s">
        <v>504</v>
      </c>
      <c r="E167" s="1235"/>
      <c r="F167" s="1272">
        <v>145</v>
      </c>
      <c r="G167" s="1272"/>
      <c r="H167" s="1272"/>
      <c r="I167" s="1272"/>
      <c r="J167" s="1272">
        <v>30780</v>
      </c>
      <c r="K167" s="1272"/>
      <c r="L167" s="1283">
        <v>410</v>
      </c>
      <c r="M167" s="1284">
        <v>41000</v>
      </c>
      <c r="N167" s="1284">
        <f>Tabla1[[#This Row],[PRECIO UNITARIO USD/TN]]*J167/1000</f>
        <v>1261980</v>
      </c>
      <c r="O167" s="1272"/>
      <c r="P167" s="1285">
        <f>Tabla1[[#This Row],[SUBTOTAL]]*0.21</f>
        <v>265015.8</v>
      </c>
      <c r="Q167" s="1286">
        <f>Tabla1[[#This Row],[SUBTOTAL]]+Tabla1[[#This Row],[IVA 10,5]]+Tabla1[[#This Row],[IVA 21]]</f>
        <v>1526995.8</v>
      </c>
      <c r="R167" s="1276"/>
      <c r="S167" s="1276"/>
      <c r="T167" s="1276"/>
      <c r="U167" s="1276"/>
      <c r="V167" s="1286">
        <f>Tabla1[[#This Row],[TOTAL*]]-Tabla1[[#This Row],[IVA RG 2300/2007]]</f>
        <v>1526995.8</v>
      </c>
      <c r="W167" s="1286">
        <v>970</v>
      </c>
      <c r="X167" s="1433">
        <f>Tabla1[[#This Row],[TOTAL A LIQUIDAR]]/Tabla1[[#This Row],[TIPO DE CAMBIO]]</f>
        <v>1574.2224742268043</v>
      </c>
      <c r="Y167" s="1399">
        <f>Tabla1[[#This Row],[TOTAL USD]]/Tabla1[[#This Row],[HAS]]</f>
        <v>10.856706718805546</v>
      </c>
      <c r="Z167" s="1277" t="s">
        <v>505</v>
      </c>
      <c r="AA167" s="1272"/>
    </row>
    <row r="168" spans="1:27" s="836" customFormat="1" ht="12" x14ac:dyDescent="0.2">
      <c r="A168" s="862"/>
      <c r="B168" s="863"/>
      <c r="C168" s="864"/>
      <c r="D168" s="972"/>
      <c r="E168" s="863"/>
      <c r="F168" s="866"/>
      <c r="G168" s="866"/>
      <c r="H168" s="866"/>
      <c r="I168" s="866"/>
      <c r="J168" s="866"/>
      <c r="K168" s="866"/>
      <c r="L168" s="929"/>
      <c r="M168" s="875"/>
      <c r="N168" s="973">
        <f>Tabla1[[#This Row],[PRECIO UNITARIO USD/TN]]*J168/1000</f>
        <v>0</v>
      </c>
      <c r="O168" s="866"/>
      <c r="P168" s="899">
        <f>Tabla1[[#This Row],[SUBTOTAL]]*0.21</f>
        <v>0</v>
      </c>
      <c r="Q168" s="896">
        <f>Tabla1[[#This Row],[SUBTOTAL]]+Tabla1[[#This Row],[IVA 10,5]]+Tabla1[[#This Row],[IVA 21]]</f>
        <v>0</v>
      </c>
      <c r="R168" s="868"/>
      <c r="S168" s="868"/>
      <c r="T168" s="868"/>
      <c r="U168" s="868"/>
      <c r="V168" s="896">
        <f>Tabla1[[#This Row],[TOTAL*]]-Tabla1[[#This Row],[IVA RG 2300/2007]]</f>
        <v>0</v>
      </c>
      <c r="W168" s="868"/>
      <c r="X168" s="1434"/>
      <c r="Y168" s="1400"/>
      <c r="Z168" s="870"/>
      <c r="AA168" s="866"/>
    </row>
    <row r="169" spans="1:27" s="836" customFormat="1" ht="12" x14ac:dyDescent="0.2">
      <c r="A169" s="862">
        <v>45553</v>
      </c>
      <c r="B169" s="863"/>
      <c r="C169" s="864"/>
      <c r="D169" s="972" t="s">
        <v>518</v>
      </c>
      <c r="E169" s="863"/>
      <c r="F169" s="866">
        <v>145</v>
      </c>
      <c r="G169" s="866"/>
      <c r="H169" s="866"/>
      <c r="I169" s="866"/>
      <c r="J169" s="866">
        <v>96540</v>
      </c>
      <c r="K169" s="866"/>
      <c r="L169" s="929">
        <v>410</v>
      </c>
      <c r="M169" s="875">
        <v>41000</v>
      </c>
      <c r="N169" s="973">
        <f>Tabla1[[#This Row],[PRECIO UNITARIO USD/TN]]*J169/1000</f>
        <v>3958140</v>
      </c>
      <c r="O169" s="866"/>
      <c r="P169" s="899">
        <f>Tabla1[[#This Row],[SUBTOTAL]]*0.21</f>
        <v>831209.4</v>
      </c>
      <c r="Q169" s="896">
        <f>Tabla1[[#This Row],[SUBTOTAL]]+Tabla1[[#This Row],[IVA 10,5]]+Tabla1[[#This Row],[IVA 21]]</f>
        <v>4789349.4000000004</v>
      </c>
      <c r="R169" s="868"/>
      <c r="S169" s="868">
        <v>385484.22</v>
      </c>
      <c r="T169" s="868"/>
      <c r="U169" s="868"/>
      <c r="V169" s="896">
        <f>Tabla1[[#This Row],[TOTAL*]]+SUM(Tabla1[[#This Row],[DEDUCCIONES]:[IVA RG 2300/2007]])</f>
        <v>5174833.62</v>
      </c>
      <c r="W169" s="868">
        <v>967</v>
      </c>
      <c r="X169" s="1434">
        <f>Tabla1[[#This Row],[TOTAL A LIQUIDAR]]/Tabla1[[#This Row],[TIPO DE CAMBIO]]</f>
        <v>5351.4308376421923</v>
      </c>
      <c r="Y169" s="1400">
        <f>Tabla1[[#This Row],[TOTAL USD]]/Tabla1[[#This Row],[HAS]]</f>
        <v>36.906419569946152</v>
      </c>
      <c r="Z169" s="870" t="s">
        <v>219</v>
      </c>
      <c r="AA169" s="866"/>
    </row>
    <row r="170" spans="1:27" s="836" customFormat="1" ht="12" x14ac:dyDescent="0.2">
      <c r="A170" s="969"/>
      <c r="B170" s="863"/>
      <c r="C170" s="864"/>
      <c r="D170" s="972"/>
      <c r="E170" s="863"/>
      <c r="F170" s="866"/>
      <c r="G170" s="866"/>
      <c r="H170" s="866"/>
      <c r="I170" s="866"/>
      <c r="J170" s="866"/>
      <c r="K170" s="866"/>
      <c r="L170" s="867"/>
      <c r="M170" s="875"/>
      <c r="N170" s="875"/>
      <c r="O170" s="866"/>
      <c r="P170" s="866"/>
      <c r="Q170" s="868"/>
      <c r="R170" s="868"/>
      <c r="S170" s="868"/>
      <c r="T170" s="868"/>
      <c r="U170" s="868"/>
      <c r="V170" s="868"/>
      <c r="W170" s="868"/>
      <c r="X170" s="1411"/>
      <c r="Y170" s="1386"/>
      <c r="Z170" s="870"/>
      <c r="AA170" s="866"/>
    </row>
    <row r="171" spans="1:27" s="836" customFormat="1" ht="12" x14ac:dyDescent="0.2">
      <c r="A171" s="930"/>
      <c r="B171" s="908"/>
      <c r="C171" s="909" t="s">
        <v>519</v>
      </c>
      <c r="D171" s="910"/>
      <c r="E171" s="908"/>
      <c r="F171" s="911">
        <v>176</v>
      </c>
      <c r="G171" s="911"/>
      <c r="H171" s="911"/>
      <c r="I171" s="911"/>
      <c r="J171" s="911"/>
      <c r="K171" s="911"/>
      <c r="L171" s="912"/>
      <c r="M171" s="917"/>
      <c r="N171" s="917"/>
      <c r="O171" s="917">
        <f t="shared" ref="O171:V171" si="48">SUM(O172:O174)</f>
        <v>2129386.56</v>
      </c>
      <c r="P171" s="917">
        <f t="shared" si="48"/>
        <v>0</v>
      </c>
      <c r="Q171" s="917">
        <f t="shared" si="48"/>
        <v>22409258.559999999</v>
      </c>
      <c r="R171" s="917">
        <f t="shared" si="48"/>
        <v>0</v>
      </c>
      <c r="S171" s="917">
        <f t="shared" si="48"/>
        <v>0</v>
      </c>
      <c r="T171" s="917">
        <f t="shared" si="48"/>
        <v>0</v>
      </c>
      <c r="U171" s="917">
        <f t="shared" si="48"/>
        <v>0</v>
      </c>
      <c r="V171" s="917">
        <f t="shared" si="48"/>
        <v>22409258.559999999</v>
      </c>
      <c r="W171" s="917"/>
      <c r="X171" s="1435">
        <f>SUM(X172:X174)</f>
        <v>24357.889739130434</v>
      </c>
      <c r="Y171" s="1383">
        <f>Tabla1[[#This Row],[TOTAL USD]]/Tabla1[[#This Row],[HAS]]</f>
        <v>138.39710079051383</v>
      </c>
      <c r="Z171" s="931"/>
      <c r="AA171" s="911"/>
    </row>
    <row r="172" spans="1:27" s="836" customFormat="1" ht="12" x14ac:dyDescent="0.2">
      <c r="A172" s="862"/>
      <c r="B172" s="863"/>
      <c r="C172" s="864" t="s">
        <v>325</v>
      </c>
      <c r="D172" s="865" t="s">
        <v>520</v>
      </c>
      <c r="E172" s="863" t="s">
        <v>111</v>
      </c>
      <c r="F172" s="866">
        <v>176</v>
      </c>
      <c r="G172" s="866"/>
      <c r="H172" s="866"/>
      <c r="I172" s="866"/>
      <c r="J172" s="866"/>
      <c r="K172" s="866"/>
      <c r="L172" s="867"/>
      <c r="M172" s="866"/>
      <c r="N172" s="868">
        <v>16382200</v>
      </c>
      <c r="O172" s="868">
        <f>Tabla1[[#This Row],[SUBTOTAL]]*0.105</f>
        <v>1720131</v>
      </c>
      <c r="P172" s="868"/>
      <c r="Q172" s="868">
        <f>Tabla1[[#This Row],[SUBTOTAL]]+Tabla1[[#This Row],[IVA 10,5]]+Tabla1[[#This Row],[IVA 21]]</f>
        <v>18102331</v>
      </c>
      <c r="R172" s="868"/>
      <c r="S172" s="868"/>
      <c r="T172" s="868"/>
      <c r="U172" s="868"/>
      <c r="V172" s="868">
        <f>Tabla1[[#This Row],[SUBTOTAL]]+Tabla1[[#This Row],[IVA 10,5]]+Tabla1[[#This Row],[IVA 21]]</f>
        <v>18102331</v>
      </c>
      <c r="W172" s="868">
        <v>920</v>
      </c>
      <c r="X172" s="1425">
        <f>Tabla1[[#This Row],[TOTAL A LIQUIDAR]]/Tabla1[[#This Row],[TIPO DE CAMBIO]]</f>
        <v>19676.446739130435</v>
      </c>
      <c r="Y172" s="1386">
        <f>Tabla1[[#This Row],[TOTAL USD]]/Tabla1[[#This Row],[HAS]]</f>
        <v>111.79799283596839</v>
      </c>
      <c r="Z172" s="870" t="s">
        <v>521</v>
      </c>
      <c r="AA172" s="866" t="s">
        <v>522</v>
      </c>
    </row>
    <row r="173" spans="1:27" s="836" customFormat="1" ht="12" x14ac:dyDescent="0.2">
      <c r="A173" s="862"/>
      <c r="B173" s="863"/>
      <c r="C173" s="864" t="s">
        <v>523</v>
      </c>
      <c r="D173" s="865" t="s">
        <v>524</v>
      </c>
      <c r="E173" s="863"/>
      <c r="F173" s="876">
        <f>Tabla1[[#This Row],[KG NETOS TOT]]/Tabla1[[#This Row],[KG/HA (REND)]]</f>
        <v>21.666666666666668</v>
      </c>
      <c r="G173" s="866"/>
      <c r="H173" s="866"/>
      <c r="I173" s="866"/>
      <c r="J173" s="866">
        <f>130000</f>
        <v>130000</v>
      </c>
      <c r="K173" s="937">
        <v>6000</v>
      </c>
      <c r="L173" s="867">
        <v>3</v>
      </c>
      <c r="M173" s="868">
        <f>Tabla1[[#This Row],[$/TN]]*920</f>
        <v>2760</v>
      </c>
      <c r="N173" s="869">
        <f>Tabla1[[#This Row],[KG NETOS TOT]]*Tabla1[[#This Row],[PRECIO UNITARIO USD/TN]]/1000</f>
        <v>358800</v>
      </c>
      <c r="O173" s="869">
        <f>Tabla1[[#This Row],[SUBTOTAL]]*0.105</f>
        <v>37674</v>
      </c>
      <c r="P173" s="866"/>
      <c r="Q173" s="869">
        <f>Tabla1[[#This Row],[SUBTOTAL]]+Tabla1[[#This Row],[IVA 10,5]]</f>
        <v>396474</v>
      </c>
      <c r="R173" s="866"/>
      <c r="S173" s="866"/>
      <c r="T173" s="866"/>
      <c r="U173" s="866"/>
      <c r="V173" s="868">
        <f>Tabla1[[#This Row],[TOTAL*]]-Tabla1[[#This Row],[DEDUCCIONES]]+Tabla1[[#This Row],[COMISIONES]]+Tabla1[[#This Row],[RETENCION IVA]]+Tabla1[[#This Row],[IVA RG 2300/2007]]</f>
        <v>396474</v>
      </c>
      <c r="W173" s="868">
        <v>920</v>
      </c>
      <c r="X173" s="1425">
        <f>Tabla1[[#This Row],[TOTAL A LIQUIDAR]]/Tabla1[[#This Row],[TIPO DE CAMBIO]]</f>
        <v>430.95</v>
      </c>
      <c r="Y173" s="1386">
        <f>Tabla1[[#This Row],[TOTAL USD]]/Tabla1[[#This Row],[HAS]]</f>
        <v>19.889999999999997</v>
      </c>
      <c r="Z173" s="870"/>
      <c r="AA173" s="866"/>
    </row>
    <row r="174" spans="1:27" s="836" customFormat="1" ht="12" x14ac:dyDescent="0.2">
      <c r="A174" s="862"/>
      <c r="B174" s="863"/>
      <c r="C174" s="864"/>
      <c r="D174" s="865" t="s">
        <v>525</v>
      </c>
      <c r="E174" s="863"/>
      <c r="F174" s="876">
        <f>Tabla1[[#This Row],[KG NETOS TOT]]/Tabla1[[#This Row],[KG/HA (REND)]]</f>
        <v>71.233333333333334</v>
      </c>
      <c r="G174" s="866"/>
      <c r="H174" s="866"/>
      <c r="I174" s="866"/>
      <c r="J174" s="866">
        <v>427400</v>
      </c>
      <c r="K174" s="937">
        <v>6000</v>
      </c>
      <c r="L174" s="867">
        <v>9</v>
      </c>
      <c r="M174" s="868">
        <f>Tabla1[[#This Row],[$/TN]]*920</f>
        <v>8280</v>
      </c>
      <c r="N174" s="869">
        <f>Tabla1[[#This Row],[KG NETOS TOT]]*Tabla1[[#This Row],[PRECIO UNITARIO USD/TN]]/1000</f>
        <v>3538872</v>
      </c>
      <c r="O174" s="869">
        <f>Tabla1[[#This Row],[SUBTOTAL]]*0.105</f>
        <v>371581.56</v>
      </c>
      <c r="P174" s="866"/>
      <c r="Q174" s="869">
        <f>Tabla1[[#This Row],[SUBTOTAL]]+Tabla1[[#This Row],[IVA 10,5]]</f>
        <v>3910453.56</v>
      </c>
      <c r="R174" s="866"/>
      <c r="S174" s="866"/>
      <c r="T174" s="866"/>
      <c r="U174" s="866"/>
      <c r="V174" s="868">
        <f>Tabla1[[#This Row],[TOTAL*]]-Tabla1[[#This Row],[DEDUCCIONES]]+Tabla1[[#This Row],[COMISIONES]]+Tabla1[[#This Row],[RETENCION IVA]]+Tabla1[[#This Row],[IVA RG 2300/2007]]</f>
        <v>3910453.56</v>
      </c>
      <c r="W174" s="868">
        <v>920</v>
      </c>
      <c r="X174" s="1425">
        <f>Tabla1[[#This Row],[TOTAL A LIQUIDAR]]/Tabla1[[#This Row],[TIPO DE CAMBIO]]</f>
        <v>4250.4930000000004</v>
      </c>
      <c r="Y174" s="1386">
        <f>Tabla1[[#This Row],[TOTAL USD]]/Tabla1[[#This Row],[HAS]]</f>
        <v>59.67</v>
      </c>
      <c r="Z174" s="870"/>
      <c r="AA174" s="866"/>
    </row>
    <row r="175" spans="1:27" s="836" customFormat="1" ht="12" x14ac:dyDescent="0.2">
      <c r="A175" s="862"/>
      <c r="B175" s="863"/>
      <c r="C175" s="866"/>
      <c r="D175" s="866"/>
      <c r="E175" s="866"/>
      <c r="F175" s="866"/>
      <c r="G175" s="866"/>
      <c r="H175" s="866"/>
      <c r="I175" s="866"/>
      <c r="J175" s="866"/>
      <c r="K175" s="866"/>
      <c r="L175" s="867"/>
      <c r="M175" s="866"/>
      <c r="N175" s="866"/>
      <c r="O175" s="866"/>
      <c r="P175" s="866"/>
      <c r="Q175" s="866"/>
      <c r="R175" s="866"/>
      <c r="S175" s="866"/>
      <c r="T175" s="866"/>
      <c r="U175" s="866"/>
      <c r="V175" s="866"/>
      <c r="W175" s="866"/>
      <c r="X175" s="1413"/>
      <c r="Y175" s="1401"/>
      <c r="Z175" s="870"/>
      <c r="AA175" s="866"/>
    </row>
    <row r="176" spans="1:27" s="836" customFormat="1" ht="15.75" x14ac:dyDescent="0.25">
      <c r="A176" s="1147"/>
      <c r="B176" s="1148" t="s">
        <v>526</v>
      </c>
      <c r="C176" s="1149"/>
      <c r="D176" s="1149"/>
      <c r="E176" s="1149"/>
      <c r="F176" s="1149"/>
      <c r="G176" s="1149"/>
      <c r="H176" s="1149"/>
      <c r="I176" s="1149"/>
      <c r="J176" s="1149"/>
      <c r="K176" s="1149"/>
      <c r="L176" s="1150"/>
      <c r="M176" s="1151"/>
      <c r="N176" s="1151"/>
      <c r="O176" s="1151"/>
      <c r="P176" s="1151"/>
      <c r="Q176" s="1151"/>
      <c r="R176" s="1151"/>
      <c r="S176" s="1151"/>
      <c r="T176" s="1151"/>
      <c r="U176" s="1151"/>
      <c r="V176" s="1151"/>
      <c r="W176" s="1151"/>
      <c r="X176" s="1421">
        <f>X92-X113-X116</f>
        <v>45902.994862363994</v>
      </c>
      <c r="Y176" s="1288">
        <f>Y92-Y113-Y116</f>
        <v>260.81247080888613</v>
      </c>
      <c r="Z176" s="1152"/>
      <c r="AA176" s="1151"/>
    </row>
    <row r="177" spans="1:27" s="836" customFormat="1" ht="12" x14ac:dyDescent="0.2">
      <c r="A177" s="889"/>
      <c r="B177" s="863"/>
      <c r="C177" s="866"/>
      <c r="D177" s="866"/>
      <c r="E177" s="866"/>
      <c r="F177" s="866"/>
      <c r="G177" s="866"/>
      <c r="H177" s="866"/>
      <c r="I177" s="866"/>
      <c r="J177" s="866"/>
      <c r="K177" s="866"/>
      <c r="L177" s="867"/>
      <c r="M177" s="866"/>
      <c r="N177" s="866"/>
      <c r="O177" s="866"/>
      <c r="P177" s="866"/>
      <c r="Q177" s="866"/>
      <c r="R177" s="866"/>
      <c r="S177" s="866"/>
      <c r="T177" s="866"/>
      <c r="U177" s="866"/>
      <c r="V177" s="866"/>
      <c r="W177" s="866"/>
      <c r="X177" s="1411"/>
      <c r="Y177" s="866"/>
      <c r="Z177" s="866"/>
      <c r="AA177" s="866"/>
    </row>
    <row r="178" spans="1:27" s="836" customFormat="1" ht="12" x14ac:dyDescent="0.2">
      <c r="A178" s="889"/>
      <c r="B178" s="863"/>
      <c r="C178" s="866"/>
      <c r="D178" s="866"/>
      <c r="E178" s="866"/>
      <c r="F178" s="866"/>
      <c r="G178" s="866"/>
      <c r="H178" s="866"/>
      <c r="I178" s="866"/>
      <c r="J178" s="866"/>
      <c r="K178" s="866"/>
      <c r="L178" s="867"/>
      <c r="M178" s="866"/>
      <c r="N178" s="866"/>
      <c r="O178" s="866"/>
      <c r="P178" s="866"/>
      <c r="Q178" s="866"/>
      <c r="R178" s="866"/>
      <c r="S178" s="866"/>
      <c r="T178" s="866"/>
      <c r="U178" s="866"/>
      <c r="V178" s="866"/>
      <c r="W178" s="866"/>
      <c r="X178" s="1413"/>
      <c r="Y178" s="866"/>
      <c r="Z178" s="866"/>
      <c r="AA178" s="866"/>
    </row>
    <row r="179" spans="1:27" s="836" customFormat="1" ht="12" x14ac:dyDescent="0.2">
      <c r="A179" s="889"/>
      <c r="B179" s="863"/>
      <c r="C179" s="866"/>
      <c r="D179" s="866"/>
      <c r="E179" s="866"/>
      <c r="F179" s="866"/>
      <c r="G179" s="866"/>
      <c r="H179" s="866"/>
      <c r="I179" s="866"/>
      <c r="J179" s="866"/>
      <c r="K179" s="866"/>
      <c r="L179" s="867"/>
      <c r="M179" s="866"/>
      <c r="N179" s="866"/>
      <c r="O179" s="866"/>
      <c r="P179" s="866"/>
      <c r="Q179" s="866"/>
      <c r="R179" s="866"/>
      <c r="S179" s="866"/>
      <c r="T179" s="866"/>
      <c r="U179" s="866"/>
      <c r="V179" s="866"/>
      <c r="W179" s="866"/>
      <c r="X179" s="1413"/>
      <c r="Y179" s="866"/>
      <c r="Z179" s="866"/>
      <c r="AA179" s="866"/>
    </row>
    <row r="180" spans="1:27" s="836" customFormat="1" ht="12" x14ac:dyDescent="0.2">
      <c r="A180" s="889"/>
      <c r="B180" s="863"/>
      <c r="C180" s="866"/>
      <c r="D180" s="866"/>
      <c r="E180" s="866"/>
      <c r="F180" s="866"/>
      <c r="G180" s="866"/>
      <c r="H180" s="866"/>
      <c r="I180" s="866"/>
      <c r="J180" s="866"/>
      <c r="K180" s="866"/>
      <c r="L180" s="867"/>
      <c r="M180" s="866"/>
      <c r="N180" s="866"/>
      <c r="O180" s="866"/>
      <c r="P180" s="866"/>
      <c r="Q180" s="866"/>
      <c r="R180" s="866"/>
      <c r="S180" s="866"/>
      <c r="T180" s="866"/>
      <c r="U180" s="866"/>
      <c r="V180" s="866"/>
      <c r="W180" s="866"/>
      <c r="X180" s="1413"/>
      <c r="Y180" s="866"/>
      <c r="Z180" s="866"/>
      <c r="AA180" s="866"/>
    </row>
    <row r="181" spans="1:27" s="836" customFormat="1" ht="12" x14ac:dyDescent="0.2">
      <c r="A181" s="827"/>
      <c r="B181" s="828" t="s">
        <v>527</v>
      </c>
      <c r="C181" s="829"/>
      <c r="D181" s="829"/>
      <c r="E181" s="829"/>
      <c r="F181" s="830"/>
      <c r="G181" s="830"/>
      <c r="H181" s="830"/>
      <c r="I181" s="830"/>
      <c r="J181" s="830"/>
      <c r="K181" s="830"/>
      <c r="L181" s="831"/>
      <c r="M181" s="830"/>
      <c r="N181" s="830"/>
      <c r="O181" s="830"/>
      <c r="P181" s="830"/>
      <c r="Q181" s="830"/>
      <c r="R181" s="830"/>
      <c r="S181" s="830"/>
      <c r="T181" s="830"/>
      <c r="U181" s="830"/>
      <c r="V181" s="830"/>
      <c r="W181" s="830"/>
      <c r="X181" s="1436"/>
      <c r="Y181" s="1402"/>
      <c r="Z181" s="860"/>
      <c r="AA181" s="830"/>
    </row>
    <row r="182" spans="1:27" s="836" customFormat="1" ht="12" x14ac:dyDescent="0.2">
      <c r="A182" s="843"/>
      <c r="B182" s="844" t="s">
        <v>40</v>
      </c>
      <c r="C182" s="845"/>
      <c r="D182" s="845"/>
      <c r="E182" s="845"/>
      <c r="F182" s="843"/>
      <c r="G182" s="843"/>
      <c r="H182" s="843"/>
      <c r="I182" s="843"/>
      <c r="J182" s="843"/>
      <c r="K182" s="843"/>
      <c r="L182" s="846"/>
      <c r="M182" s="843"/>
      <c r="N182" s="843"/>
      <c r="O182" s="843"/>
      <c r="P182" s="843"/>
      <c r="Q182" s="843"/>
      <c r="R182" s="843"/>
      <c r="S182" s="843"/>
      <c r="T182" s="843"/>
      <c r="U182" s="843"/>
      <c r="V182" s="847">
        <f>V183-V188</f>
        <v>-1468032.5</v>
      </c>
      <c r="W182" s="843"/>
      <c r="X182" s="1437">
        <f>X183-X188</f>
        <v>-1595.6875</v>
      </c>
      <c r="Y182" s="1403">
        <f>Y183-Y188</f>
        <v>-24.549038461538462</v>
      </c>
      <c r="Z182" s="843"/>
      <c r="AA182" s="843"/>
    </row>
    <row r="183" spans="1:27" s="836" customFormat="1" ht="12" x14ac:dyDescent="0.2">
      <c r="A183" s="837"/>
      <c r="B183" s="834"/>
      <c r="C183" s="848" t="s">
        <v>170</v>
      </c>
      <c r="D183" s="834"/>
      <c r="E183" s="834"/>
      <c r="F183" s="833"/>
      <c r="G183" s="833"/>
      <c r="H183" s="832"/>
      <c r="I183" s="832"/>
      <c r="J183" s="832"/>
      <c r="K183" s="832"/>
      <c r="L183" s="849"/>
      <c r="M183" s="832"/>
      <c r="N183" s="832"/>
      <c r="O183" s="832"/>
      <c r="P183" s="832"/>
      <c r="Q183" s="832"/>
      <c r="R183" s="832"/>
      <c r="S183" s="832"/>
      <c r="T183" s="832"/>
      <c r="U183" s="832"/>
      <c r="V183" s="842">
        <f>SUM(V184:V187)</f>
        <v>0</v>
      </c>
      <c r="W183" s="842"/>
      <c r="X183" s="1438">
        <f>SUM(X184:X187)</f>
        <v>0</v>
      </c>
      <c r="Y183" s="850">
        <f>SUM(Y184:Y187)</f>
        <v>0</v>
      </c>
      <c r="Z183" s="832"/>
      <c r="AA183" s="832"/>
    </row>
    <row r="184" spans="1:27" s="836" customFormat="1" ht="12" x14ac:dyDescent="0.2">
      <c r="A184" s="879">
        <v>45363</v>
      </c>
      <c r="B184" s="874" t="s">
        <v>528</v>
      </c>
      <c r="C184" s="866" t="s">
        <v>529</v>
      </c>
      <c r="D184" s="874"/>
      <c r="E184" s="874"/>
      <c r="F184" s="866"/>
      <c r="G184" s="866"/>
      <c r="H184" s="866"/>
      <c r="I184" s="866"/>
      <c r="J184" s="866">
        <v>53</v>
      </c>
      <c r="K184" s="866"/>
      <c r="L184" s="868">
        <v>16500</v>
      </c>
      <c r="M184" s="866"/>
      <c r="N184" s="869"/>
      <c r="O184" s="866"/>
      <c r="P184" s="866"/>
      <c r="Q184" s="866"/>
      <c r="R184" s="866"/>
      <c r="S184" s="866"/>
      <c r="T184" s="866"/>
      <c r="U184" s="866"/>
      <c r="V184" s="875"/>
      <c r="W184" s="875"/>
      <c r="X184" s="1439"/>
      <c r="Y184" s="1386"/>
      <c r="Z184" s="866"/>
      <c r="AA184" s="866"/>
    </row>
    <row r="185" spans="1:27" s="836" customFormat="1" ht="12" x14ac:dyDescent="0.2">
      <c r="A185" s="879">
        <v>45293</v>
      </c>
      <c r="B185" s="874" t="s">
        <v>528</v>
      </c>
      <c r="C185" s="866" t="s">
        <v>529</v>
      </c>
      <c r="D185" s="874"/>
      <c r="E185" s="874"/>
      <c r="F185" s="866"/>
      <c r="G185" s="866"/>
      <c r="H185" s="866"/>
      <c r="I185" s="866"/>
      <c r="J185" s="866"/>
      <c r="K185" s="866"/>
      <c r="L185" s="868"/>
      <c r="M185" s="866"/>
      <c r="N185" s="866"/>
      <c r="O185" s="866"/>
      <c r="P185" s="866"/>
      <c r="Q185" s="866"/>
      <c r="R185" s="866"/>
      <c r="S185" s="866"/>
      <c r="T185" s="866"/>
      <c r="U185" s="866"/>
      <c r="V185" s="875"/>
      <c r="W185" s="875"/>
      <c r="X185" s="1439"/>
      <c r="Y185" s="1386"/>
      <c r="Z185" s="866"/>
      <c r="AA185" s="866"/>
    </row>
    <row r="186" spans="1:27" s="836" customFormat="1" ht="12" x14ac:dyDescent="0.2">
      <c r="A186" s="879"/>
      <c r="B186" s="874"/>
      <c r="C186" s="866"/>
      <c r="D186" s="874"/>
      <c r="E186" s="874"/>
      <c r="F186" s="866"/>
      <c r="G186" s="866"/>
      <c r="H186" s="866"/>
      <c r="I186" s="866"/>
      <c r="J186" s="866"/>
      <c r="K186" s="866"/>
      <c r="L186" s="868"/>
      <c r="M186" s="866"/>
      <c r="N186" s="866"/>
      <c r="O186" s="866"/>
      <c r="P186" s="866"/>
      <c r="Q186" s="866"/>
      <c r="R186" s="866"/>
      <c r="S186" s="866"/>
      <c r="T186" s="866"/>
      <c r="U186" s="866"/>
      <c r="V186" s="875"/>
      <c r="W186" s="875"/>
      <c r="X186" s="1439"/>
      <c r="Y186" s="1386"/>
      <c r="Z186" s="866"/>
      <c r="AA186" s="866"/>
    </row>
    <row r="187" spans="1:27" s="836" customFormat="1" ht="12" x14ac:dyDescent="0.2">
      <c r="A187" s="879"/>
      <c r="B187" s="874"/>
      <c r="C187" s="866"/>
      <c r="D187" s="874"/>
      <c r="E187" s="874"/>
      <c r="F187" s="866"/>
      <c r="G187" s="866"/>
      <c r="H187" s="866"/>
      <c r="I187" s="866"/>
      <c r="J187" s="866"/>
      <c r="K187" s="866"/>
      <c r="L187" s="868"/>
      <c r="M187" s="866"/>
      <c r="N187" s="866"/>
      <c r="O187" s="866"/>
      <c r="P187" s="866"/>
      <c r="Q187" s="866"/>
      <c r="R187" s="866"/>
      <c r="S187" s="866"/>
      <c r="T187" s="866"/>
      <c r="U187" s="866"/>
      <c r="V187" s="875"/>
      <c r="W187" s="875"/>
      <c r="X187" s="1439"/>
      <c r="Y187" s="1386"/>
      <c r="Z187" s="866"/>
      <c r="AA187" s="866"/>
    </row>
    <row r="188" spans="1:27" s="836" customFormat="1" ht="12" x14ac:dyDescent="0.2">
      <c r="A188" s="837"/>
      <c r="B188" s="834"/>
      <c r="C188" s="848" t="s">
        <v>318</v>
      </c>
      <c r="D188" s="834"/>
      <c r="E188" s="834"/>
      <c r="F188" s="832"/>
      <c r="G188" s="832"/>
      <c r="H188" s="832"/>
      <c r="I188" s="832"/>
      <c r="J188" s="832"/>
      <c r="K188" s="832"/>
      <c r="L188" s="841"/>
      <c r="M188" s="832"/>
      <c r="N188" s="832"/>
      <c r="O188" s="832"/>
      <c r="P188" s="832"/>
      <c r="Q188" s="832"/>
      <c r="R188" s="832"/>
      <c r="S188" s="832"/>
      <c r="T188" s="832"/>
      <c r="U188" s="832"/>
      <c r="V188" s="842">
        <f>SUM(V189:V192)</f>
        <v>1468032.5</v>
      </c>
      <c r="W188" s="842"/>
      <c r="X188" s="1438">
        <f>SUM(X189:X192)</f>
        <v>1595.6875</v>
      </c>
      <c r="Y188" s="850">
        <f>SUM(Y189:Y192)</f>
        <v>24.549038461538462</v>
      </c>
      <c r="Z188" s="832"/>
      <c r="AA188" s="832"/>
    </row>
    <row r="189" spans="1:27" s="836" customFormat="1" ht="12" x14ac:dyDescent="0.2">
      <c r="A189" s="1065">
        <v>45001</v>
      </c>
      <c r="B189" s="1066" t="s">
        <v>530</v>
      </c>
      <c r="C189" s="1067" t="s">
        <v>103</v>
      </c>
      <c r="D189" s="1067" t="s">
        <v>531</v>
      </c>
      <c r="E189" s="1066"/>
      <c r="F189" s="1067">
        <v>65</v>
      </c>
      <c r="G189" s="1068"/>
      <c r="H189" s="1067"/>
      <c r="I189" s="1067"/>
      <c r="J189" s="1067">
        <v>125</v>
      </c>
      <c r="K189" s="1067"/>
      <c r="L189" s="1069">
        <v>10.55</v>
      </c>
      <c r="M189" s="1067"/>
      <c r="N189" s="1070">
        <f>Tabla1[[#This Row],[KG NETOS TOT]]*Tabla1[[#This Row],[$/TN]]*Tabla1[[#This Row],[TIPO DE CAMBIO]]</f>
        <v>1213250</v>
      </c>
      <c r="O189" s="1067"/>
      <c r="P189" s="1071">
        <f>Tabla1[[#This Row],[SUBTOTAL]]*0.21</f>
        <v>254782.5</v>
      </c>
      <c r="Q189" s="1070">
        <f>Tabla1[[#This Row],[SUBTOTAL]]+Tabla1[[#This Row],[IVA 21]]</f>
        <v>1468032.5</v>
      </c>
      <c r="R189" s="1067"/>
      <c r="S189" s="1067"/>
      <c r="T189" s="1067"/>
      <c r="U189" s="1067"/>
      <c r="V189" s="1070">
        <f>SUM(Tabla1[[#This Row],[TOTAL*]:[IVA RG 2300/2007]])</f>
        <v>1468032.5</v>
      </c>
      <c r="W189" s="1070">
        <v>920</v>
      </c>
      <c r="X189" s="1440">
        <f>Tabla1[[#This Row],[TOTAL A LIQUIDAR]]/Tabla1[[#This Row],[TIPO DE CAMBIO]]</f>
        <v>1595.6875</v>
      </c>
      <c r="Y189" s="1404">
        <f>Tabla1[[#This Row],[TOTAL USD]]/Tabla1[[#This Row],[HAS]]</f>
        <v>24.549038461538462</v>
      </c>
      <c r="Z189" s="1067" t="s">
        <v>104</v>
      </c>
      <c r="AA189" s="1067" t="s">
        <v>532</v>
      </c>
    </row>
    <row r="190" spans="1:27" s="836" customFormat="1" ht="12" x14ac:dyDescent="0.2">
      <c r="A190" s="879"/>
      <c r="B190" s="866"/>
      <c r="C190" s="866" t="s">
        <v>56</v>
      </c>
      <c r="D190" s="866" t="s">
        <v>533</v>
      </c>
      <c r="E190" s="866" t="s">
        <v>40</v>
      </c>
      <c r="F190" s="866">
        <v>24.8</v>
      </c>
      <c r="G190" s="866"/>
      <c r="H190" s="866"/>
      <c r="I190" s="866"/>
      <c r="J190" s="866">
        <v>44</v>
      </c>
      <c r="K190" s="866"/>
      <c r="L190" s="867"/>
      <c r="M190" s="866"/>
      <c r="N190" s="866">
        <v>1091.2</v>
      </c>
      <c r="O190" s="866"/>
      <c r="P190" s="866"/>
      <c r="Q190" s="866"/>
      <c r="R190" s="866"/>
      <c r="S190" s="866"/>
      <c r="T190" s="866"/>
      <c r="U190" s="866"/>
      <c r="V190" s="866"/>
      <c r="W190" s="866"/>
      <c r="X190" s="1411"/>
      <c r="Y190" s="1386"/>
      <c r="Z190" s="866"/>
      <c r="AA190" s="866"/>
    </row>
    <row r="191" spans="1:27" s="836" customFormat="1" ht="12" x14ac:dyDescent="0.2">
      <c r="A191" s="879"/>
      <c r="B191" s="866"/>
      <c r="C191" s="970" t="s">
        <v>534</v>
      </c>
      <c r="D191" s="970"/>
      <c r="E191" s="866"/>
      <c r="F191" s="866"/>
      <c r="G191" s="866"/>
      <c r="H191" s="866"/>
      <c r="I191" s="866"/>
      <c r="J191" s="866"/>
      <c r="K191" s="866"/>
      <c r="L191" s="867"/>
      <c r="M191" s="866"/>
      <c r="N191" s="866"/>
      <c r="O191" s="866"/>
      <c r="P191" s="866"/>
      <c r="Q191" s="866"/>
      <c r="R191" s="866"/>
      <c r="S191" s="866"/>
      <c r="T191" s="866"/>
      <c r="U191" s="866"/>
      <c r="V191" s="866"/>
      <c r="W191" s="866"/>
      <c r="X191" s="1411"/>
      <c r="Y191" s="1386"/>
      <c r="Z191" s="866"/>
      <c r="AA191" s="866"/>
    </row>
    <row r="192" spans="1:27" s="836" customFormat="1" ht="12" x14ac:dyDescent="0.2">
      <c r="A192" s="879"/>
      <c r="B192" s="866"/>
      <c r="C192" s="866"/>
      <c r="D192" s="866"/>
      <c r="E192" s="866"/>
      <c r="F192" s="866"/>
      <c r="G192" s="866"/>
      <c r="H192" s="866"/>
      <c r="I192" s="866"/>
      <c r="J192" s="866"/>
      <c r="K192" s="866"/>
      <c r="L192" s="867"/>
      <c r="M192" s="866"/>
      <c r="N192" s="866"/>
      <c r="O192" s="866"/>
      <c r="P192" s="866"/>
      <c r="Q192" s="866"/>
      <c r="R192" s="866"/>
      <c r="S192" s="866"/>
      <c r="T192" s="866"/>
      <c r="U192" s="866"/>
      <c r="V192" s="866"/>
      <c r="W192" s="866"/>
      <c r="X192" s="1411"/>
      <c r="Y192" s="1386"/>
      <c r="Z192" s="866"/>
      <c r="AA192" s="866"/>
    </row>
    <row r="193" spans="1:27" s="836" customFormat="1" ht="12" x14ac:dyDescent="0.2">
      <c r="A193" s="843"/>
      <c r="B193" s="844" t="s">
        <v>535</v>
      </c>
      <c r="C193" s="845"/>
      <c r="D193" s="845"/>
      <c r="E193" s="845"/>
      <c r="F193" s="843"/>
      <c r="G193" s="843"/>
      <c r="H193" s="843"/>
      <c r="I193" s="843"/>
      <c r="J193" s="843"/>
      <c r="K193" s="843"/>
      <c r="L193" s="846"/>
      <c r="M193" s="843"/>
      <c r="N193" s="843"/>
      <c r="O193" s="843"/>
      <c r="P193" s="843"/>
      <c r="Q193" s="843"/>
      <c r="R193" s="843"/>
      <c r="S193" s="843"/>
      <c r="T193" s="843"/>
      <c r="U193" s="843"/>
      <c r="V193" s="847" t="e">
        <f>#REF!-V194</f>
        <v>#REF!</v>
      </c>
      <c r="W193" s="843"/>
      <c r="X193" s="1437" t="e">
        <f>#REF!-X194</f>
        <v>#REF!</v>
      </c>
      <c r="Y193" s="1403" t="e">
        <f>#REF!-Y194</f>
        <v>#REF!</v>
      </c>
      <c r="Z193" s="843"/>
      <c r="AA193" s="843"/>
    </row>
    <row r="194" spans="1:27" s="836" customFormat="1" ht="12" x14ac:dyDescent="0.2">
      <c r="A194" s="837"/>
      <c r="B194" s="834"/>
      <c r="C194" s="851" t="s">
        <v>318</v>
      </c>
      <c r="D194" s="834"/>
      <c r="E194" s="834"/>
      <c r="F194" s="832"/>
      <c r="G194" s="832"/>
      <c r="H194" s="832"/>
      <c r="I194" s="832"/>
      <c r="J194" s="832"/>
      <c r="K194" s="832"/>
      <c r="L194" s="841"/>
      <c r="M194" s="832"/>
      <c r="N194" s="832"/>
      <c r="O194" s="832"/>
      <c r="P194" s="832"/>
      <c r="Q194" s="832"/>
      <c r="R194" s="832"/>
      <c r="S194" s="832"/>
      <c r="T194" s="832"/>
      <c r="U194" s="832"/>
      <c r="V194" s="852">
        <f>SUM(V195:V199)</f>
        <v>1953420.105</v>
      </c>
      <c r="W194" s="832"/>
      <c r="X194" s="1441">
        <f>SUM(X195:X199)</f>
        <v>2758.2438282608696</v>
      </c>
      <c r="Y194" s="1405">
        <f>SUM(Y195:Y200)</f>
        <v>91.941460942028982</v>
      </c>
      <c r="Z194" s="832"/>
      <c r="AA194" s="832"/>
    </row>
    <row r="195" spans="1:27" s="836" customFormat="1" ht="12" x14ac:dyDescent="0.2">
      <c r="A195" s="1072"/>
      <c r="B195" s="1066"/>
      <c r="C195" s="1073" t="s">
        <v>103</v>
      </c>
      <c r="D195" s="1067"/>
      <c r="E195" s="1067"/>
      <c r="F195" s="1074"/>
      <c r="G195" s="1074"/>
      <c r="H195" s="1067"/>
      <c r="I195" s="1067"/>
      <c r="J195" s="1067"/>
      <c r="K195" s="1067"/>
      <c r="L195" s="1070"/>
      <c r="M195" s="1067"/>
      <c r="N195" s="1070"/>
      <c r="O195" s="1071"/>
      <c r="P195" s="1071"/>
      <c r="Q195" s="1071"/>
      <c r="R195" s="1067"/>
      <c r="S195" s="1067"/>
      <c r="T195" s="1067"/>
      <c r="U195" s="1067"/>
      <c r="V195" s="1071"/>
      <c r="W195" s="1070"/>
      <c r="X195" s="1440"/>
      <c r="Y195" s="1404"/>
      <c r="Z195" s="1067"/>
      <c r="AA195" s="1067"/>
    </row>
    <row r="196" spans="1:27" s="836" customFormat="1" ht="12" x14ac:dyDescent="0.2">
      <c r="A196" s="1072">
        <v>45154</v>
      </c>
      <c r="B196" s="1066"/>
      <c r="C196" s="1073"/>
      <c r="D196" s="1067" t="s">
        <v>536</v>
      </c>
      <c r="E196" s="1067"/>
      <c r="F196" s="1067">
        <v>30</v>
      </c>
      <c r="G196" s="1074"/>
      <c r="H196" s="1067"/>
      <c r="I196" s="1067"/>
      <c r="J196" s="1067">
        <v>937</v>
      </c>
      <c r="K196" s="1067"/>
      <c r="L196" s="1070"/>
      <c r="M196" s="1067">
        <v>273</v>
      </c>
      <c r="N196" s="1070">
        <f>Tabla1[[#This Row],[PRECIO UNITARIO USD/TN]]*Tabla1[[#This Row],[KG NETOS TOT]]</f>
        <v>255801</v>
      </c>
      <c r="O196" s="1071">
        <f>Tabla1[[#This Row],[SUBTOTAL]]*0.105</f>
        <v>26859.105</v>
      </c>
      <c r="P196" s="1071"/>
      <c r="Q196" s="1071">
        <f>SUM(Tabla1[[#This Row],[SUBTOTAL]:[IVA 21]])</f>
        <v>282660.10499999998</v>
      </c>
      <c r="R196" s="1067"/>
      <c r="S196" s="1067"/>
      <c r="T196" s="1067"/>
      <c r="U196" s="1067"/>
      <c r="V196" s="1071">
        <f>SUM(Tabla1[[#This Row],[TOTAL*]:[IVA RG 2300/2007]])</f>
        <v>282660.10499999998</v>
      </c>
      <c r="W196" s="1075">
        <v>300</v>
      </c>
      <c r="X196" s="1440">
        <f>Tabla1[[#This Row],[TOTAL A LIQUIDAR]]/Tabla1[[#This Row],[TIPO DE CAMBIO]]</f>
        <v>942.20034999999996</v>
      </c>
      <c r="Y196" s="1404">
        <f>Tabla1[[#This Row],[TOTAL USD]]/Tabla1[[#This Row],[HAS]]</f>
        <v>31.406678333333332</v>
      </c>
      <c r="Z196" s="1067" t="s">
        <v>537</v>
      </c>
      <c r="AA196" s="1067" t="s">
        <v>538</v>
      </c>
    </row>
    <row r="197" spans="1:27" s="836" customFormat="1" ht="12" x14ac:dyDescent="0.2">
      <c r="A197" s="1072">
        <v>45282</v>
      </c>
      <c r="B197" s="1066" t="s">
        <v>539</v>
      </c>
      <c r="C197" s="1076"/>
      <c r="D197" s="1067"/>
      <c r="E197" s="1067"/>
      <c r="F197" s="1067"/>
      <c r="G197" s="1067"/>
      <c r="H197" s="1067"/>
      <c r="I197" s="1067"/>
      <c r="J197" s="1067"/>
      <c r="K197" s="1067"/>
      <c r="L197" s="1069"/>
      <c r="M197" s="1067"/>
      <c r="N197" s="1070"/>
      <c r="O197" s="1067"/>
      <c r="P197" s="1067"/>
      <c r="Q197" s="1067"/>
      <c r="R197" s="1067"/>
      <c r="S197" s="1067"/>
      <c r="T197" s="1067"/>
      <c r="U197" s="1067"/>
      <c r="V197" s="1070"/>
      <c r="W197" s="1070"/>
      <c r="X197" s="1440"/>
      <c r="Y197" s="1404"/>
      <c r="Z197" s="1067"/>
      <c r="AA197" s="1067"/>
    </row>
    <row r="198" spans="1:27" s="836" customFormat="1" x14ac:dyDescent="0.25">
      <c r="A198" s="1065"/>
      <c r="B198" s="1077"/>
      <c r="C198" s="1073" t="s">
        <v>56</v>
      </c>
      <c r="D198" s="1067"/>
      <c r="E198" s="1067"/>
      <c r="F198" s="1067">
        <v>30</v>
      </c>
      <c r="G198" s="1067"/>
      <c r="H198" s="1067"/>
      <c r="I198" s="1067"/>
      <c r="J198" s="1067">
        <v>1</v>
      </c>
      <c r="K198" s="1067"/>
      <c r="L198" s="1070"/>
      <c r="M198" s="1071">
        <f>Tabla1[[#This Row],[SUBTOTAL]]/Tabla1[[#This Row],[HAS]]</f>
        <v>50400</v>
      </c>
      <c r="N198" s="1070">
        <v>1512000</v>
      </c>
      <c r="O198" s="1071">
        <f>Tabla1[[#This Row],[SUBTOTAL]]*0.105</f>
        <v>158760</v>
      </c>
      <c r="P198" s="1071"/>
      <c r="Q198" s="1071">
        <f>Tabla1[[#This Row],[SUBTOTAL]]+Tabla1[[#This Row],[IVA 10,5]]</f>
        <v>1670760</v>
      </c>
      <c r="R198" s="1067"/>
      <c r="S198" s="1067"/>
      <c r="T198" s="1067"/>
      <c r="U198" s="1067"/>
      <c r="V198" s="1071">
        <f>Tabla1[[#This Row],[SUBTOTAL]]+Tabla1[[#This Row],[IVA 10,5]]</f>
        <v>1670760</v>
      </c>
      <c r="W198" s="1070">
        <v>920</v>
      </c>
      <c r="X198" s="1440">
        <f>Tabla1[[#This Row],[TOTAL A LIQUIDAR]]/Tabla1[[#This Row],[TIPO DE CAMBIO]]</f>
        <v>1816.0434782608695</v>
      </c>
      <c r="Y198" s="1404">
        <f>Tabla1[[#This Row],[TOTAL USD]]/Tabla1[[#This Row],[HAS]]</f>
        <v>60.53478260869565</v>
      </c>
      <c r="Z198" s="1067" t="s">
        <v>260</v>
      </c>
      <c r="AA198" s="1067" t="s">
        <v>540</v>
      </c>
    </row>
    <row r="199" spans="1:27" s="836" customFormat="1" x14ac:dyDescent="0.25">
      <c r="A199" s="889"/>
      <c r="B199" s="874"/>
      <c r="C199" s="24"/>
      <c r="D199" s="866"/>
      <c r="E199" s="866"/>
      <c r="F199" s="865"/>
      <c r="G199" s="865"/>
      <c r="H199" s="866"/>
      <c r="I199" s="866"/>
      <c r="J199" s="866"/>
      <c r="K199" s="866"/>
      <c r="L199" s="868"/>
      <c r="M199" s="866"/>
      <c r="N199" s="866"/>
      <c r="O199" s="866"/>
      <c r="P199" s="866"/>
      <c r="Q199" s="866"/>
      <c r="R199" s="866"/>
      <c r="S199" s="866"/>
      <c r="T199" s="866"/>
      <c r="U199" s="866"/>
      <c r="V199" s="866"/>
      <c r="W199" s="866"/>
      <c r="X199" s="1413"/>
      <c r="Y199" s="870"/>
      <c r="Z199" s="866"/>
      <c r="AA199" s="866"/>
    </row>
    <row r="200" spans="1:27" s="836" customFormat="1" ht="12.75" thickBot="1" x14ac:dyDescent="0.25">
      <c r="A200" s="889"/>
      <c r="B200" s="874"/>
      <c r="C200" s="864"/>
      <c r="D200" s="866"/>
      <c r="E200" s="866"/>
      <c r="F200" s="865"/>
      <c r="G200" s="865"/>
      <c r="H200" s="866"/>
      <c r="I200" s="866"/>
      <c r="J200" s="866"/>
      <c r="K200" s="866"/>
      <c r="L200" s="868"/>
      <c r="M200" s="866"/>
      <c r="N200" s="866"/>
      <c r="O200" s="866"/>
      <c r="P200" s="866"/>
      <c r="Q200" s="866"/>
      <c r="R200" s="866"/>
      <c r="S200" s="866"/>
      <c r="T200" s="866"/>
      <c r="U200" s="866"/>
      <c r="V200" s="866"/>
      <c r="W200" s="866"/>
      <c r="X200" s="1442"/>
      <c r="Y200" s="1401"/>
      <c r="Z200" s="866"/>
      <c r="AA200" s="866"/>
    </row>
  </sheetData>
  <phoneticPr fontId="13" type="noConversion"/>
  <pageMargins left="0.25" right="0.25" top="0.75" bottom="0.75" header="0.3" footer="0.3"/>
  <pageSetup paperSize="8" orientation="landscape" r:id="rId1"/>
  <ignoredErrors>
    <ignoredError sqref="Y93" evalError="1"/>
    <ignoredError sqref="V151" formula="1"/>
  </ignoredErrors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8B01-9C4D-4A2F-AFB8-54A21B0D60DC}">
  <dimension ref="A1:U161"/>
  <sheetViews>
    <sheetView topLeftCell="A139" workbookViewId="0">
      <selection activeCell="D167" sqref="D167"/>
    </sheetView>
  </sheetViews>
  <sheetFormatPr baseColWidth="10" defaultColWidth="11.42578125" defaultRowHeight="15" x14ac:dyDescent="0.25"/>
  <cols>
    <col min="2" max="2" width="15" customWidth="1"/>
    <col min="3" max="3" width="18.42578125" customWidth="1"/>
    <col min="4" max="5" width="15.5703125" bestFit="1" customWidth="1"/>
    <col min="6" max="6" width="12.85546875" bestFit="1" customWidth="1"/>
    <col min="7" max="7" width="9" bestFit="1" customWidth="1"/>
    <col min="8" max="8" width="13.7109375" customWidth="1"/>
    <col min="9" max="9" width="14.7109375" customWidth="1"/>
    <col min="10" max="10" width="11.42578125" customWidth="1"/>
    <col min="13" max="13" width="12.85546875" customWidth="1"/>
    <col min="15" max="15" width="9.28515625" customWidth="1"/>
    <col min="16" max="16" width="19.85546875" customWidth="1"/>
    <col min="17" max="17" width="21.42578125" customWidth="1"/>
    <col min="21" max="21" width="12.5703125" customWidth="1"/>
  </cols>
  <sheetData>
    <row r="1" spans="1:21" ht="30.75" thickBot="1" x14ac:dyDescent="0.3">
      <c r="A1" s="1308" t="s">
        <v>0</v>
      </c>
      <c r="B1" s="1309" t="s">
        <v>1</v>
      </c>
      <c r="C1" s="1310" t="s">
        <v>2</v>
      </c>
      <c r="D1" s="1311" t="s">
        <v>3</v>
      </c>
      <c r="E1" s="1311" t="s">
        <v>4</v>
      </c>
      <c r="F1" s="1311" t="s">
        <v>5</v>
      </c>
      <c r="G1" s="1311" t="s">
        <v>6</v>
      </c>
      <c r="H1" s="1311" t="s">
        <v>7</v>
      </c>
      <c r="I1" s="1311" t="s">
        <v>8</v>
      </c>
      <c r="J1" s="1309" t="s">
        <v>9</v>
      </c>
      <c r="K1" s="1309" t="s">
        <v>10</v>
      </c>
      <c r="L1" s="1309" t="s">
        <v>11</v>
      </c>
      <c r="M1" s="1309" t="s">
        <v>12</v>
      </c>
      <c r="N1" s="1309" t="s">
        <v>13</v>
      </c>
      <c r="O1" s="1309" t="s">
        <v>14</v>
      </c>
      <c r="P1" s="1309" t="s">
        <v>15</v>
      </c>
      <c r="Q1" s="1309" t="s">
        <v>16</v>
      </c>
      <c r="R1" s="1309" t="s">
        <v>17</v>
      </c>
      <c r="S1" s="1312" t="s">
        <v>18</v>
      </c>
      <c r="T1" s="1313" t="s">
        <v>19</v>
      </c>
      <c r="U1" s="1309" t="s">
        <v>20</v>
      </c>
    </row>
    <row r="2" spans="1:21" x14ac:dyDescent="0.25">
      <c r="A2" s="1455">
        <v>45293</v>
      </c>
      <c r="B2" s="1456" t="s">
        <v>25</v>
      </c>
      <c r="C2" s="1457"/>
      <c r="D2" s="1458">
        <v>0</v>
      </c>
      <c r="E2" s="1459">
        <v>60000</v>
      </c>
      <c r="F2" s="1460">
        <v>0</v>
      </c>
      <c r="G2" s="1460">
        <v>830</v>
      </c>
      <c r="H2" s="1461">
        <v>0</v>
      </c>
      <c r="I2" s="1461">
        <v>72.289156626506028</v>
      </c>
      <c r="J2" s="1462" t="s">
        <v>21</v>
      </c>
      <c r="K2" s="1463" t="s">
        <v>26</v>
      </c>
      <c r="L2" s="1462" t="s">
        <v>26</v>
      </c>
      <c r="M2" s="1456" t="s">
        <v>38</v>
      </c>
      <c r="N2" s="1456" t="s">
        <v>39</v>
      </c>
      <c r="O2" s="1464" t="s">
        <v>40</v>
      </c>
      <c r="P2" s="1463" t="s">
        <v>41</v>
      </c>
      <c r="Q2" s="1456" t="s">
        <v>42</v>
      </c>
      <c r="R2" s="1462" t="s">
        <v>43</v>
      </c>
      <c r="S2" s="1462" t="s">
        <v>44</v>
      </c>
      <c r="T2" s="1456"/>
      <c r="U2" s="1465" t="s">
        <v>29</v>
      </c>
    </row>
    <row r="3" spans="1:21" x14ac:dyDescent="0.25">
      <c r="A3" s="1455">
        <v>45300</v>
      </c>
      <c r="B3" s="1456" t="s">
        <v>30</v>
      </c>
      <c r="C3" s="1457" t="s">
        <v>53</v>
      </c>
      <c r="D3" s="1459">
        <v>879226.25</v>
      </c>
      <c r="E3" s="1458">
        <v>0</v>
      </c>
      <c r="F3" s="1460">
        <v>0</v>
      </c>
      <c r="G3" s="1460">
        <v>830</v>
      </c>
      <c r="H3" s="1461">
        <v>1059.308734939759</v>
      </c>
      <c r="I3" s="1461">
        <v>0</v>
      </c>
      <c r="J3" s="1462" t="s">
        <v>21</v>
      </c>
      <c r="K3" s="1456" t="s">
        <v>22</v>
      </c>
      <c r="L3" s="1462" t="s">
        <v>27</v>
      </c>
      <c r="M3" s="1463" t="s">
        <v>38</v>
      </c>
      <c r="N3" s="1463" t="s">
        <v>54</v>
      </c>
      <c r="O3" s="1464" t="s">
        <v>55</v>
      </c>
      <c r="P3" s="1463" t="s">
        <v>56</v>
      </c>
      <c r="Q3" s="1456" t="s">
        <v>57</v>
      </c>
      <c r="R3" s="1462" t="s">
        <v>58</v>
      </c>
      <c r="S3" s="1462" t="s">
        <v>59</v>
      </c>
      <c r="T3" s="1456"/>
      <c r="U3" s="1465" t="s">
        <v>24</v>
      </c>
    </row>
    <row r="4" spans="1:21" x14ac:dyDescent="0.25">
      <c r="A4" s="1455">
        <v>45301</v>
      </c>
      <c r="B4" s="1456" t="s">
        <v>30</v>
      </c>
      <c r="C4" s="1457" t="s">
        <v>61</v>
      </c>
      <c r="D4" s="1459">
        <v>879226.25</v>
      </c>
      <c r="E4" s="1458">
        <v>0</v>
      </c>
      <c r="F4" s="1460">
        <v>0</v>
      </c>
      <c r="G4" s="1460">
        <v>830</v>
      </c>
      <c r="H4" s="1461">
        <v>1059.308734939759</v>
      </c>
      <c r="I4" s="1461">
        <v>0</v>
      </c>
      <c r="J4" s="1462" t="s">
        <v>21</v>
      </c>
      <c r="K4" s="1456" t="s">
        <v>22</v>
      </c>
      <c r="L4" s="1462" t="s">
        <v>27</v>
      </c>
      <c r="M4" s="1463" t="s">
        <v>38</v>
      </c>
      <c r="N4" s="1463" t="s">
        <v>54</v>
      </c>
      <c r="O4" s="1464" t="s">
        <v>55</v>
      </c>
      <c r="P4" s="1463" t="s">
        <v>56</v>
      </c>
      <c r="Q4" s="1456" t="s">
        <v>57</v>
      </c>
      <c r="R4" s="1462" t="s">
        <v>58</v>
      </c>
      <c r="S4" s="1462" t="s">
        <v>59</v>
      </c>
      <c r="T4" s="1456"/>
      <c r="U4" s="1465" t="s">
        <v>24</v>
      </c>
    </row>
    <row r="5" spans="1:21" x14ac:dyDescent="0.25">
      <c r="A5" s="1455">
        <v>45309</v>
      </c>
      <c r="B5" s="1456" t="s">
        <v>63</v>
      </c>
      <c r="C5" s="1457"/>
      <c r="D5" s="1458">
        <v>550000</v>
      </c>
      <c r="E5" s="1458">
        <v>0</v>
      </c>
      <c r="F5" s="1460">
        <v>0</v>
      </c>
      <c r="G5" s="1460">
        <v>830</v>
      </c>
      <c r="H5" s="1461">
        <v>662.65060240963851</v>
      </c>
      <c r="I5" s="1461">
        <v>0</v>
      </c>
      <c r="J5" s="1462" t="s">
        <v>21</v>
      </c>
      <c r="K5" s="1463" t="s">
        <v>22</v>
      </c>
      <c r="L5" s="1462" t="s">
        <v>51</v>
      </c>
      <c r="M5" s="1456" t="s">
        <v>38</v>
      </c>
      <c r="N5" s="1456" t="s">
        <v>39</v>
      </c>
      <c r="O5" s="1464" t="s">
        <v>64</v>
      </c>
      <c r="P5" s="1463" t="s">
        <v>65</v>
      </c>
      <c r="Q5" s="1456" t="s">
        <v>66</v>
      </c>
      <c r="R5" s="1462" t="s">
        <v>67</v>
      </c>
      <c r="S5" s="1462" t="s">
        <v>59</v>
      </c>
      <c r="T5" s="1456"/>
      <c r="U5" s="1465" t="s">
        <v>24</v>
      </c>
    </row>
    <row r="6" spans="1:21" x14ac:dyDescent="0.25">
      <c r="A6" s="1455">
        <v>45313</v>
      </c>
      <c r="B6" s="1456" t="s">
        <v>69</v>
      </c>
      <c r="C6" s="1457" t="s">
        <v>70</v>
      </c>
      <c r="D6" s="1458">
        <v>200000</v>
      </c>
      <c r="E6" s="1458">
        <v>0</v>
      </c>
      <c r="F6" s="1460">
        <v>0</v>
      </c>
      <c r="G6" s="1460">
        <v>830</v>
      </c>
      <c r="H6" s="1461">
        <v>240.96385542168676</v>
      </c>
      <c r="I6" s="1461">
        <v>0</v>
      </c>
      <c r="J6" s="1462" t="s">
        <v>21</v>
      </c>
      <c r="K6" s="1463" t="s">
        <v>22</v>
      </c>
      <c r="L6" s="1462" t="s">
        <v>45</v>
      </c>
      <c r="M6" s="1463" t="s">
        <v>38</v>
      </c>
      <c r="N6" s="1463" t="s">
        <v>54</v>
      </c>
      <c r="O6" s="1464" t="s">
        <v>71</v>
      </c>
      <c r="P6" s="1463" t="s">
        <v>50</v>
      </c>
      <c r="Q6" s="1456" t="s">
        <v>72</v>
      </c>
      <c r="R6" s="1462" t="s">
        <v>73</v>
      </c>
      <c r="S6" s="1462" t="s">
        <v>59</v>
      </c>
      <c r="T6" s="1456"/>
      <c r="U6" s="1465" t="s">
        <v>24</v>
      </c>
    </row>
    <row r="7" spans="1:21" x14ac:dyDescent="0.25">
      <c r="A7" s="1455">
        <v>45323</v>
      </c>
      <c r="B7" s="1456" t="s">
        <v>76</v>
      </c>
      <c r="C7" s="1457"/>
      <c r="D7" s="1458">
        <v>550000</v>
      </c>
      <c r="E7" s="1458">
        <v>0</v>
      </c>
      <c r="F7" s="1460">
        <v>0</v>
      </c>
      <c r="G7" s="1460">
        <v>845</v>
      </c>
      <c r="H7" s="1461">
        <v>650.88757396449705</v>
      </c>
      <c r="I7" s="1461">
        <v>0</v>
      </c>
      <c r="J7" s="1462" t="s">
        <v>21</v>
      </c>
      <c r="K7" s="1463" t="s">
        <v>22</v>
      </c>
      <c r="L7" s="1462" t="s">
        <v>51</v>
      </c>
      <c r="M7" s="1463" t="s">
        <v>38</v>
      </c>
      <c r="N7" s="1463" t="s">
        <v>39</v>
      </c>
      <c r="O7" s="1464" t="s">
        <v>64</v>
      </c>
      <c r="P7" s="1463" t="s">
        <v>65</v>
      </c>
      <c r="Q7" s="1456" t="s">
        <v>66</v>
      </c>
      <c r="R7" s="1462" t="s">
        <v>67</v>
      </c>
      <c r="S7" s="1462" t="s">
        <v>59</v>
      </c>
      <c r="T7" s="1456"/>
      <c r="U7" s="1465" t="s">
        <v>24</v>
      </c>
    </row>
    <row r="8" spans="1:21" x14ac:dyDescent="0.25">
      <c r="A8" s="1455">
        <v>45329</v>
      </c>
      <c r="B8" s="1456" t="s">
        <v>79</v>
      </c>
      <c r="C8" s="1457">
        <v>370003</v>
      </c>
      <c r="D8" s="1458">
        <v>0</v>
      </c>
      <c r="E8" s="1459">
        <v>209600</v>
      </c>
      <c r="F8" s="1460">
        <v>0</v>
      </c>
      <c r="G8" s="1460">
        <v>845</v>
      </c>
      <c r="H8" s="1461">
        <v>0</v>
      </c>
      <c r="I8" s="1461">
        <v>248.04733727810651</v>
      </c>
      <c r="J8" s="1462" t="s">
        <v>21</v>
      </c>
      <c r="K8" s="1456" t="s">
        <v>22</v>
      </c>
      <c r="L8" s="1462" t="s">
        <v>23</v>
      </c>
      <c r="M8" s="1463" t="s">
        <v>38</v>
      </c>
      <c r="N8" s="1463" t="s">
        <v>54</v>
      </c>
      <c r="O8" s="1464" t="s">
        <v>55</v>
      </c>
      <c r="P8" s="1463" t="s">
        <v>80</v>
      </c>
      <c r="Q8" s="1456" t="s">
        <v>81</v>
      </c>
      <c r="R8" s="1462" t="s">
        <v>43</v>
      </c>
      <c r="S8" s="1462" t="s">
        <v>44</v>
      </c>
      <c r="T8" s="1456"/>
      <c r="U8" s="1465" t="s">
        <v>24</v>
      </c>
    </row>
    <row r="9" spans="1:21" x14ac:dyDescent="0.25">
      <c r="A9" s="1455">
        <v>45337</v>
      </c>
      <c r="B9" s="1456" t="s">
        <v>69</v>
      </c>
      <c r="C9" s="1457" t="s">
        <v>86</v>
      </c>
      <c r="D9" s="1458">
        <v>223000</v>
      </c>
      <c r="E9" s="1458">
        <v>0</v>
      </c>
      <c r="F9" s="1460">
        <v>0</v>
      </c>
      <c r="G9" s="1460">
        <v>845</v>
      </c>
      <c r="H9" s="1461">
        <v>263.90532544378698</v>
      </c>
      <c r="I9" s="1461">
        <v>0</v>
      </c>
      <c r="J9" s="1462" t="s">
        <v>21</v>
      </c>
      <c r="K9" s="1463" t="s">
        <v>22</v>
      </c>
      <c r="L9" s="1462" t="s">
        <v>45</v>
      </c>
      <c r="M9" s="1463" t="s">
        <v>38</v>
      </c>
      <c r="N9" s="1463" t="s">
        <v>54</v>
      </c>
      <c r="O9" s="1463" t="s">
        <v>71</v>
      </c>
      <c r="P9" s="1463" t="s">
        <v>50</v>
      </c>
      <c r="Q9" s="1456" t="s">
        <v>72</v>
      </c>
      <c r="R9" s="1462" t="s">
        <v>73</v>
      </c>
      <c r="S9" s="1462" t="s">
        <v>59</v>
      </c>
      <c r="T9" s="1456"/>
      <c r="U9" s="1465" t="s">
        <v>24</v>
      </c>
    </row>
    <row r="10" spans="1:21" x14ac:dyDescent="0.25">
      <c r="A10" s="1455">
        <v>45344</v>
      </c>
      <c r="B10" s="1456" t="s">
        <v>74</v>
      </c>
      <c r="C10" s="1457" t="s">
        <v>88</v>
      </c>
      <c r="D10" s="1458">
        <v>570760</v>
      </c>
      <c r="E10" s="1466">
        <v>0</v>
      </c>
      <c r="F10" s="1467">
        <v>0</v>
      </c>
      <c r="G10" s="1467">
        <v>845</v>
      </c>
      <c r="H10" s="1461">
        <v>675.45562130177518</v>
      </c>
      <c r="I10" s="1461">
        <v>0</v>
      </c>
      <c r="J10" s="1462" t="s">
        <v>21</v>
      </c>
      <c r="K10" s="1463" t="s">
        <v>22</v>
      </c>
      <c r="L10" s="1462" t="s">
        <v>51</v>
      </c>
      <c r="M10" s="1456" t="s">
        <v>38</v>
      </c>
      <c r="N10" s="1456" t="s">
        <v>39</v>
      </c>
      <c r="O10" s="1464" t="s">
        <v>64</v>
      </c>
      <c r="P10" s="1463" t="s">
        <v>65</v>
      </c>
      <c r="Q10" s="1456" t="s">
        <v>66</v>
      </c>
      <c r="R10" s="1462" t="s">
        <v>67</v>
      </c>
      <c r="S10" s="1462" t="s">
        <v>59</v>
      </c>
      <c r="T10" s="1456"/>
      <c r="U10" s="1465" t="s">
        <v>24</v>
      </c>
    </row>
    <row r="11" spans="1:21" x14ac:dyDescent="0.25">
      <c r="A11" s="1468">
        <v>45344</v>
      </c>
      <c r="B11" s="1469" t="s">
        <v>25</v>
      </c>
      <c r="C11" s="1470"/>
      <c r="D11" s="1466">
        <v>224000</v>
      </c>
      <c r="E11" s="1466">
        <v>0</v>
      </c>
      <c r="F11" s="1467">
        <v>0</v>
      </c>
      <c r="G11" s="1467">
        <v>845</v>
      </c>
      <c r="H11" s="1461">
        <v>265.08875739644969</v>
      </c>
      <c r="I11" s="1461">
        <v>0</v>
      </c>
      <c r="J11" s="1465" t="s">
        <v>21</v>
      </c>
      <c r="K11" s="1463" t="s">
        <v>26</v>
      </c>
      <c r="L11" s="1462" t="s">
        <v>26</v>
      </c>
      <c r="M11" s="1471" t="s">
        <v>38</v>
      </c>
      <c r="N11" s="1471" t="s">
        <v>39</v>
      </c>
      <c r="O11" s="1471" t="s">
        <v>64</v>
      </c>
      <c r="P11" s="1471" t="s">
        <v>89</v>
      </c>
      <c r="Q11" s="1469" t="s">
        <v>90</v>
      </c>
      <c r="R11" s="1465" t="s">
        <v>43</v>
      </c>
      <c r="S11" s="1465" t="s">
        <v>44</v>
      </c>
      <c r="T11" s="1469"/>
      <c r="U11" s="1465" t="s">
        <v>24</v>
      </c>
    </row>
    <row r="12" spans="1:21" x14ac:dyDescent="0.25">
      <c r="A12" s="1468">
        <v>45344</v>
      </c>
      <c r="B12" s="1469" t="s">
        <v>25</v>
      </c>
      <c r="C12" s="1470"/>
      <c r="D12" s="1466">
        <v>450000</v>
      </c>
      <c r="E12" s="1466">
        <v>0</v>
      </c>
      <c r="F12" s="1467">
        <v>0</v>
      </c>
      <c r="G12" s="1467">
        <v>845</v>
      </c>
      <c r="H12" s="1461">
        <v>532.54437869822482</v>
      </c>
      <c r="I12" s="1461">
        <v>0</v>
      </c>
      <c r="J12" s="1465" t="s">
        <v>21</v>
      </c>
      <c r="K12" s="1463" t="s">
        <v>26</v>
      </c>
      <c r="L12" s="1462" t="s">
        <v>26</v>
      </c>
      <c r="M12" s="1471" t="s">
        <v>38</v>
      </c>
      <c r="N12" s="1471" t="s">
        <v>39</v>
      </c>
      <c r="O12" s="1471" t="s">
        <v>40</v>
      </c>
      <c r="P12" s="1471" t="s">
        <v>41</v>
      </c>
      <c r="Q12" s="1469" t="s">
        <v>91</v>
      </c>
      <c r="R12" s="1465" t="s">
        <v>43</v>
      </c>
      <c r="S12" s="1465" t="s">
        <v>44</v>
      </c>
      <c r="T12" s="1469"/>
      <c r="U12" s="1465" t="s">
        <v>24</v>
      </c>
    </row>
    <row r="13" spans="1:21" x14ac:dyDescent="0.25">
      <c r="A13" s="644">
        <v>45360</v>
      </c>
      <c r="B13" s="1323" t="s">
        <v>25</v>
      </c>
      <c r="C13" s="1324"/>
      <c r="D13" s="1321">
        <v>436000</v>
      </c>
      <c r="E13" s="1321">
        <v>0</v>
      </c>
      <c r="F13" s="1322">
        <v>0</v>
      </c>
      <c r="G13" s="1322">
        <v>861</v>
      </c>
      <c r="H13" s="1318">
        <v>506.38792102206736</v>
      </c>
      <c r="I13" s="1318">
        <v>0</v>
      </c>
      <c r="J13" s="1325" t="s">
        <v>21</v>
      </c>
      <c r="K13" s="1314" t="s">
        <v>26</v>
      </c>
      <c r="L13" s="1319" t="s">
        <v>26</v>
      </c>
      <c r="M13" s="1326" t="s">
        <v>38</v>
      </c>
      <c r="N13" s="646" t="s">
        <v>54</v>
      </c>
      <c r="O13" s="646" t="s">
        <v>71</v>
      </c>
      <c r="P13" s="646" t="s">
        <v>50</v>
      </c>
      <c r="Q13" s="641" t="s">
        <v>72</v>
      </c>
      <c r="R13" s="647" t="s">
        <v>93</v>
      </c>
      <c r="S13" s="647" t="s">
        <v>59</v>
      </c>
      <c r="T13" s="641"/>
      <c r="U13" s="647" t="s">
        <v>24</v>
      </c>
    </row>
    <row r="14" spans="1:21" x14ac:dyDescent="0.25">
      <c r="A14" s="644">
        <v>45363</v>
      </c>
      <c r="B14" s="1323" t="s">
        <v>25</v>
      </c>
      <c r="C14" s="1324"/>
      <c r="D14" s="1321">
        <v>424500</v>
      </c>
      <c r="E14" s="1321">
        <v>0</v>
      </c>
      <c r="F14" s="1322">
        <v>0</v>
      </c>
      <c r="G14" s="1322">
        <v>861</v>
      </c>
      <c r="H14" s="1318">
        <v>493.03135888501743</v>
      </c>
      <c r="I14" s="1318">
        <v>0</v>
      </c>
      <c r="J14" s="1325" t="s">
        <v>21</v>
      </c>
      <c r="K14" s="1314" t="s">
        <v>26</v>
      </c>
      <c r="L14" s="1319" t="s">
        <v>26</v>
      </c>
      <c r="M14" s="1326" t="s">
        <v>38</v>
      </c>
      <c r="N14" s="646" t="s">
        <v>39</v>
      </c>
      <c r="O14" s="646" t="s">
        <v>40</v>
      </c>
      <c r="P14" s="640" t="s">
        <v>41</v>
      </c>
      <c r="Q14" s="641" t="s">
        <v>91</v>
      </c>
      <c r="R14" s="647" t="s">
        <v>43</v>
      </c>
      <c r="S14" s="647" t="s">
        <v>44</v>
      </c>
      <c r="T14" s="641"/>
      <c r="U14" s="647" t="s">
        <v>24</v>
      </c>
    </row>
    <row r="15" spans="1:21" x14ac:dyDescent="0.25">
      <c r="A15" s="637">
        <v>45386</v>
      </c>
      <c r="B15" s="1314" t="s">
        <v>69</v>
      </c>
      <c r="C15" s="1315" t="s">
        <v>102</v>
      </c>
      <c r="D15" s="1327">
        <v>1400000</v>
      </c>
      <c r="E15" s="1328">
        <v>0</v>
      </c>
      <c r="F15" s="1329">
        <v>0</v>
      </c>
      <c r="G15" s="1329">
        <v>881</v>
      </c>
      <c r="H15" s="1318">
        <v>1589.1032917139614</v>
      </c>
      <c r="I15" s="1318">
        <v>0</v>
      </c>
      <c r="J15" s="1319" t="s">
        <v>21</v>
      </c>
      <c r="K15" s="1320" t="s">
        <v>22</v>
      </c>
      <c r="L15" s="1319" t="s">
        <v>45</v>
      </c>
      <c r="M15" s="1320" t="s">
        <v>38</v>
      </c>
      <c r="N15" s="640" t="s">
        <v>39</v>
      </c>
      <c r="O15" s="640" t="s">
        <v>40</v>
      </c>
      <c r="P15" s="640" t="s">
        <v>103</v>
      </c>
      <c r="Q15" s="638" t="s">
        <v>104</v>
      </c>
      <c r="R15" s="639" t="s">
        <v>105</v>
      </c>
      <c r="S15" s="639" t="s">
        <v>59</v>
      </c>
      <c r="T15" s="638"/>
      <c r="U15" s="647" t="s">
        <v>24</v>
      </c>
    </row>
    <row r="16" spans="1:21" x14ac:dyDescent="0.25">
      <c r="A16" s="637">
        <v>45397</v>
      </c>
      <c r="B16" s="1314" t="s">
        <v>106</v>
      </c>
      <c r="C16" s="1315"/>
      <c r="D16" s="1327">
        <v>0</v>
      </c>
      <c r="E16" s="1316">
        <v>13563383.869999999</v>
      </c>
      <c r="F16" s="1317">
        <v>7274419.5499999998</v>
      </c>
      <c r="G16" s="1317">
        <v>881</v>
      </c>
      <c r="H16" s="1318">
        <v>0</v>
      </c>
      <c r="I16" s="1318">
        <v>15395.441396140748</v>
      </c>
      <c r="J16" s="1319" t="s">
        <v>21</v>
      </c>
      <c r="K16" s="1314" t="s">
        <v>22</v>
      </c>
      <c r="L16" s="1319" t="s">
        <v>45</v>
      </c>
      <c r="M16" s="1320" t="s">
        <v>38</v>
      </c>
      <c r="N16" s="640" t="s">
        <v>54</v>
      </c>
      <c r="O16" s="642" t="s">
        <v>55</v>
      </c>
      <c r="P16" s="640" t="s">
        <v>107</v>
      </c>
      <c r="Q16" s="638" t="s">
        <v>108</v>
      </c>
      <c r="R16" s="639"/>
      <c r="S16" s="639" t="s">
        <v>84</v>
      </c>
      <c r="T16" s="638"/>
      <c r="U16" s="647" t="s">
        <v>24</v>
      </c>
    </row>
    <row r="17" spans="1:21" x14ac:dyDescent="0.25">
      <c r="A17" s="637">
        <v>45398</v>
      </c>
      <c r="B17" s="1314" t="s">
        <v>109</v>
      </c>
      <c r="C17" s="1315" t="s">
        <v>110</v>
      </c>
      <c r="D17" s="1327">
        <v>550000</v>
      </c>
      <c r="E17" s="1316">
        <v>0</v>
      </c>
      <c r="F17" s="1317">
        <v>0</v>
      </c>
      <c r="G17" s="1317">
        <v>881</v>
      </c>
      <c r="H17" s="1318">
        <v>624.2905788876277</v>
      </c>
      <c r="I17" s="1318">
        <v>0</v>
      </c>
      <c r="J17" s="1319" t="s">
        <v>21</v>
      </c>
      <c r="K17" s="1314" t="s">
        <v>22</v>
      </c>
      <c r="L17" s="1319" t="s">
        <v>27</v>
      </c>
      <c r="M17" s="1320" t="s">
        <v>38</v>
      </c>
      <c r="N17" s="640" t="s">
        <v>54</v>
      </c>
      <c r="O17" s="642" t="s">
        <v>111</v>
      </c>
      <c r="P17" s="640" t="s">
        <v>112</v>
      </c>
      <c r="Q17" s="638" t="s">
        <v>113</v>
      </c>
      <c r="R17" s="639" t="s">
        <v>114</v>
      </c>
      <c r="S17" s="639" t="s">
        <v>59</v>
      </c>
      <c r="T17" s="638"/>
      <c r="U17" s="647" t="s">
        <v>24</v>
      </c>
    </row>
    <row r="18" spans="1:21" x14ac:dyDescent="0.25">
      <c r="A18" s="637">
        <v>45398</v>
      </c>
      <c r="B18" s="1314" t="s">
        <v>115</v>
      </c>
      <c r="C18" s="1315"/>
      <c r="D18" s="1327">
        <v>0</v>
      </c>
      <c r="E18" s="1316">
        <v>13799003.189999999</v>
      </c>
      <c r="F18" s="1322">
        <v>5534298.5499999998</v>
      </c>
      <c r="G18" s="1322">
        <v>881</v>
      </c>
      <c r="H18" s="1318">
        <v>0</v>
      </c>
      <c r="I18" s="1318">
        <v>15662.886708286038</v>
      </c>
      <c r="J18" s="1319" t="s">
        <v>21</v>
      </c>
      <c r="K18" s="1314" t="s">
        <v>22</v>
      </c>
      <c r="L18" s="1319" t="s">
        <v>45</v>
      </c>
      <c r="M18" s="1320" t="s">
        <v>38</v>
      </c>
      <c r="N18" s="640" t="s">
        <v>54</v>
      </c>
      <c r="O18" s="642" t="s">
        <v>55</v>
      </c>
      <c r="P18" s="640" t="s">
        <v>107</v>
      </c>
      <c r="Q18" s="638" t="s">
        <v>108</v>
      </c>
      <c r="R18" s="639"/>
      <c r="S18" s="639" t="s">
        <v>84</v>
      </c>
      <c r="T18" s="638"/>
      <c r="U18" s="647" t="s">
        <v>24</v>
      </c>
    </row>
    <row r="19" spans="1:21" x14ac:dyDescent="0.25">
      <c r="A19" s="637">
        <v>45392</v>
      </c>
      <c r="B19" s="1314" t="s">
        <v>116</v>
      </c>
      <c r="C19" s="1315"/>
      <c r="D19" s="1327">
        <v>1436512</v>
      </c>
      <c r="E19" s="1316">
        <v>0</v>
      </c>
      <c r="F19" s="1322">
        <v>0</v>
      </c>
      <c r="G19" s="1322">
        <v>881</v>
      </c>
      <c r="H19" s="1318">
        <v>1630.5471055618616</v>
      </c>
      <c r="I19" s="1318">
        <v>0</v>
      </c>
      <c r="J19" s="1319"/>
      <c r="K19" s="1314"/>
      <c r="L19" s="1319" t="s">
        <v>26</v>
      </c>
      <c r="M19" s="1320" t="s">
        <v>38</v>
      </c>
      <c r="N19" s="640" t="s">
        <v>54</v>
      </c>
      <c r="O19" s="640" t="s">
        <v>55</v>
      </c>
      <c r="P19" s="640" t="s">
        <v>94</v>
      </c>
      <c r="Q19" s="638" t="s">
        <v>117</v>
      </c>
      <c r="R19" s="640"/>
      <c r="S19" s="639" t="s">
        <v>59</v>
      </c>
      <c r="T19" s="638"/>
      <c r="U19" s="647" t="s">
        <v>24</v>
      </c>
    </row>
    <row r="20" spans="1:21" x14ac:dyDescent="0.25">
      <c r="A20" s="637">
        <v>45399</v>
      </c>
      <c r="B20" s="1314" t="s">
        <v>69</v>
      </c>
      <c r="C20" s="1315" t="s">
        <v>118</v>
      </c>
      <c r="D20" s="1327">
        <v>1400000</v>
      </c>
      <c r="E20" s="1316">
        <v>0</v>
      </c>
      <c r="F20" s="1322">
        <v>12047137.359999999</v>
      </c>
      <c r="G20" s="1322">
        <v>881</v>
      </c>
      <c r="H20" s="1318">
        <v>1589.1032917139614</v>
      </c>
      <c r="I20" s="1318">
        <v>0</v>
      </c>
      <c r="J20" s="1319" t="s">
        <v>21</v>
      </c>
      <c r="K20" s="1314" t="s">
        <v>22</v>
      </c>
      <c r="L20" s="1319" t="s">
        <v>45</v>
      </c>
      <c r="M20" s="1320" t="s">
        <v>38</v>
      </c>
      <c r="N20" s="640" t="s">
        <v>39</v>
      </c>
      <c r="O20" s="640" t="s">
        <v>40</v>
      </c>
      <c r="P20" s="640" t="s">
        <v>103</v>
      </c>
      <c r="Q20" s="638" t="s">
        <v>104</v>
      </c>
      <c r="R20" s="639" t="s">
        <v>105</v>
      </c>
      <c r="S20" s="639" t="s">
        <v>59</v>
      </c>
      <c r="T20" s="638"/>
      <c r="U20" s="647" t="s">
        <v>24</v>
      </c>
    </row>
    <row r="21" spans="1:21" x14ac:dyDescent="0.25">
      <c r="A21" s="637">
        <v>45404</v>
      </c>
      <c r="B21" s="1314" t="s">
        <v>96</v>
      </c>
      <c r="C21" s="1315"/>
      <c r="D21" s="1328">
        <v>446000</v>
      </c>
      <c r="E21" s="1316">
        <v>0</v>
      </c>
      <c r="F21" s="1322">
        <v>9483198.7699999996</v>
      </c>
      <c r="G21" s="1322">
        <v>881</v>
      </c>
      <c r="H21" s="1318">
        <v>506.24290578887627</v>
      </c>
      <c r="I21" s="1318">
        <v>0</v>
      </c>
      <c r="J21" s="1319" t="s">
        <v>21</v>
      </c>
      <c r="K21" s="1314" t="s">
        <v>22</v>
      </c>
      <c r="L21" s="1319" t="s">
        <v>45</v>
      </c>
      <c r="M21" s="1320" t="s">
        <v>38</v>
      </c>
      <c r="N21" s="640" t="s">
        <v>54</v>
      </c>
      <c r="O21" s="640" t="s">
        <v>71</v>
      </c>
      <c r="P21" s="640" t="s">
        <v>50</v>
      </c>
      <c r="Q21" s="640" t="s">
        <v>72</v>
      </c>
      <c r="R21" s="639" t="s">
        <v>119</v>
      </c>
      <c r="S21" s="639" t="s">
        <v>59</v>
      </c>
      <c r="T21" s="638"/>
      <c r="U21" s="647" t="s">
        <v>24</v>
      </c>
    </row>
    <row r="22" spans="1:21" x14ac:dyDescent="0.25">
      <c r="A22" s="637">
        <v>45404</v>
      </c>
      <c r="B22" s="1314" t="s">
        <v>120</v>
      </c>
      <c r="C22" s="1330" t="s">
        <v>121</v>
      </c>
      <c r="D22" s="1327">
        <v>1362800</v>
      </c>
      <c r="E22" s="1328">
        <v>0</v>
      </c>
      <c r="F22" s="1329">
        <v>0</v>
      </c>
      <c r="G22" s="1331">
        <v>881</v>
      </c>
      <c r="H22" s="1318">
        <v>1546.8785471055619</v>
      </c>
      <c r="I22" s="1318">
        <v>0</v>
      </c>
      <c r="J22" s="1319" t="s">
        <v>21</v>
      </c>
      <c r="K22" s="1314" t="s">
        <v>26</v>
      </c>
      <c r="L22" s="1319" t="s">
        <v>26</v>
      </c>
      <c r="M22" s="1320" t="s">
        <v>38</v>
      </c>
      <c r="N22" s="640" t="s">
        <v>54</v>
      </c>
      <c r="O22" s="646" t="s">
        <v>111</v>
      </c>
      <c r="P22" s="646" t="s">
        <v>65</v>
      </c>
      <c r="Q22" s="640" t="s">
        <v>122</v>
      </c>
      <c r="R22" s="639" t="s">
        <v>43</v>
      </c>
      <c r="S22" s="1124" t="s">
        <v>59</v>
      </c>
      <c r="T22" s="638"/>
      <c r="U22" s="639" t="s">
        <v>24</v>
      </c>
    </row>
    <row r="23" spans="1:21" x14ac:dyDescent="0.25">
      <c r="A23" s="637">
        <v>45408</v>
      </c>
      <c r="B23" s="1314" t="s">
        <v>109</v>
      </c>
      <c r="C23" s="1315" t="s">
        <v>123</v>
      </c>
      <c r="D23" s="1327">
        <v>3070466.2</v>
      </c>
      <c r="E23" s="1316">
        <v>0</v>
      </c>
      <c r="F23" s="1317">
        <v>0</v>
      </c>
      <c r="G23" s="1317">
        <v>881</v>
      </c>
      <c r="H23" s="1318">
        <v>3485.2056753688994</v>
      </c>
      <c r="I23" s="1318">
        <v>0</v>
      </c>
      <c r="J23" s="1319" t="s">
        <v>21</v>
      </c>
      <c r="K23" s="1314" t="s">
        <v>22</v>
      </c>
      <c r="L23" s="1319" t="s">
        <v>27</v>
      </c>
      <c r="M23" s="1320" t="s">
        <v>38</v>
      </c>
      <c r="N23" s="640" t="s">
        <v>54</v>
      </c>
      <c r="O23" s="642" t="s">
        <v>111</v>
      </c>
      <c r="P23" s="640" t="s">
        <v>112</v>
      </c>
      <c r="Q23" s="638" t="s">
        <v>113</v>
      </c>
      <c r="R23" s="639" t="s">
        <v>114</v>
      </c>
      <c r="S23" s="639" t="s">
        <v>59</v>
      </c>
      <c r="T23" s="638"/>
      <c r="U23" s="647" t="s">
        <v>24</v>
      </c>
    </row>
    <row r="24" spans="1:21" x14ac:dyDescent="0.25">
      <c r="A24" s="637">
        <v>45411</v>
      </c>
      <c r="B24" s="1314" t="s">
        <v>124</v>
      </c>
      <c r="C24" s="1330"/>
      <c r="D24" s="1316">
        <v>2890448</v>
      </c>
      <c r="E24" s="1316">
        <v>0</v>
      </c>
      <c r="F24" s="1317">
        <v>0</v>
      </c>
      <c r="G24" s="1317">
        <v>881</v>
      </c>
      <c r="H24" s="1318">
        <v>3280.871736662883</v>
      </c>
      <c r="I24" s="1318">
        <v>0</v>
      </c>
      <c r="J24" s="1319"/>
      <c r="K24" s="1314" t="s">
        <v>26</v>
      </c>
      <c r="L24" s="1319" t="s">
        <v>26</v>
      </c>
      <c r="M24" s="1320" t="s">
        <v>38</v>
      </c>
      <c r="N24" s="640" t="s">
        <v>54</v>
      </c>
      <c r="O24" s="640" t="s">
        <v>55</v>
      </c>
      <c r="P24" s="640" t="s">
        <v>94</v>
      </c>
      <c r="Q24" s="638" t="s">
        <v>125</v>
      </c>
      <c r="R24" s="639"/>
      <c r="S24" s="639" t="s">
        <v>59</v>
      </c>
      <c r="T24" s="638"/>
      <c r="U24" s="647" t="s">
        <v>24</v>
      </c>
    </row>
    <row r="25" spans="1:21" x14ac:dyDescent="0.25">
      <c r="A25" s="637">
        <v>45411</v>
      </c>
      <c r="B25" s="1314" t="s">
        <v>127</v>
      </c>
      <c r="C25" s="1330"/>
      <c r="D25" s="1328">
        <v>0</v>
      </c>
      <c r="E25" s="1316">
        <v>496982.99</v>
      </c>
      <c r="F25" s="1322">
        <v>17787786.600000001</v>
      </c>
      <c r="G25" s="1322">
        <v>881</v>
      </c>
      <c r="H25" s="1318">
        <v>0</v>
      </c>
      <c r="I25" s="1318">
        <v>564.11236095346192</v>
      </c>
      <c r="J25" s="1319" t="s">
        <v>21</v>
      </c>
      <c r="K25" s="1314" t="s">
        <v>22</v>
      </c>
      <c r="L25" s="1319" t="s">
        <v>45</v>
      </c>
      <c r="M25" s="1320" t="s">
        <v>38</v>
      </c>
      <c r="N25" s="640" t="s">
        <v>54</v>
      </c>
      <c r="O25" s="642" t="s">
        <v>55</v>
      </c>
      <c r="P25" s="640" t="s">
        <v>128</v>
      </c>
      <c r="Q25" s="640" t="s">
        <v>108</v>
      </c>
      <c r="R25" s="639" t="s">
        <v>43</v>
      </c>
      <c r="S25" s="639" t="s">
        <v>44</v>
      </c>
      <c r="T25" s="638"/>
      <c r="U25" s="647" t="s">
        <v>24</v>
      </c>
    </row>
    <row r="26" spans="1:21" x14ac:dyDescent="0.25">
      <c r="A26" s="644">
        <v>45412</v>
      </c>
      <c r="B26" s="1323" t="s">
        <v>130</v>
      </c>
      <c r="C26" s="1324"/>
      <c r="D26" s="1321">
        <v>3000000</v>
      </c>
      <c r="E26" s="1321">
        <v>0</v>
      </c>
      <c r="F26" s="1322">
        <v>0</v>
      </c>
      <c r="G26" s="1322">
        <v>881</v>
      </c>
      <c r="H26" s="1318">
        <v>3405.2213393870602</v>
      </c>
      <c r="I26" s="1318">
        <v>0</v>
      </c>
      <c r="J26" s="1319" t="s">
        <v>21</v>
      </c>
      <c r="K26" s="1314" t="s">
        <v>26</v>
      </c>
      <c r="L26" s="1319" t="s">
        <v>129</v>
      </c>
      <c r="M26" s="1326" t="s">
        <v>38</v>
      </c>
      <c r="N26" s="646" t="s">
        <v>54</v>
      </c>
      <c r="O26" s="646" t="s">
        <v>111</v>
      </c>
      <c r="P26" s="646" t="s">
        <v>131</v>
      </c>
      <c r="Q26" s="641" t="s">
        <v>132</v>
      </c>
      <c r="R26" s="639"/>
      <c r="S26" s="639" t="s">
        <v>133</v>
      </c>
      <c r="T26" s="641"/>
      <c r="U26" s="647" t="s">
        <v>29</v>
      </c>
    </row>
    <row r="27" spans="1:21" x14ac:dyDescent="0.25">
      <c r="A27" s="644">
        <v>45412</v>
      </c>
      <c r="B27" s="1323" t="s">
        <v>130</v>
      </c>
      <c r="C27" s="1324"/>
      <c r="D27" s="1321">
        <v>3000000</v>
      </c>
      <c r="E27" s="1321">
        <v>0</v>
      </c>
      <c r="F27" s="1322">
        <v>0</v>
      </c>
      <c r="G27" s="1322">
        <v>881</v>
      </c>
      <c r="H27" s="1318">
        <v>3405.2213393870602</v>
      </c>
      <c r="I27" s="1318">
        <v>0</v>
      </c>
      <c r="J27" s="1319" t="s">
        <v>21</v>
      </c>
      <c r="K27" s="1314" t="s">
        <v>26</v>
      </c>
      <c r="L27" s="1319" t="s">
        <v>129</v>
      </c>
      <c r="M27" s="1326" t="s">
        <v>38</v>
      </c>
      <c r="N27" s="646" t="s">
        <v>54</v>
      </c>
      <c r="O27" s="646" t="s">
        <v>111</v>
      </c>
      <c r="P27" s="646" t="s">
        <v>131</v>
      </c>
      <c r="Q27" s="641" t="s">
        <v>132</v>
      </c>
      <c r="R27" s="639"/>
      <c r="S27" s="639" t="s">
        <v>133</v>
      </c>
      <c r="T27" s="641"/>
      <c r="U27" s="647" t="s">
        <v>29</v>
      </c>
    </row>
    <row r="28" spans="1:21" x14ac:dyDescent="0.25">
      <c r="A28" s="644">
        <v>45412</v>
      </c>
      <c r="B28" s="1323" t="s">
        <v>130</v>
      </c>
      <c r="C28" s="1324"/>
      <c r="D28" s="1321">
        <v>1000000</v>
      </c>
      <c r="E28" s="1321">
        <v>0</v>
      </c>
      <c r="F28" s="1322">
        <v>0</v>
      </c>
      <c r="G28" s="1322">
        <v>881</v>
      </c>
      <c r="H28" s="1318">
        <v>1135.0737797956867</v>
      </c>
      <c r="I28" s="1318">
        <v>0</v>
      </c>
      <c r="J28" s="1319" t="s">
        <v>21</v>
      </c>
      <c r="K28" s="1314" t="s">
        <v>26</v>
      </c>
      <c r="L28" s="1319" t="s">
        <v>11</v>
      </c>
      <c r="M28" s="1326" t="s">
        <v>38</v>
      </c>
      <c r="N28" s="646" t="s">
        <v>54</v>
      </c>
      <c r="O28" s="646" t="s">
        <v>111</v>
      </c>
      <c r="P28" s="646" t="s">
        <v>131</v>
      </c>
      <c r="Q28" s="641" t="s">
        <v>132</v>
      </c>
      <c r="R28" s="639"/>
      <c r="S28" s="639" t="s">
        <v>133</v>
      </c>
      <c r="T28" s="641"/>
      <c r="U28" s="647" t="s">
        <v>29</v>
      </c>
    </row>
    <row r="29" spans="1:21" x14ac:dyDescent="0.25">
      <c r="A29" s="644">
        <v>45412</v>
      </c>
      <c r="B29" s="1323" t="s">
        <v>130</v>
      </c>
      <c r="C29" s="1324"/>
      <c r="D29" s="1321">
        <v>3000000</v>
      </c>
      <c r="E29" s="1321">
        <v>0</v>
      </c>
      <c r="F29" s="1322">
        <v>0</v>
      </c>
      <c r="G29" s="1322">
        <v>881</v>
      </c>
      <c r="H29" s="1318">
        <v>3405.2213393870602</v>
      </c>
      <c r="I29" s="1318">
        <v>0</v>
      </c>
      <c r="J29" s="1319" t="s">
        <v>21</v>
      </c>
      <c r="K29" s="1314" t="s">
        <v>26</v>
      </c>
      <c r="L29" s="1319" t="s">
        <v>129</v>
      </c>
      <c r="M29" s="1326" t="s">
        <v>38</v>
      </c>
      <c r="N29" s="646" t="s">
        <v>54</v>
      </c>
      <c r="O29" s="646" t="s">
        <v>111</v>
      </c>
      <c r="P29" s="646" t="s">
        <v>131</v>
      </c>
      <c r="Q29" s="641" t="s">
        <v>132</v>
      </c>
      <c r="R29" s="639"/>
      <c r="S29" s="639" t="s">
        <v>133</v>
      </c>
      <c r="T29" s="641"/>
      <c r="U29" s="647" t="s">
        <v>29</v>
      </c>
    </row>
    <row r="30" spans="1:21" x14ac:dyDescent="0.25">
      <c r="A30" s="637">
        <v>45422</v>
      </c>
      <c r="B30" s="1314" t="s">
        <v>96</v>
      </c>
      <c r="C30" s="1330"/>
      <c r="D30" s="1316">
        <v>454000</v>
      </c>
      <c r="E30" s="1327">
        <v>0</v>
      </c>
      <c r="F30" s="1317">
        <v>719708.74</v>
      </c>
      <c r="G30" s="1317">
        <v>901</v>
      </c>
      <c r="H30" s="1318">
        <v>503.88457269700331</v>
      </c>
      <c r="I30" s="1318">
        <v>0</v>
      </c>
      <c r="J30" s="1319" t="s">
        <v>21</v>
      </c>
      <c r="K30" s="1314" t="s">
        <v>22</v>
      </c>
      <c r="L30" s="1319" t="s">
        <v>45</v>
      </c>
      <c r="M30" s="1320" t="s">
        <v>38</v>
      </c>
      <c r="N30" s="640" t="s">
        <v>54</v>
      </c>
      <c r="O30" s="640" t="s">
        <v>71</v>
      </c>
      <c r="P30" s="640" t="s">
        <v>50</v>
      </c>
      <c r="Q30" s="640" t="s">
        <v>72</v>
      </c>
      <c r="R30" s="639" t="s">
        <v>68</v>
      </c>
      <c r="S30" s="639" t="s">
        <v>59</v>
      </c>
      <c r="T30" s="638"/>
      <c r="U30" s="647" t="s">
        <v>24</v>
      </c>
    </row>
    <row r="31" spans="1:21" x14ac:dyDescent="0.25">
      <c r="A31" s="644">
        <v>45429</v>
      </c>
      <c r="B31" s="1323" t="s">
        <v>25</v>
      </c>
      <c r="C31" s="1332"/>
      <c r="D31" s="1321">
        <v>50000</v>
      </c>
      <c r="E31" s="1333">
        <v>0</v>
      </c>
      <c r="F31" s="1334">
        <v>0</v>
      </c>
      <c r="G31" s="1334">
        <v>901</v>
      </c>
      <c r="H31" s="1318">
        <v>55.493895671476139</v>
      </c>
      <c r="I31" s="1318">
        <v>0</v>
      </c>
      <c r="J31" s="1325" t="s">
        <v>21</v>
      </c>
      <c r="K31" s="1314" t="s">
        <v>26</v>
      </c>
      <c r="L31" s="1319" t="s">
        <v>26</v>
      </c>
      <c r="M31" s="1326" t="s">
        <v>38</v>
      </c>
      <c r="N31" s="646" t="s">
        <v>54</v>
      </c>
      <c r="O31" s="646" t="s">
        <v>111</v>
      </c>
      <c r="P31" s="646" t="s">
        <v>65</v>
      </c>
      <c r="Q31" s="641" t="s">
        <v>122</v>
      </c>
      <c r="R31" s="1121" t="s">
        <v>43</v>
      </c>
      <c r="S31" s="1124" t="s">
        <v>59</v>
      </c>
      <c r="T31" s="641"/>
      <c r="U31" s="647" t="s">
        <v>24</v>
      </c>
    </row>
    <row r="32" spans="1:21" x14ac:dyDescent="0.25">
      <c r="A32" s="644">
        <v>45432</v>
      </c>
      <c r="B32" s="1323" t="s">
        <v>25</v>
      </c>
      <c r="C32" s="1332"/>
      <c r="D32" s="1333">
        <v>0</v>
      </c>
      <c r="E32" s="1333">
        <v>80000</v>
      </c>
      <c r="F32" s="1334">
        <v>0</v>
      </c>
      <c r="G32" s="1334">
        <v>901</v>
      </c>
      <c r="H32" s="1318">
        <v>0</v>
      </c>
      <c r="I32" s="1318">
        <v>88.790233074361822</v>
      </c>
      <c r="J32" s="1325" t="s">
        <v>21</v>
      </c>
      <c r="K32" s="1314" t="s">
        <v>26</v>
      </c>
      <c r="L32" s="1319" t="s">
        <v>26</v>
      </c>
      <c r="M32" s="1326" t="s">
        <v>38</v>
      </c>
      <c r="N32" s="646" t="s">
        <v>39</v>
      </c>
      <c r="O32" s="642" t="s">
        <v>40</v>
      </c>
      <c r="P32" s="640" t="s">
        <v>41</v>
      </c>
      <c r="Q32" s="641" t="s">
        <v>42</v>
      </c>
      <c r="R32" s="1121" t="s">
        <v>43</v>
      </c>
      <c r="S32" s="1121" t="s">
        <v>44</v>
      </c>
      <c r="T32" s="641"/>
      <c r="U32" s="647" t="s">
        <v>24</v>
      </c>
    </row>
    <row r="33" spans="1:21" x14ac:dyDescent="0.25">
      <c r="A33" s="637">
        <v>45433</v>
      </c>
      <c r="B33" s="1314" t="s">
        <v>69</v>
      </c>
      <c r="C33" s="1335" t="s">
        <v>138</v>
      </c>
      <c r="D33" s="1328">
        <v>1439295</v>
      </c>
      <c r="E33" s="1327">
        <v>0</v>
      </c>
      <c r="F33" s="1329">
        <v>-1022945.06</v>
      </c>
      <c r="G33" s="1329">
        <v>901</v>
      </c>
      <c r="H33" s="1318">
        <v>1597.4417314095449</v>
      </c>
      <c r="I33" s="1318">
        <v>0</v>
      </c>
      <c r="J33" s="1319" t="s">
        <v>21</v>
      </c>
      <c r="K33" s="1314" t="s">
        <v>22</v>
      </c>
      <c r="L33" s="1319" t="s">
        <v>45</v>
      </c>
      <c r="M33" s="1320" t="s">
        <v>38</v>
      </c>
      <c r="N33" s="640" t="s">
        <v>54</v>
      </c>
      <c r="O33" s="640" t="s">
        <v>55</v>
      </c>
      <c r="P33" s="640" t="s">
        <v>94</v>
      </c>
      <c r="Q33" s="640" t="s">
        <v>95</v>
      </c>
      <c r="R33" s="1121" t="s">
        <v>139</v>
      </c>
      <c r="S33" s="1121" t="s">
        <v>59</v>
      </c>
      <c r="T33" s="638"/>
      <c r="U33" s="647" t="s">
        <v>24</v>
      </c>
    </row>
    <row r="34" spans="1:21" x14ac:dyDescent="0.25">
      <c r="A34" s="637">
        <v>45435</v>
      </c>
      <c r="B34" s="1314" t="s">
        <v>100</v>
      </c>
      <c r="C34" s="1330" t="s">
        <v>140</v>
      </c>
      <c r="D34" s="1316">
        <v>3620466</v>
      </c>
      <c r="E34" s="1328">
        <v>0</v>
      </c>
      <c r="F34" s="1317">
        <v>-3529072</v>
      </c>
      <c r="G34" s="1317">
        <v>901</v>
      </c>
      <c r="H34" s="1318">
        <v>4018.2752497225306</v>
      </c>
      <c r="I34" s="1318">
        <v>0</v>
      </c>
      <c r="J34" s="1319" t="s">
        <v>21</v>
      </c>
      <c r="K34" s="1314" t="s">
        <v>22</v>
      </c>
      <c r="L34" s="1319" t="s">
        <v>27</v>
      </c>
      <c r="M34" s="1320" t="s">
        <v>38</v>
      </c>
      <c r="N34" s="640" t="s">
        <v>54</v>
      </c>
      <c r="O34" s="642" t="s">
        <v>111</v>
      </c>
      <c r="P34" s="640" t="s">
        <v>112</v>
      </c>
      <c r="Q34" s="638" t="s">
        <v>113</v>
      </c>
      <c r="R34" s="1121" t="s">
        <v>114</v>
      </c>
      <c r="S34" s="1121" t="s">
        <v>59</v>
      </c>
      <c r="T34" s="638"/>
      <c r="U34" s="647" t="s">
        <v>24</v>
      </c>
    </row>
    <row r="35" spans="1:21" x14ac:dyDescent="0.25">
      <c r="A35" s="637">
        <v>45436</v>
      </c>
      <c r="B35" s="1314" t="s">
        <v>109</v>
      </c>
      <c r="C35" s="1330" t="s">
        <v>142</v>
      </c>
      <c r="D35" s="1316">
        <v>6203572.5</v>
      </c>
      <c r="E35" s="1328">
        <v>0</v>
      </c>
      <c r="F35" s="1317">
        <v>-9754367.7400000002</v>
      </c>
      <c r="G35" s="1317">
        <v>901</v>
      </c>
      <c r="H35" s="1318">
        <v>6885.2081021087679</v>
      </c>
      <c r="I35" s="1318">
        <v>0</v>
      </c>
      <c r="J35" s="1319" t="s">
        <v>21</v>
      </c>
      <c r="K35" s="1314" t="s">
        <v>22</v>
      </c>
      <c r="L35" s="1319" t="s">
        <v>27</v>
      </c>
      <c r="M35" s="1320" t="s">
        <v>38</v>
      </c>
      <c r="N35" s="640" t="s">
        <v>54</v>
      </c>
      <c r="O35" s="640" t="s">
        <v>52</v>
      </c>
      <c r="P35" s="640" t="s">
        <v>143</v>
      </c>
      <c r="Q35" s="638" t="s">
        <v>144</v>
      </c>
      <c r="R35" s="639"/>
      <c r="S35" s="639" t="s">
        <v>133</v>
      </c>
      <c r="T35" s="638"/>
      <c r="U35" s="647" t="s">
        <v>29</v>
      </c>
    </row>
    <row r="36" spans="1:21" x14ac:dyDescent="0.25">
      <c r="A36" s="637">
        <v>45439</v>
      </c>
      <c r="B36" s="1314" t="s">
        <v>101</v>
      </c>
      <c r="C36" s="1330" t="s">
        <v>145</v>
      </c>
      <c r="D36" s="1316">
        <v>6203572.5</v>
      </c>
      <c r="E36" s="1328">
        <v>0</v>
      </c>
      <c r="F36" s="1317">
        <v>-6226541.6799999997</v>
      </c>
      <c r="G36" s="1317">
        <v>901</v>
      </c>
      <c r="H36" s="1318">
        <v>6885.2081021087679</v>
      </c>
      <c r="I36" s="1318">
        <v>0</v>
      </c>
      <c r="J36" s="1319" t="s">
        <v>21</v>
      </c>
      <c r="K36" s="1314" t="s">
        <v>22</v>
      </c>
      <c r="L36" s="1319" t="s">
        <v>27</v>
      </c>
      <c r="M36" s="1320" t="s">
        <v>38</v>
      </c>
      <c r="N36" s="640" t="s">
        <v>54</v>
      </c>
      <c r="O36" s="640" t="s">
        <v>52</v>
      </c>
      <c r="P36" s="640" t="s">
        <v>143</v>
      </c>
      <c r="Q36" s="638" t="s">
        <v>144</v>
      </c>
      <c r="R36" s="638" t="s">
        <v>146</v>
      </c>
      <c r="S36" s="639" t="s">
        <v>133</v>
      </c>
      <c r="T36" s="638"/>
      <c r="U36" s="647" t="s">
        <v>29</v>
      </c>
    </row>
    <row r="37" spans="1:21" x14ac:dyDescent="0.25">
      <c r="A37" s="637">
        <v>45440</v>
      </c>
      <c r="B37" s="1314" t="s">
        <v>101</v>
      </c>
      <c r="C37" s="1330" t="s">
        <v>147</v>
      </c>
      <c r="D37" s="1316">
        <v>6203572.5</v>
      </c>
      <c r="E37" s="1328">
        <v>0</v>
      </c>
      <c r="F37" s="1317">
        <v>0</v>
      </c>
      <c r="G37" s="1317">
        <v>901</v>
      </c>
      <c r="H37" s="1318">
        <v>6885.2081021087679</v>
      </c>
      <c r="I37" s="1318">
        <v>0</v>
      </c>
      <c r="J37" s="1325" t="s">
        <v>21</v>
      </c>
      <c r="K37" s="1314" t="s">
        <v>22</v>
      </c>
      <c r="L37" s="1319" t="s">
        <v>27</v>
      </c>
      <c r="M37" s="1320" t="s">
        <v>38</v>
      </c>
      <c r="N37" s="640" t="s">
        <v>54</v>
      </c>
      <c r="O37" s="640" t="s">
        <v>52</v>
      </c>
      <c r="P37" s="640" t="s">
        <v>143</v>
      </c>
      <c r="Q37" s="638" t="s">
        <v>144</v>
      </c>
      <c r="R37" s="638"/>
      <c r="S37" s="639" t="s">
        <v>133</v>
      </c>
      <c r="T37" s="638"/>
      <c r="U37" s="647" t="s">
        <v>29</v>
      </c>
    </row>
    <row r="38" spans="1:21" x14ac:dyDescent="0.25">
      <c r="A38" s="637">
        <v>45440</v>
      </c>
      <c r="B38" s="1314" t="s">
        <v>109</v>
      </c>
      <c r="C38" s="1330" t="s">
        <v>148</v>
      </c>
      <c r="D38" s="1316">
        <v>6203572.5</v>
      </c>
      <c r="E38" s="1328">
        <v>0</v>
      </c>
      <c r="F38" s="1317">
        <v>0</v>
      </c>
      <c r="G38" s="1317">
        <v>901</v>
      </c>
      <c r="H38" s="1318">
        <v>6885.2081021087679</v>
      </c>
      <c r="I38" s="1318">
        <v>0</v>
      </c>
      <c r="J38" s="1325" t="s">
        <v>21</v>
      </c>
      <c r="K38" s="1314" t="s">
        <v>22</v>
      </c>
      <c r="L38" s="1319" t="s">
        <v>27</v>
      </c>
      <c r="M38" s="1320" t="s">
        <v>38</v>
      </c>
      <c r="N38" s="640" t="s">
        <v>54</v>
      </c>
      <c r="O38" s="640" t="s">
        <v>52</v>
      </c>
      <c r="P38" s="640" t="s">
        <v>143</v>
      </c>
      <c r="Q38" s="638" t="s">
        <v>144</v>
      </c>
      <c r="R38" s="638"/>
      <c r="S38" s="639" t="s">
        <v>133</v>
      </c>
      <c r="T38" s="638"/>
      <c r="U38" s="647" t="s">
        <v>29</v>
      </c>
    </row>
    <row r="39" spans="1:21" x14ac:dyDescent="0.25">
      <c r="A39" s="637">
        <v>45440</v>
      </c>
      <c r="B39" s="1314" t="s">
        <v>69</v>
      </c>
      <c r="C39" s="1335" t="s">
        <v>149</v>
      </c>
      <c r="D39" s="1336">
        <v>1447705</v>
      </c>
      <c r="E39" s="1337">
        <v>0</v>
      </c>
      <c r="F39" s="1338">
        <v>-1017691.46</v>
      </c>
      <c r="G39" s="1338">
        <v>901</v>
      </c>
      <c r="H39" s="1318">
        <v>1606.7758046614872</v>
      </c>
      <c r="I39" s="1318">
        <v>0</v>
      </c>
      <c r="J39" s="1319" t="s">
        <v>21</v>
      </c>
      <c r="K39" s="1314" t="s">
        <v>22</v>
      </c>
      <c r="L39" s="1319" t="s">
        <v>45</v>
      </c>
      <c r="M39" s="1320" t="s">
        <v>38</v>
      </c>
      <c r="N39" s="640" t="s">
        <v>39</v>
      </c>
      <c r="O39" s="640" t="s">
        <v>40</v>
      </c>
      <c r="P39" s="640" t="s">
        <v>103</v>
      </c>
      <c r="Q39" s="640" t="s">
        <v>104</v>
      </c>
      <c r="R39" s="1122" t="s">
        <v>105</v>
      </c>
      <c r="S39" s="1122" t="s">
        <v>59</v>
      </c>
      <c r="T39" s="638"/>
      <c r="U39" s="647" t="s">
        <v>24</v>
      </c>
    </row>
    <row r="40" spans="1:21" x14ac:dyDescent="0.25">
      <c r="A40" s="637">
        <v>45441</v>
      </c>
      <c r="B40" s="1314" t="s">
        <v>69</v>
      </c>
      <c r="C40" s="1335" t="s">
        <v>150</v>
      </c>
      <c r="D40" s="1336">
        <v>725000</v>
      </c>
      <c r="E40" s="1337">
        <v>0</v>
      </c>
      <c r="F40" s="1338">
        <v>-3645732.01</v>
      </c>
      <c r="G40" s="1338">
        <v>901</v>
      </c>
      <c r="H40" s="1318">
        <v>804.66148723640401</v>
      </c>
      <c r="I40" s="1318">
        <v>0</v>
      </c>
      <c r="J40" s="1319" t="s">
        <v>21</v>
      </c>
      <c r="K40" s="1314" t="s">
        <v>22</v>
      </c>
      <c r="L40" s="1319" t="s">
        <v>45</v>
      </c>
      <c r="M40" s="1320" t="s">
        <v>38</v>
      </c>
      <c r="N40" s="640" t="s">
        <v>39</v>
      </c>
      <c r="O40" s="640" t="s">
        <v>64</v>
      </c>
      <c r="P40" s="640" t="s">
        <v>56</v>
      </c>
      <c r="Q40" s="640" t="s">
        <v>151</v>
      </c>
      <c r="R40" s="1121" t="s">
        <v>152</v>
      </c>
      <c r="S40" s="1121" t="s">
        <v>59</v>
      </c>
      <c r="T40" s="638"/>
      <c r="U40" s="647" t="s">
        <v>24</v>
      </c>
    </row>
    <row r="41" spans="1:21" x14ac:dyDescent="0.25">
      <c r="A41" s="637">
        <v>45441</v>
      </c>
      <c r="B41" s="1314" t="s">
        <v>69</v>
      </c>
      <c r="C41" s="1335" t="s">
        <v>153</v>
      </c>
      <c r="D41" s="1336">
        <v>1250000</v>
      </c>
      <c r="E41" s="1337">
        <v>0</v>
      </c>
      <c r="F41" s="1338">
        <v>-4895732.01</v>
      </c>
      <c r="G41" s="1338">
        <v>901</v>
      </c>
      <c r="H41" s="1318">
        <v>1387.3473917869035</v>
      </c>
      <c r="I41" s="1318">
        <v>0</v>
      </c>
      <c r="J41" s="1319" t="s">
        <v>21</v>
      </c>
      <c r="K41" s="1314" t="s">
        <v>22</v>
      </c>
      <c r="L41" s="1319" t="s">
        <v>45</v>
      </c>
      <c r="M41" s="1320" t="s">
        <v>38</v>
      </c>
      <c r="N41" s="640" t="s">
        <v>54</v>
      </c>
      <c r="O41" s="640" t="s">
        <v>55</v>
      </c>
      <c r="P41" s="640" t="s">
        <v>154</v>
      </c>
      <c r="Q41" s="640" t="s">
        <v>155</v>
      </c>
      <c r="R41" s="1123" t="s">
        <v>156</v>
      </c>
      <c r="S41" s="1123" t="s">
        <v>59</v>
      </c>
      <c r="T41" s="638"/>
      <c r="U41" s="647" t="s">
        <v>24</v>
      </c>
    </row>
    <row r="42" spans="1:21" x14ac:dyDescent="0.25">
      <c r="A42" s="637">
        <v>45447</v>
      </c>
      <c r="B42" s="1314" t="s">
        <v>96</v>
      </c>
      <c r="C42" s="1335"/>
      <c r="D42" s="1336">
        <v>129600</v>
      </c>
      <c r="E42" s="1337">
        <v>0</v>
      </c>
      <c r="F42" s="1338">
        <v>-2852150.11</v>
      </c>
      <c r="G42" s="1338">
        <v>938</v>
      </c>
      <c r="H42" s="1318">
        <v>138.16631130063965</v>
      </c>
      <c r="I42" s="1318">
        <v>0</v>
      </c>
      <c r="J42" s="1319" t="s">
        <v>21</v>
      </c>
      <c r="K42" s="1314" t="s">
        <v>22</v>
      </c>
      <c r="L42" s="1319" t="s">
        <v>45</v>
      </c>
      <c r="M42" s="1320" t="s">
        <v>38</v>
      </c>
      <c r="N42" s="640" t="s">
        <v>54</v>
      </c>
      <c r="O42" s="640" t="s">
        <v>158</v>
      </c>
      <c r="P42" s="640"/>
      <c r="Q42" s="640" t="s">
        <v>159</v>
      </c>
      <c r="R42" s="1123" t="s">
        <v>160</v>
      </c>
      <c r="S42" s="1123" t="s">
        <v>59</v>
      </c>
      <c r="T42" s="638"/>
      <c r="U42" s="647" t="s">
        <v>24</v>
      </c>
    </row>
    <row r="43" spans="1:21" x14ac:dyDescent="0.25">
      <c r="A43" s="637">
        <v>45448</v>
      </c>
      <c r="B43" s="1314" t="s">
        <v>161</v>
      </c>
      <c r="C43" s="1330"/>
      <c r="D43" s="1316">
        <v>0</v>
      </c>
      <c r="E43" s="1328">
        <v>481991.39</v>
      </c>
      <c r="F43" s="1317">
        <v>-957265</v>
      </c>
      <c r="G43" s="1317">
        <v>921</v>
      </c>
      <c r="H43" s="1318">
        <v>0</v>
      </c>
      <c r="I43" s="1318">
        <v>523.33484256243219</v>
      </c>
      <c r="J43" s="1319" t="s">
        <v>21</v>
      </c>
      <c r="K43" s="1314" t="s">
        <v>22</v>
      </c>
      <c r="L43" s="1319" t="s">
        <v>27</v>
      </c>
      <c r="M43" s="1320" t="s">
        <v>38</v>
      </c>
      <c r="N43" s="640" t="s">
        <v>54</v>
      </c>
      <c r="O43" s="640" t="s">
        <v>55</v>
      </c>
      <c r="P43" s="640" t="s">
        <v>128</v>
      </c>
      <c r="Q43" s="638" t="s">
        <v>108</v>
      </c>
      <c r="R43" s="638"/>
      <c r="S43" s="639" t="s">
        <v>84</v>
      </c>
      <c r="T43" s="638"/>
      <c r="U43" s="647" t="s">
        <v>24</v>
      </c>
    </row>
    <row r="44" spans="1:21" x14ac:dyDescent="0.25">
      <c r="A44" s="637">
        <v>45450</v>
      </c>
      <c r="B44" s="1314" t="s">
        <v>69</v>
      </c>
      <c r="C44" s="1336" t="s">
        <v>162</v>
      </c>
      <c r="D44" s="1316">
        <v>1250000</v>
      </c>
      <c r="E44" s="1316">
        <v>0</v>
      </c>
      <c r="F44" s="1329">
        <v>-4232181.1100000003</v>
      </c>
      <c r="G44" s="1329">
        <v>938</v>
      </c>
      <c r="H44" s="1318">
        <v>1332.6226012793177</v>
      </c>
      <c r="I44" s="1318">
        <v>0</v>
      </c>
      <c r="J44" s="1319" t="s">
        <v>21</v>
      </c>
      <c r="K44" s="1314" t="s">
        <v>22</v>
      </c>
      <c r="L44" s="1319" t="s">
        <v>45</v>
      </c>
      <c r="M44" s="1320" t="s">
        <v>38</v>
      </c>
      <c r="N44" s="640" t="s">
        <v>54</v>
      </c>
      <c r="O44" s="640" t="s">
        <v>55</v>
      </c>
      <c r="P44" s="640" t="s">
        <v>154</v>
      </c>
      <c r="Q44" s="640" t="s">
        <v>155</v>
      </c>
      <c r="R44" s="1339" t="s">
        <v>156</v>
      </c>
      <c r="S44" s="1123" t="s">
        <v>59</v>
      </c>
      <c r="T44" s="638"/>
      <c r="U44" s="647" t="s">
        <v>24</v>
      </c>
    </row>
    <row r="45" spans="1:21" x14ac:dyDescent="0.25">
      <c r="A45" s="637">
        <v>45453</v>
      </c>
      <c r="B45" s="1314" t="s">
        <v>69</v>
      </c>
      <c r="C45" s="1316" t="s">
        <v>163</v>
      </c>
      <c r="D45" s="1316">
        <v>500000</v>
      </c>
      <c r="E45" s="1327">
        <v>0</v>
      </c>
      <c r="F45" s="1317">
        <v>-4294239.3499999996</v>
      </c>
      <c r="G45" s="1317">
        <v>938</v>
      </c>
      <c r="H45" s="1318">
        <v>533.04904051172707</v>
      </c>
      <c r="I45" s="1318">
        <v>0</v>
      </c>
      <c r="J45" s="1319" t="s">
        <v>21</v>
      </c>
      <c r="K45" s="1314" t="s">
        <v>22</v>
      </c>
      <c r="L45" s="1319" t="s">
        <v>45</v>
      </c>
      <c r="M45" s="1320" t="s">
        <v>38</v>
      </c>
      <c r="N45" s="640" t="s">
        <v>54</v>
      </c>
      <c r="O45" s="640" t="s">
        <v>55</v>
      </c>
      <c r="P45" s="640" t="s">
        <v>94</v>
      </c>
      <c r="Q45" s="640" t="s">
        <v>164</v>
      </c>
      <c r="R45" s="1123" t="s">
        <v>165</v>
      </c>
      <c r="S45" s="1123" t="s">
        <v>59</v>
      </c>
      <c r="T45" s="638"/>
      <c r="U45" s="647" t="s">
        <v>24</v>
      </c>
    </row>
    <row r="46" spans="1:21" x14ac:dyDescent="0.25">
      <c r="A46" s="637">
        <v>45455</v>
      </c>
      <c r="B46" s="1314" t="s">
        <v>69</v>
      </c>
      <c r="C46" s="1316" t="s">
        <v>167</v>
      </c>
      <c r="D46" s="1327">
        <v>725420.79</v>
      </c>
      <c r="E46" s="1327">
        <v>0</v>
      </c>
      <c r="F46" s="1317">
        <v>-3635980.14</v>
      </c>
      <c r="G46" s="1317">
        <v>938</v>
      </c>
      <c r="H46" s="1318">
        <v>773.36971215351821</v>
      </c>
      <c r="I46" s="1318">
        <v>0</v>
      </c>
      <c r="J46" s="1319" t="s">
        <v>21</v>
      </c>
      <c r="K46" s="1314" t="s">
        <v>22</v>
      </c>
      <c r="L46" s="1319" t="s">
        <v>45</v>
      </c>
      <c r="M46" s="1320" t="s">
        <v>38</v>
      </c>
      <c r="N46" s="640" t="s">
        <v>54</v>
      </c>
      <c r="O46" s="640" t="s">
        <v>64</v>
      </c>
      <c r="P46" s="640" t="s">
        <v>56</v>
      </c>
      <c r="Q46" s="640" t="s">
        <v>151</v>
      </c>
      <c r="R46" s="1121" t="s">
        <v>152</v>
      </c>
      <c r="S46" s="1123" t="s">
        <v>59</v>
      </c>
      <c r="T46" s="638"/>
      <c r="U46" s="647" t="s">
        <v>24</v>
      </c>
    </row>
    <row r="47" spans="1:21" x14ac:dyDescent="0.25">
      <c r="A47" s="637">
        <v>45457</v>
      </c>
      <c r="B47" s="1314" t="s">
        <v>69</v>
      </c>
      <c r="C47" s="1316" t="s">
        <v>168</v>
      </c>
      <c r="D47" s="1327">
        <v>438891.8</v>
      </c>
      <c r="E47" s="1327">
        <v>0</v>
      </c>
      <c r="F47" s="1317">
        <v>-3553822.42</v>
      </c>
      <c r="G47" s="1317">
        <v>938</v>
      </c>
      <c r="H47" s="1318">
        <v>467.90170575692963</v>
      </c>
      <c r="I47" s="1318">
        <v>0</v>
      </c>
      <c r="J47" s="1319" t="s">
        <v>21</v>
      </c>
      <c r="K47" s="1314" t="s">
        <v>22</v>
      </c>
      <c r="L47" s="1319" t="s">
        <v>45</v>
      </c>
      <c r="M47" s="1320" t="s">
        <v>38</v>
      </c>
      <c r="N47" s="640" t="s">
        <v>54</v>
      </c>
      <c r="O47" s="640" t="s">
        <v>55</v>
      </c>
      <c r="P47" s="640" t="s">
        <v>94</v>
      </c>
      <c r="Q47" s="640" t="s">
        <v>164</v>
      </c>
      <c r="R47" s="638" t="s">
        <v>165</v>
      </c>
      <c r="S47" s="639" t="s">
        <v>59</v>
      </c>
      <c r="T47" s="638"/>
      <c r="U47" s="647" t="s">
        <v>24</v>
      </c>
    </row>
    <row r="48" spans="1:21" x14ac:dyDescent="0.25">
      <c r="A48" s="637">
        <v>45468</v>
      </c>
      <c r="B48" s="1314" t="s">
        <v>101</v>
      </c>
      <c r="C48" s="1314" t="s">
        <v>169</v>
      </c>
      <c r="D48" s="1316">
        <v>3620466</v>
      </c>
      <c r="E48" s="1316">
        <v>0</v>
      </c>
      <c r="F48" s="1317">
        <v>-7241095</v>
      </c>
      <c r="G48" s="1317">
        <v>921</v>
      </c>
      <c r="H48" s="1318">
        <v>3931.0162866449509</v>
      </c>
      <c r="I48" s="1318">
        <v>0</v>
      </c>
      <c r="J48" s="1319" t="s">
        <v>21</v>
      </c>
      <c r="K48" s="1314" t="s">
        <v>22</v>
      </c>
      <c r="L48" s="1319" t="s">
        <v>27</v>
      </c>
      <c r="M48" s="1320" t="s">
        <v>38</v>
      </c>
      <c r="N48" s="640" t="s">
        <v>54</v>
      </c>
      <c r="O48" s="642" t="s">
        <v>111</v>
      </c>
      <c r="P48" s="640" t="s">
        <v>112</v>
      </c>
      <c r="Q48" s="638" t="s">
        <v>113</v>
      </c>
      <c r="R48" s="639" t="s">
        <v>114</v>
      </c>
      <c r="S48" s="639" t="s">
        <v>59</v>
      </c>
      <c r="T48" s="638"/>
      <c r="U48" s="647" t="s">
        <v>24</v>
      </c>
    </row>
    <row r="49" spans="1:21" x14ac:dyDescent="0.25">
      <c r="A49" s="637">
        <v>45468</v>
      </c>
      <c r="B49" s="1314" t="s">
        <v>161</v>
      </c>
      <c r="C49" s="1314"/>
      <c r="D49" s="1316">
        <v>0</v>
      </c>
      <c r="E49" s="1316">
        <v>2000000</v>
      </c>
      <c r="F49" s="1317">
        <v>-5241095</v>
      </c>
      <c r="G49" s="1317">
        <v>921</v>
      </c>
      <c r="H49" s="1318">
        <v>0</v>
      </c>
      <c r="I49" s="1318">
        <v>2171.5526601520087</v>
      </c>
      <c r="J49" s="1319" t="s">
        <v>21</v>
      </c>
      <c r="K49" s="1314" t="s">
        <v>22</v>
      </c>
      <c r="L49" s="1319" t="s">
        <v>27</v>
      </c>
      <c r="M49" s="1320" t="s">
        <v>38</v>
      </c>
      <c r="N49" s="640" t="s">
        <v>54</v>
      </c>
      <c r="O49" s="640" t="s">
        <v>55</v>
      </c>
      <c r="P49" s="638" t="s">
        <v>170</v>
      </c>
      <c r="Q49" s="638" t="s">
        <v>108</v>
      </c>
      <c r="R49" s="638"/>
      <c r="S49" s="639" t="s">
        <v>84</v>
      </c>
      <c r="T49" s="638"/>
      <c r="U49" s="647" t="s">
        <v>24</v>
      </c>
    </row>
    <row r="50" spans="1:21" x14ac:dyDescent="0.25">
      <c r="A50" s="637">
        <v>45468</v>
      </c>
      <c r="B50" s="1314" t="s">
        <v>76</v>
      </c>
      <c r="C50" s="1340" t="s">
        <v>172</v>
      </c>
      <c r="D50" s="1316">
        <v>500000</v>
      </c>
      <c r="E50" s="1316">
        <v>0</v>
      </c>
      <c r="F50" s="1341">
        <v>-4785864.16</v>
      </c>
      <c r="G50" s="1341">
        <v>938</v>
      </c>
      <c r="H50" s="1318">
        <v>533.04904051172707</v>
      </c>
      <c r="I50" s="1318">
        <v>0</v>
      </c>
      <c r="J50" s="1319" t="s">
        <v>21</v>
      </c>
      <c r="K50" s="1314" t="s">
        <v>22</v>
      </c>
      <c r="L50" s="1319" t="s">
        <v>45</v>
      </c>
      <c r="M50" s="1320" t="s">
        <v>38</v>
      </c>
      <c r="N50" s="640" t="s">
        <v>54</v>
      </c>
      <c r="O50" s="640" t="s">
        <v>55</v>
      </c>
      <c r="P50" s="640" t="s">
        <v>173</v>
      </c>
      <c r="Q50" s="640" t="s">
        <v>174</v>
      </c>
      <c r="R50" s="1121" t="s">
        <v>43</v>
      </c>
      <c r="S50" s="1121" t="s">
        <v>44</v>
      </c>
      <c r="T50" s="638"/>
      <c r="U50" s="647" t="s">
        <v>24</v>
      </c>
    </row>
    <row r="51" spans="1:21" x14ac:dyDescent="0.25">
      <c r="A51" s="637">
        <v>45468</v>
      </c>
      <c r="B51" s="1314" t="s">
        <v>106</v>
      </c>
      <c r="C51" s="1340"/>
      <c r="D51" s="1316">
        <v>0</v>
      </c>
      <c r="E51" s="1316">
        <v>7000000</v>
      </c>
      <c r="F51" s="1341">
        <v>2214135.84</v>
      </c>
      <c r="G51" s="1341">
        <v>938</v>
      </c>
      <c r="H51" s="1318">
        <v>0</v>
      </c>
      <c r="I51" s="1318">
        <v>7462.686567164179</v>
      </c>
      <c r="J51" s="1319" t="s">
        <v>21</v>
      </c>
      <c r="K51" s="1314" t="s">
        <v>22</v>
      </c>
      <c r="L51" s="1319" t="s">
        <v>45</v>
      </c>
      <c r="M51" s="1320" t="s">
        <v>38</v>
      </c>
      <c r="N51" s="640" t="s">
        <v>54</v>
      </c>
      <c r="O51" s="640" t="s">
        <v>55</v>
      </c>
      <c r="P51" s="638" t="s">
        <v>170</v>
      </c>
      <c r="Q51" s="640" t="s">
        <v>108</v>
      </c>
      <c r="R51" s="1121"/>
      <c r="S51" s="1121" t="s">
        <v>84</v>
      </c>
      <c r="T51" s="638"/>
      <c r="U51" s="647" t="s">
        <v>24</v>
      </c>
    </row>
    <row r="52" spans="1:21" x14ac:dyDescent="0.25">
      <c r="A52" s="637">
        <v>45468</v>
      </c>
      <c r="B52" s="1314" t="s">
        <v>115</v>
      </c>
      <c r="C52" s="1340"/>
      <c r="D52" s="1316">
        <v>0</v>
      </c>
      <c r="E52" s="1316">
        <v>7762071.9500000002</v>
      </c>
      <c r="F52" s="1341">
        <v>4826086.79</v>
      </c>
      <c r="G52" s="1341">
        <v>938</v>
      </c>
      <c r="H52" s="1318">
        <v>0</v>
      </c>
      <c r="I52" s="1318">
        <v>8275.1300106609815</v>
      </c>
      <c r="J52" s="1319" t="s">
        <v>21</v>
      </c>
      <c r="K52" s="1314" t="s">
        <v>22</v>
      </c>
      <c r="L52" s="1319" t="s">
        <v>45</v>
      </c>
      <c r="M52" s="1320" t="s">
        <v>38</v>
      </c>
      <c r="N52" s="640" t="s">
        <v>54</v>
      </c>
      <c r="O52" s="640" t="s">
        <v>55</v>
      </c>
      <c r="P52" s="638" t="s">
        <v>170</v>
      </c>
      <c r="Q52" s="640" t="s">
        <v>108</v>
      </c>
      <c r="R52" s="1121"/>
      <c r="S52" s="1121" t="s">
        <v>84</v>
      </c>
      <c r="T52" s="638"/>
      <c r="U52" s="647" t="s">
        <v>24</v>
      </c>
    </row>
    <row r="53" spans="1:21" x14ac:dyDescent="0.25">
      <c r="A53" s="637">
        <v>45470</v>
      </c>
      <c r="B53" s="1314" t="s">
        <v>96</v>
      </c>
      <c r="C53" s="1340"/>
      <c r="D53" s="1316">
        <v>936540</v>
      </c>
      <c r="E53" s="1316">
        <v>0</v>
      </c>
      <c r="F53" s="1341">
        <v>35097994.840000004</v>
      </c>
      <c r="G53" s="1341">
        <v>938</v>
      </c>
      <c r="H53" s="1318">
        <v>998.44349680170581</v>
      </c>
      <c r="I53" s="1318">
        <v>0</v>
      </c>
      <c r="J53" s="1319" t="s">
        <v>21</v>
      </c>
      <c r="K53" s="1314" t="s">
        <v>22</v>
      </c>
      <c r="L53" s="1319" t="s">
        <v>45</v>
      </c>
      <c r="M53" s="1320" t="s">
        <v>38</v>
      </c>
      <c r="N53" s="640" t="s">
        <v>54</v>
      </c>
      <c r="O53" s="640" t="s">
        <v>71</v>
      </c>
      <c r="P53" s="640" t="s">
        <v>50</v>
      </c>
      <c r="Q53" s="640" t="s">
        <v>72</v>
      </c>
      <c r="R53" s="1121" t="s">
        <v>175</v>
      </c>
      <c r="S53" s="1121" t="s">
        <v>59</v>
      </c>
      <c r="T53" s="638"/>
      <c r="U53" s="647" t="s">
        <v>24</v>
      </c>
    </row>
    <row r="54" spans="1:21" x14ac:dyDescent="0.25">
      <c r="A54" s="637">
        <v>45470</v>
      </c>
      <c r="B54" s="1314" t="s">
        <v>96</v>
      </c>
      <c r="C54" s="1340"/>
      <c r="D54" s="1316">
        <v>2566769.83</v>
      </c>
      <c r="E54" s="1316">
        <v>0</v>
      </c>
      <c r="F54" s="1341">
        <v>30058212.010000002</v>
      </c>
      <c r="G54" s="1341">
        <v>938</v>
      </c>
      <c r="H54" s="1318">
        <v>2736.428390191898</v>
      </c>
      <c r="I54" s="1318">
        <v>0</v>
      </c>
      <c r="J54" s="1319" t="s">
        <v>21</v>
      </c>
      <c r="K54" s="1314" t="s">
        <v>22</v>
      </c>
      <c r="L54" s="1319" t="s">
        <v>45</v>
      </c>
      <c r="M54" s="1320" t="s">
        <v>38</v>
      </c>
      <c r="N54" s="640" t="s">
        <v>54</v>
      </c>
      <c r="O54" s="640" t="s">
        <v>55</v>
      </c>
      <c r="P54" s="640" t="s">
        <v>154</v>
      </c>
      <c r="Q54" s="640" t="s">
        <v>176</v>
      </c>
      <c r="R54" s="1121"/>
      <c r="S54" s="1121" t="s">
        <v>59</v>
      </c>
      <c r="T54" s="638"/>
      <c r="U54" s="647" t="s">
        <v>24</v>
      </c>
    </row>
    <row r="55" spans="1:21" x14ac:dyDescent="0.25">
      <c r="A55" s="637">
        <v>45471</v>
      </c>
      <c r="B55" s="1314" t="s">
        <v>69</v>
      </c>
      <c r="C55" s="1340" t="s">
        <v>177</v>
      </c>
      <c r="D55" s="1316">
        <v>2300000</v>
      </c>
      <c r="E55" s="1316">
        <v>0</v>
      </c>
      <c r="F55" s="1341">
        <v>27685963.670000002</v>
      </c>
      <c r="G55" s="1341">
        <v>938</v>
      </c>
      <c r="H55" s="1318">
        <v>2452.0255863539446</v>
      </c>
      <c r="I55" s="1318">
        <v>0</v>
      </c>
      <c r="J55" s="1319" t="s">
        <v>21</v>
      </c>
      <c r="K55" s="1314" t="s">
        <v>22</v>
      </c>
      <c r="L55" s="1319" t="s">
        <v>45</v>
      </c>
      <c r="M55" s="1320" t="s">
        <v>38</v>
      </c>
      <c r="N55" s="640" t="s">
        <v>54</v>
      </c>
      <c r="O55" s="640" t="s">
        <v>111</v>
      </c>
      <c r="P55" s="640" t="s">
        <v>56</v>
      </c>
      <c r="Q55" s="640" t="s">
        <v>178</v>
      </c>
      <c r="R55" s="1121" t="s">
        <v>179</v>
      </c>
      <c r="S55" s="1121" t="s">
        <v>59</v>
      </c>
      <c r="T55" s="638"/>
      <c r="U55" s="647" t="s">
        <v>24</v>
      </c>
    </row>
    <row r="56" spans="1:21" x14ac:dyDescent="0.25">
      <c r="A56" s="637">
        <v>45474</v>
      </c>
      <c r="B56" s="1314" t="s">
        <v>96</v>
      </c>
      <c r="C56" s="1315"/>
      <c r="D56" s="1316">
        <v>10000000</v>
      </c>
      <c r="E56" s="1316">
        <v>0</v>
      </c>
      <c r="F56" s="1317">
        <v>55546497.140000001</v>
      </c>
      <c r="G56" s="1317">
        <v>938</v>
      </c>
      <c r="H56" s="1318">
        <v>10660.980810234541</v>
      </c>
      <c r="I56" s="1318">
        <v>0</v>
      </c>
      <c r="J56" s="1319" t="s">
        <v>21</v>
      </c>
      <c r="K56" s="1320" t="s">
        <v>22</v>
      </c>
      <c r="L56" s="1319" t="s">
        <v>45</v>
      </c>
      <c r="M56" s="1320" t="s">
        <v>38</v>
      </c>
      <c r="N56" s="640" t="s">
        <v>54</v>
      </c>
      <c r="O56" s="642" t="s">
        <v>55</v>
      </c>
      <c r="P56" s="640" t="s">
        <v>180</v>
      </c>
      <c r="Q56" s="638" t="s">
        <v>181</v>
      </c>
      <c r="R56" s="639"/>
      <c r="S56" s="639" t="s">
        <v>182</v>
      </c>
      <c r="T56" s="638"/>
      <c r="U56" s="647" t="s">
        <v>24</v>
      </c>
    </row>
    <row r="57" spans="1:21" x14ac:dyDescent="0.25">
      <c r="A57" s="637">
        <v>45474</v>
      </c>
      <c r="B57" s="1314" t="s">
        <v>96</v>
      </c>
      <c r="C57" s="1315"/>
      <c r="D57" s="1316">
        <v>10000000</v>
      </c>
      <c r="E57" s="1316">
        <v>0</v>
      </c>
      <c r="F57" s="1317">
        <v>45546376.140000001</v>
      </c>
      <c r="G57" s="1317">
        <v>938</v>
      </c>
      <c r="H57" s="1318">
        <v>10660.980810234541</v>
      </c>
      <c r="I57" s="1318">
        <v>0</v>
      </c>
      <c r="J57" s="1319" t="s">
        <v>21</v>
      </c>
      <c r="K57" s="1320" t="s">
        <v>22</v>
      </c>
      <c r="L57" s="1319" t="s">
        <v>45</v>
      </c>
      <c r="M57" s="1320" t="s">
        <v>38</v>
      </c>
      <c r="N57" s="640" t="s">
        <v>54</v>
      </c>
      <c r="O57" s="642" t="s">
        <v>111</v>
      </c>
      <c r="P57" s="640" t="s">
        <v>131</v>
      </c>
      <c r="Q57" s="638" t="s">
        <v>183</v>
      </c>
      <c r="R57" s="639"/>
      <c r="S57" s="639" t="s">
        <v>133</v>
      </c>
      <c r="T57" s="638"/>
      <c r="U57" s="647" t="s">
        <v>29</v>
      </c>
    </row>
    <row r="58" spans="1:21" x14ac:dyDescent="0.25">
      <c r="A58" s="637">
        <v>45475</v>
      </c>
      <c r="B58" s="1314" t="s">
        <v>161</v>
      </c>
      <c r="C58" s="1315"/>
      <c r="D58" s="1316">
        <v>0</v>
      </c>
      <c r="E58" s="1316">
        <v>7000000</v>
      </c>
      <c r="F58" s="1317">
        <v>7006831.46</v>
      </c>
      <c r="G58" s="1317">
        <v>938</v>
      </c>
      <c r="H58" s="1318">
        <v>0</v>
      </c>
      <c r="I58" s="1318">
        <v>7462.686567164179</v>
      </c>
      <c r="J58" s="1319" t="s">
        <v>21</v>
      </c>
      <c r="K58" s="1320" t="s">
        <v>22</v>
      </c>
      <c r="L58" s="1319" t="s">
        <v>27</v>
      </c>
      <c r="M58" s="1320" t="s">
        <v>38</v>
      </c>
      <c r="N58" s="640" t="s">
        <v>54</v>
      </c>
      <c r="O58" s="642" t="s">
        <v>55</v>
      </c>
      <c r="P58" s="640" t="s">
        <v>184</v>
      </c>
      <c r="Q58" s="638" t="s">
        <v>108</v>
      </c>
      <c r="R58" s="639"/>
      <c r="S58" s="639" t="s">
        <v>84</v>
      </c>
      <c r="T58" s="638"/>
      <c r="U58" s="647" t="s">
        <v>24</v>
      </c>
    </row>
    <row r="59" spans="1:21" x14ac:dyDescent="0.25">
      <c r="A59" s="637">
        <v>45475</v>
      </c>
      <c r="B59" s="1314" t="s">
        <v>106</v>
      </c>
      <c r="C59" s="1315"/>
      <c r="D59" s="1316">
        <v>0</v>
      </c>
      <c r="E59" s="1316">
        <v>16757281.539999999</v>
      </c>
      <c r="F59" s="1317">
        <v>60002998.109999999</v>
      </c>
      <c r="G59" s="1317">
        <v>938</v>
      </c>
      <c r="H59" s="1318">
        <v>0</v>
      </c>
      <c r="I59" s="1318">
        <v>17864.905692963752</v>
      </c>
      <c r="J59" s="1319" t="s">
        <v>21</v>
      </c>
      <c r="K59" s="1320" t="s">
        <v>22</v>
      </c>
      <c r="L59" s="1319" t="s">
        <v>45</v>
      </c>
      <c r="M59" s="1320" t="s">
        <v>38</v>
      </c>
      <c r="N59" s="640" t="s">
        <v>54</v>
      </c>
      <c r="O59" s="642" t="s">
        <v>55</v>
      </c>
      <c r="P59" s="640" t="s">
        <v>184</v>
      </c>
      <c r="Q59" s="638" t="s">
        <v>108</v>
      </c>
      <c r="R59" s="639"/>
      <c r="S59" s="639" t="s">
        <v>84</v>
      </c>
      <c r="T59" s="638"/>
      <c r="U59" s="647" t="s">
        <v>24</v>
      </c>
    </row>
    <row r="60" spans="1:21" x14ac:dyDescent="0.25">
      <c r="A60" s="637">
        <v>45476</v>
      </c>
      <c r="B60" s="1314" t="s">
        <v>69</v>
      </c>
      <c r="C60" s="1315" t="s">
        <v>185</v>
      </c>
      <c r="D60" s="1316">
        <v>440000</v>
      </c>
      <c r="E60" s="1316">
        <v>0</v>
      </c>
      <c r="F60" s="1317">
        <v>59119337.899999999</v>
      </c>
      <c r="G60" s="1317">
        <v>938</v>
      </c>
      <c r="H60" s="1318">
        <v>469.08315565031984</v>
      </c>
      <c r="I60" s="1318">
        <v>0</v>
      </c>
      <c r="J60" s="1319" t="s">
        <v>21</v>
      </c>
      <c r="K60" s="1320" t="s">
        <v>22</v>
      </c>
      <c r="L60" s="1319" t="s">
        <v>45</v>
      </c>
      <c r="M60" s="1320" t="s">
        <v>38</v>
      </c>
      <c r="N60" s="640" t="s">
        <v>54</v>
      </c>
      <c r="O60" s="640" t="s">
        <v>55</v>
      </c>
      <c r="P60" s="640" t="s">
        <v>94</v>
      </c>
      <c r="Q60" s="638" t="s">
        <v>164</v>
      </c>
      <c r="R60" s="639" t="s">
        <v>165</v>
      </c>
      <c r="S60" s="639" t="s">
        <v>59</v>
      </c>
      <c r="T60" s="638"/>
      <c r="U60" s="647" t="s">
        <v>24</v>
      </c>
    </row>
    <row r="61" spans="1:21" x14ac:dyDescent="0.25">
      <c r="A61" s="637">
        <v>45477</v>
      </c>
      <c r="B61" s="1314" t="s">
        <v>69</v>
      </c>
      <c r="C61" s="1315" t="s">
        <v>187</v>
      </c>
      <c r="D61" s="1316">
        <v>1250000</v>
      </c>
      <c r="E61" s="1316">
        <v>0</v>
      </c>
      <c r="F61" s="1317">
        <v>57522495</v>
      </c>
      <c r="G61" s="1317">
        <v>938</v>
      </c>
      <c r="H61" s="1318">
        <v>1332.6226012793177</v>
      </c>
      <c r="I61" s="1318">
        <v>0</v>
      </c>
      <c r="J61" s="1319" t="s">
        <v>21</v>
      </c>
      <c r="K61" s="1320" t="s">
        <v>22</v>
      </c>
      <c r="L61" s="1319" t="s">
        <v>45</v>
      </c>
      <c r="M61" s="1320" t="s">
        <v>38</v>
      </c>
      <c r="N61" s="640" t="s">
        <v>54</v>
      </c>
      <c r="O61" s="642" t="s">
        <v>111</v>
      </c>
      <c r="P61" s="640" t="s">
        <v>154</v>
      </c>
      <c r="Q61" s="638" t="s">
        <v>155</v>
      </c>
      <c r="R61" s="639" t="s">
        <v>156</v>
      </c>
      <c r="S61" s="639" t="s">
        <v>59</v>
      </c>
      <c r="T61" s="638"/>
      <c r="U61" s="647" t="s">
        <v>24</v>
      </c>
    </row>
    <row r="62" spans="1:21" x14ac:dyDescent="0.25">
      <c r="A62" s="637">
        <v>45478</v>
      </c>
      <c r="B62" s="1314" t="s">
        <v>69</v>
      </c>
      <c r="C62" s="1315" t="s">
        <v>188</v>
      </c>
      <c r="D62" s="1316">
        <v>435916.63</v>
      </c>
      <c r="E62" s="1316">
        <v>0</v>
      </c>
      <c r="F62" s="1317">
        <v>36913078.369999997</v>
      </c>
      <c r="G62" s="1317">
        <v>938</v>
      </c>
      <c r="H62" s="1318">
        <v>464.72988272921111</v>
      </c>
      <c r="I62" s="1318">
        <v>0</v>
      </c>
      <c r="J62" s="1319" t="s">
        <v>21</v>
      </c>
      <c r="K62" s="1320" t="s">
        <v>22</v>
      </c>
      <c r="L62" s="1319" t="s">
        <v>45</v>
      </c>
      <c r="M62" s="1320" t="s">
        <v>38</v>
      </c>
      <c r="N62" s="640" t="s">
        <v>54</v>
      </c>
      <c r="O62" s="642" t="s">
        <v>52</v>
      </c>
      <c r="P62" s="640" t="s">
        <v>143</v>
      </c>
      <c r="Q62" s="638" t="s">
        <v>189</v>
      </c>
      <c r="R62" s="639"/>
      <c r="S62" s="639" t="s">
        <v>133</v>
      </c>
      <c r="T62" s="638"/>
      <c r="U62" s="647" t="s">
        <v>29</v>
      </c>
    </row>
    <row r="63" spans="1:21" x14ac:dyDescent="0.25">
      <c r="A63" s="637">
        <v>45478</v>
      </c>
      <c r="B63" s="1314" t="s">
        <v>69</v>
      </c>
      <c r="C63" s="1315" t="s">
        <v>190</v>
      </c>
      <c r="D63" s="1316">
        <v>3888955.12</v>
      </c>
      <c r="E63" s="1316">
        <v>0</v>
      </c>
      <c r="F63" s="1317">
        <v>33024123.25</v>
      </c>
      <c r="G63" s="1317">
        <v>938</v>
      </c>
      <c r="H63" s="1318">
        <v>4146.0075906183374</v>
      </c>
      <c r="I63" s="1318">
        <v>0</v>
      </c>
      <c r="J63" s="1319" t="s">
        <v>21</v>
      </c>
      <c r="K63" s="1320" t="s">
        <v>22</v>
      </c>
      <c r="L63" s="1319" t="s">
        <v>45</v>
      </c>
      <c r="M63" s="1320" t="s">
        <v>38</v>
      </c>
      <c r="N63" s="640" t="s">
        <v>54</v>
      </c>
      <c r="O63" s="642" t="s">
        <v>52</v>
      </c>
      <c r="P63" s="640" t="s">
        <v>143</v>
      </c>
      <c r="Q63" s="638" t="s">
        <v>191</v>
      </c>
      <c r="R63" s="639"/>
      <c r="S63" s="639" t="s">
        <v>133</v>
      </c>
      <c r="T63" s="638"/>
      <c r="U63" s="647" t="s">
        <v>29</v>
      </c>
    </row>
    <row r="64" spans="1:21" x14ac:dyDescent="0.25">
      <c r="A64" s="637">
        <v>45478</v>
      </c>
      <c r="B64" s="1314" t="s">
        <v>192</v>
      </c>
      <c r="C64" s="1315"/>
      <c r="D64" s="1316">
        <v>0</v>
      </c>
      <c r="E64" s="1316">
        <v>527647.68000000005</v>
      </c>
      <c r="F64" s="1317">
        <v>3051649.93</v>
      </c>
      <c r="G64" s="1317">
        <v>938</v>
      </c>
      <c r="H64" s="1318">
        <v>0</v>
      </c>
      <c r="I64" s="1318">
        <v>562.52417910447764</v>
      </c>
      <c r="J64" s="1319" t="s">
        <v>21</v>
      </c>
      <c r="K64" s="1320" t="s">
        <v>22</v>
      </c>
      <c r="L64" s="1319" t="s">
        <v>45</v>
      </c>
      <c r="M64" s="1320" t="s">
        <v>38</v>
      </c>
      <c r="N64" s="640" t="s">
        <v>54</v>
      </c>
      <c r="O64" s="642" t="s">
        <v>55</v>
      </c>
      <c r="P64" s="640" t="s">
        <v>128</v>
      </c>
      <c r="Q64" s="638" t="s">
        <v>108</v>
      </c>
      <c r="R64" s="639"/>
      <c r="S64" s="639" t="s">
        <v>84</v>
      </c>
      <c r="T64" s="638"/>
      <c r="U64" s="647" t="s">
        <v>24</v>
      </c>
    </row>
    <row r="65" spans="1:21" x14ac:dyDescent="0.25">
      <c r="A65" s="637">
        <v>45481</v>
      </c>
      <c r="B65" s="1314" t="s">
        <v>49</v>
      </c>
      <c r="C65" s="1315"/>
      <c r="D65" s="1316">
        <v>4167798.11</v>
      </c>
      <c r="E65" s="1316">
        <v>0</v>
      </c>
      <c r="F65" s="1317">
        <v>515544.68</v>
      </c>
      <c r="G65" s="1317">
        <v>938</v>
      </c>
      <c r="H65" s="1318">
        <v>4443.2815671641793</v>
      </c>
      <c r="I65" s="1318">
        <v>0</v>
      </c>
      <c r="J65" s="1319" t="s">
        <v>21</v>
      </c>
      <c r="K65" s="1320" t="s">
        <v>22</v>
      </c>
      <c r="L65" s="1319" t="s">
        <v>27</v>
      </c>
      <c r="M65" s="1320" t="s">
        <v>38</v>
      </c>
      <c r="N65" s="640" t="s">
        <v>54</v>
      </c>
      <c r="O65" s="642" t="s">
        <v>55</v>
      </c>
      <c r="P65" s="640" t="s">
        <v>193</v>
      </c>
      <c r="Q65" s="638" t="s">
        <v>194</v>
      </c>
      <c r="R65" s="639" t="s">
        <v>195</v>
      </c>
      <c r="S65" s="639" t="s">
        <v>59</v>
      </c>
      <c r="T65" s="638"/>
      <c r="U65" s="647" t="s">
        <v>24</v>
      </c>
    </row>
    <row r="66" spans="1:21" x14ac:dyDescent="0.25">
      <c r="A66" s="637">
        <v>45484</v>
      </c>
      <c r="B66" s="1314" t="s">
        <v>69</v>
      </c>
      <c r="C66" s="1315" t="s">
        <v>196</v>
      </c>
      <c r="D66" s="1316">
        <v>3820000</v>
      </c>
      <c r="E66" s="1316">
        <v>0</v>
      </c>
      <c r="F66" s="1317">
        <v>-2792415.14</v>
      </c>
      <c r="G66" s="1317">
        <v>938</v>
      </c>
      <c r="H66" s="1318">
        <v>4072.494669509595</v>
      </c>
      <c r="I66" s="1318">
        <v>0</v>
      </c>
      <c r="J66" s="1319" t="s">
        <v>21</v>
      </c>
      <c r="K66" s="1320" t="s">
        <v>22</v>
      </c>
      <c r="L66" s="1319" t="s">
        <v>45</v>
      </c>
      <c r="M66" s="1320" t="s">
        <v>38</v>
      </c>
      <c r="N66" s="640" t="s">
        <v>54</v>
      </c>
      <c r="O66" s="642" t="s">
        <v>55</v>
      </c>
      <c r="P66" s="640" t="s">
        <v>56</v>
      </c>
      <c r="Q66" s="638" t="s">
        <v>57</v>
      </c>
      <c r="R66" s="639" t="s">
        <v>197</v>
      </c>
      <c r="S66" s="639" t="s">
        <v>59</v>
      </c>
      <c r="T66" s="638"/>
      <c r="U66" s="647" t="s">
        <v>24</v>
      </c>
    </row>
    <row r="67" spans="1:21" x14ac:dyDescent="0.25">
      <c r="A67" s="637">
        <v>45488</v>
      </c>
      <c r="B67" s="1314" t="s">
        <v>69</v>
      </c>
      <c r="C67" s="1315" t="s">
        <v>198</v>
      </c>
      <c r="D67" s="1316">
        <v>500000</v>
      </c>
      <c r="E67" s="1316">
        <v>0</v>
      </c>
      <c r="F67" s="1317">
        <v>-167013.78</v>
      </c>
      <c r="G67" s="1317">
        <v>938</v>
      </c>
      <c r="H67" s="1318">
        <v>533.04904051172707</v>
      </c>
      <c r="I67" s="1318">
        <v>0</v>
      </c>
      <c r="J67" s="1319" t="s">
        <v>21</v>
      </c>
      <c r="K67" s="1320" t="s">
        <v>22</v>
      </c>
      <c r="L67" s="1319" t="s">
        <v>45</v>
      </c>
      <c r="M67" s="1320" t="s">
        <v>38</v>
      </c>
      <c r="N67" s="640" t="s">
        <v>54</v>
      </c>
      <c r="O67" s="642" t="s">
        <v>55</v>
      </c>
      <c r="P67" s="640" t="s">
        <v>173</v>
      </c>
      <c r="Q67" s="638" t="s">
        <v>174</v>
      </c>
      <c r="R67" s="639" t="s">
        <v>199</v>
      </c>
      <c r="S67" s="639" t="s">
        <v>44</v>
      </c>
      <c r="T67" s="638"/>
      <c r="U67" s="647" t="s">
        <v>24</v>
      </c>
    </row>
    <row r="68" spans="1:21" x14ac:dyDescent="0.25">
      <c r="A68" s="637">
        <v>45489</v>
      </c>
      <c r="B68" s="1314" t="s">
        <v>69</v>
      </c>
      <c r="C68" s="1315" t="s">
        <v>200</v>
      </c>
      <c r="D68" s="1316">
        <v>2300000</v>
      </c>
      <c r="E68" s="1316">
        <v>0</v>
      </c>
      <c r="F68" s="1317">
        <v>-2300253.7799999998</v>
      </c>
      <c r="G68" s="1317">
        <v>938</v>
      </c>
      <c r="H68" s="1318">
        <v>2452.0255863539446</v>
      </c>
      <c r="I68" s="1318">
        <v>0</v>
      </c>
      <c r="J68" s="1319" t="s">
        <v>21</v>
      </c>
      <c r="K68" s="1320" t="s">
        <v>22</v>
      </c>
      <c r="L68" s="1319" t="s">
        <v>45</v>
      </c>
      <c r="M68" s="1320" t="s">
        <v>38</v>
      </c>
      <c r="N68" s="640" t="s">
        <v>54</v>
      </c>
      <c r="O68" s="640" t="s">
        <v>111</v>
      </c>
      <c r="P68" s="640" t="s">
        <v>56</v>
      </c>
      <c r="Q68" s="638" t="s">
        <v>178</v>
      </c>
      <c r="R68" s="639" t="s">
        <v>201</v>
      </c>
      <c r="S68" s="639" t="s">
        <v>59</v>
      </c>
      <c r="T68" s="638"/>
      <c r="U68" s="647" t="s">
        <v>24</v>
      </c>
    </row>
    <row r="69" spans="1:21" x14ac:dyDescent="0.25">
      <c r="A69" s="637">
        <v>45489</v>
      </c>
      <c r="B69" s="1314" t="s">
        <v>69</v>
      </c>
      <c r="C69" s="1315" t="s">
        <v>202</v>
      </c>
      <c r="D69" s="1316">
        <v>3819117</v>
      </c>
      <c r="E69" s="1316">
        <v>0</v>
      </c>
      <c r="F69" s="1317">
        <v>-6177080.7800000003</v>
      </c>
      <c r="G69" s="1317">
        <v>938</v>
      </c>
      <c r="H69" s="1318">
        <v>4071.5533049040509</v>
      </c>
      <c r="I69" s="1318">
        <v>0</v>
      </c>
      <c r="J69" s="1319" t="s">
        <v>21</v>
      </c>
      <c r="K69" s="1320" t="s">
        <v>22</v>
      </c>
      <c r="L69" s="1319" t="s">
        <v>45</v>
      </c>
      <c r="M69" s="1320" t="s">
        <v>38</v>
      </c>
      <c r="N69" s="640" t="s">
        <v>54</v>
      </c>
      <c r="O69" s="642" t="s">
        <v>55</v>
      </c>
      <c r="P69" s="640" t="s">
        <v>56</v>
      </c>
      <c r="Q69" s="638" t="s">
        <v>57</v>
      </c>
      <c r="R69" s="639" t="s">
        <v>197</v>
      </c>
      <c r="S69" s="639" t="s">
        <v>59</v>
      </c>
      <c r="T69" s="638"/>
      <c r="U69" s="647" t="s">
        <v>24</v>
      </c>
    </row>
    <row r="70" spans="1:21" x14ac:dyDescent="0.25">
      <c r="A70" s="637">
        <v>45490</v>
      </c>
      <c r="B70" s="1314" t="s">
        <v>69</v>
      </c>
      <c r="C70" s="1315" t="s">
        <v>203</v>
      </c>
      <c r="D70" s="1316">
        <v>1250000</v>
      </c>
      <c r="E70" s="1316">
        <v>0</v>
      </c>
      <c r="F70" s="1317">
        <v>-1294844.78</v>
      </c>
      <c r="G70" s="1317">
        <v>938</v>
      </c>
      <c r="H70" s="1318">
        <v>1332.6226012793177</v>
      </c>
      <c r="I70" s="1318">
        <v>0</v>
      </c>
      <c r="J70" s="1319" t="s">
        <v>21</v>
      </c>
      <c r="K70" s="1320" t="s">
        <v>22</v>
      </c>
      <c r="L70" s="1319" t="s">
        <v>45</v>
      </c>
      <c r="M70" s="1320" t="s">
        <v>38</v>
      </c>
      <c r="N70" s="640" t="s">
        <v>54</v>
      </c>
      <c r="O70" s="642" t="s">
        <v>111</v>
      </c>
      <c r="P70" s="640" t="s">
        <v>154</v>
      </c>
      <c r="Q70" s="638" t="s">
        <v>155</v>
      </c>
      <c r="R70" s="639" t="s">
        <v>156</v>
      </c>
      <c r="S70" s="639" t="s">
        <v>59</v>
      </c>
      <c r="T70" s="638"/>
      <c r="U70" s="647" t="s">
        <v>24</v>
      </c>
    </row>
    <row r="71" spans="1:21" x14ac:dyDescent="0.25">
      <c r="A71" s="637">
        <v>45497</v>
      </c>
      <c r="B71" s="1314" t="s">
        <v>109</v>
      </c>
      <c r="C71" s="1315" t="s">
        <v>204</v>
      </c>
      <c r="D71" s="1316">
        <v>3620466</v>
      </c>
      <c r="E71" s="1316">
        <v>0</v>
      </c>
      <c r="F71" s="1317">
        <v>-4633446</v>
      </c>
      <c r="G71" s="1317">
        <v>938</v>
      </c>
      <c r="H71" s="1318">
        <v>3859.7718550106611</v>
      </c>
      <c r="I71" s="1318">
        <v>0</v>
      </c>
      <c r="J71" s="1319" t="s">
        <v>21</v>
      </c>
      <c r="K71" s="1320" t="s">
        <v>22</v>
      </c>
      <c r="L71" s="1319" t="s">
        <v>27</v>
      </c>
      <c r="M71" s="1320" t="s">
        <v>38</v>
      </c>
      <c r="N71" s="640" t="s">
        <v>54</v>
      </c>
      <c r="O71" s="642" t="s">
        <v>111</v>
      </c>
      <c r="P71" s="640" t="s">
        <v>112</v>
      </c>
      <c r="Q71" s="638" t="s">
        <v>113</v>
      </c>
      <c r="R71" s="639" t="s">
        <v>114</v>
      </c>
      <c r="S71" s="639" t="s">
        <v>59</v>
      </c>
      <c r="T71" s="638"/>
      <c r="U71" s="647" t="s">
        <v>24</v>
      </c>
    </row>
    <row r="72" spans="1:21" x14ac:dyDescent="0.25">
      <c r="A72" s="637">
        <v>45497</v>
      </c>
      <c r="B72" s="1314" t="s">
        <v>96</v>
      </c>
      <c r="C72" s="1315"/>
      <c r="D72" s="1316">
        <v>14663000</v>
      </c>
      <c r="E72" s="1316">
        <v>0</v>
      </c>
      <c r="F72" s="1317">
        <v>58406.37</v>
      </c>
      <c r="G72" s="1317">
        <v>938</v>
      </c>
      <c r="H72" s="1318">
        <v>15632.196162046908</v>
      </c>
      <c r="I72" s="1318">
        <v>0</v>
      </c>
      <c r="J72" s="1319" t="s">
        <v>21</v>
      </c>
      <c r="K72" s="1320" t="s">
        <v>22</v>
      </c>
      <c r="L72" s="1319" t="s">
        <v>45</v>
      </c>
      <c r="M72" s="1320" t="s">
        <v>38</v>
      </c>
      <c r="N72" s="640" t="s">
        <v>54</v>
      </c>
      <c r="O72" s="642" t="s">
        <v>55</v>
      </c>
      <c r="P72" s="640" t="s">
        <v>180</v>
      </c>
      <c r="Q72" s="638" t="s">
        <v>181</v>
      </c>
      <c r="R72" s="639"/>
      <c r="S72" s="639" t="s">
        <v>182</v>
      </c>
      <c r="T72" s="638"/>
      <c r="U72" s="647" t="s">
        <v>24</v>
      </c>
    </row>
    <row r="73" spans="1:21" x14ac:dyDescent="0.25">
      <c r="A73" s="637">
        <v>45497</v>
      </c>
      <c r="B73" s="1314" t="s">
        <v>96</v>
      </c>
      <c r="C73" s="1315"/>
      <c r="D73" s="1316">
        <v>27086</v>
      </c>
      <c r="E73" s="1316">
        <v>0</v>
      </c>
      <c r="F73" s="1317">
        <v>26046533.559999999</v>
      </c>
      <c r="G73" s="1317">
        <v>938</v>
      </c>
      <c r="H73" s="1318">
        <v>28.876332622601279</v>
      </c>
      <c r="I73" s="1318">
        <v>0</v>
      </c>
      <c r="J73" s="1319" t="s">
        <v>21</v>
      </c>
      <c r="K73" s="1320" t="s">
        <v>22</v>
      </c>
      <c r="L73" s="1319" t="s">
        <v>45</v>
      </c>
      <c r="M73" s="1320" t="s">
        <v>38</v>
      </c>
      <c r="N73" s="640" t="s">
        <v>54</v>
      </c>
      <c r="O73" s="642" t="s">
        <v>55</v>
      </c>
      <c r="P73" s="640" t="s">
        <v>180</v>
      </c>
      <c r="Q73" s="638" t="s">
        <v>181</v>
      </c>
      <c r="R73" s="639"/>
      <c r="S73" s="639" t="s">
        <v>182</v>
      </c>
      <c r="T73" s="638"/>
      <c r="U73" s="647" t="s">
        <v>24</v>
      </c>
    </row>
    <row r="74" spans="1:21" x14ac:dyDescent="0.25">
      <c r="A74" s="637">
        <v>45497</v>
      </c>
      <c r="B74" s="1314" t="s">
        <v>96</v>
      </c>
      <c r="C74" s="1315"/>
      <c r="D74" s="1316">
        <v>20000000</v>
      </c>
      <c r="E74" s="1316">
        <v>0</v>
      </c>
      <c r="F74" s="1317">
        <v>5952488.5599999996</v>
      </c>
      <c r="G74" s="1317">
        <v>938</v>
      </c>
      <c r="H74" s="1318">
        <v>21321.961620469083</v>
      </c>
      <c r="I74" s="1318">
        <v>0</v>
      </c>
      <c r="J74" s="1319" t="s">
        <v>21</v>
      </c>
      <c r="K74" s="1320" t="s">
        <v>22</v>
      </c>
      <c r="L74" s="1319" t="s">
        <v>45</v>
      </c>
      <c r="M74" s="1320" t="s">
        <v>38</v>
      </c>
      <c r="N74" s="640" t="s">
        <v>54</v>
      </c>
      <c r="O74" s="642" t="s">
        <v>111</v>
      </c>
      <c r="P74" s="640" t="s">
        <v>131</v>
      </c>
      <c r="Q74" s="638" t="s">
        <v>183</v>
      </c>
      <c r="R74" s="639"/>
      <c r="S74" s="639" t="s">
        <v>133</v>
      </c>
      <c r="T74" s="638"/>
      <c r="U74" s="647" t="s">
        <v>29</v>
      </c>
    </row>
    <row r="75" spans="1:21" x14ac:dyDescent="0.25">
      <c r="A75" s="637">
        <v>45503</v>
      </c>
      <c r="B75" s="1314" t="s">
        <v>161</v>
      </c>
      <c r="C75" s="1315"/>
      <c r="D75" s="1316">
        <v>0</v>
      </c>
      <c r="E75" s="1316">
        <v>266362.06</v>
      </c>
      <c r="F75" s="1317">
        <v>258072.95</v>
      </c>
      <c r="G75" s="1317">
        <v>938</v>
      </c>
      <c r="H75" s="1318">
        <v>0</v>
      </c>
      <c r="I75" s="1318">
        <v>283.96808102345415</v>
      </c>
      <c r="J75" s="1319" t="s">
        <v>21</v>
      </c>
      <c r="K75" s="1320" t="s">
        <v>22</v>
      </c>
      <c r="L75" s="1319" t="s">
        <v>27</v>
      </c>
      <c r="M75" s="1320" t="s">
        <v>38</v>
      </c>
      <c r="N75" s="640" t="s">
        <v>54</v>
      </c>
      <c r="O75" s="642" t="s">
        <v>55</v>
      </c>
      <c r="P75" s="640" t="s">
        <v>128</v>
      </c>
      <c r="Q75" s="638" t="s">
        <v>108</v>
      </c>
      <c r="R75" s="639"/>
      <c r="S75" s="639" t="s">
        <v>84</v>
      </c>
      <c r="T75" s="638"/>
      <c r="U75" s="647" t="s">
        <v>24</v>
      </c>
    </row>
    <row r="76" spans="1:21" x14ac:dyDescent="0.25">
      <c r="A76" s="637">
        <v>45505</v>
      </c>
      <c r="B76" s="1314" t="s">
        <v>69</v>
      </c>
      <c r="C76" s="1315" t="s">
        <v>205</v>
      </c>
      <c r="D76" s="1316">
        <v>1250000</v>
      </c>
      <c r="E76" s="1316">
        <v>0</v>
      </c>
      <c r="F76" s="1317">
        <v>-1341934.06</v>
      </c>
      <c r="G76" s="1317">
        <v>964</v>
      </c>
      <c r="H76" s="1318">
        <v>1296.6804979253111</v>
      </c>
      <c r="I76" s="1318">
        <v>0</v>
      </c>
      <c r="J76" s="1319" t="s">
        <v>21</v>
      </c>
      <c r="K76" s="1320" t="s">
        <v>22</v>
      </c>
      <c r="L76" s="1319" t="s">
        <v>45</v>
      </c>
      <c r="M76" s="1320" t="s">
        <v>38</v>
      </c>
      <c r="N76" s="640" t="s">
        <v>54</v>
      </c>
      <c r="O76" s="642" t="s">
        <v>55</v>
      </c>
      <c r="P76" s="640" t="s">
        <v>154</v>
      </c>
      <c r="Q76" s="638" t="s">
        <v>155</v>
      </c>
      <c r="R76" s="639" t="s">
        <v>156</v>
      </c>
      <c r="S76" s="639" t="s">
        <v>59</v>
      </c>
      <c r="T76" s="638"/>
      <c r="U76" s="647" t="s">
        <v>24</v>
      </c>
    </row>
    <row r="77" spans="1:21" x14ac:dyDescent="0.25">
      <c r="A77" s="637">
        <v>45506</v>
      </c>
      <c r="B77" s="1314" t="s">
        <v>192</v>
      </c>
      <c r="C77" s="1315"/>
      <c r="D77" s="1316">
        <v>0</v>
      </c>
      <c r="E77" s="1316">
        <v>614316.77</v>
      </c>
      <c r="F77" s="1317">
        <v>-576528.53</v>
      </c>
      <c r="G77" s="1317">
        <v>964</v>
      </c>
      <c r="H77" s="1318">
        <v>0</v>
      </c>
      <c r="I77" s="1318">
        <v>637.25806016597517</v>
      </c>
      <c r="J77" s="1319" t="s">
        <v>21</v>
      </c>
      <c r="K77" s="1320" t="s">
        <v>22</v>
      </c>
      <c r="L77" s="1319" t="s">
        <v>45</v>
      </c>
      <c r="M77" s="1320" t="s">
        <v>38</v>
      </c>
      <c r="N77" s="640" t="s">
        <v>54</v>
      </c>
      <c r="O77" s="642" t="s">
        <v>55</v>
      </c>
      <c r="P77" s="640" t="s">
        <v>128</v>
      </c>
      <c r="Q77" s="638" t="s">
        <v>108</v>
      </c>
      <c r="R77" s="639"/>
      <c r="S77" s="639" t="s">
        <v>84</v>
      </c>
      <c r="T77" s="638"/>
      <c r="U77" s="647" t="s">
        <v>24</v>
      </c>
    </row>
    <row r="78" spans="1:21" x14ac:dyDescent="0.25">
      <c r="A78" s="637">
        <v>45509</v>
      </c>
      <c r="B78" s="1314" t="s">
        <v>161</v>
      </c>
      <c r="C78" s="1315"/>
      <c r="D78" s="1316">
        <v>0</v>
      </c>
      <c r="E78" s="1316">
        <v>549791.18999999994</v>
      </c>
      <c r="F78" s="1317">
        <v>505580.96</v>
      </c>
      <c r="G78" s="1317">
        <v>951</v>
      </c>
      <c r="H78" s="1318">
        <v>0</v>
      </c>
      <c r="I78" s="1318">
        <v>578.11902208201889</v>
      </c>
      <c r="J78" s="1319" t="s">
        <v>21</v>
      </c>
      <c r="K78" s="1320" t="s">
        <v>22</v>
      </c>
      <c r="L78" s="1319" t="s">
        <v>27</v>
      </c>
      <c r="M78" s="1320" t="s">
        <v>38</v>
      </c>
      <c r="N78" s="640" t="s">
        <v>54</v>
      </c>
      <c r="O78" s="642" t="s">
        <v>55</v>
      </c>
      <c r="P78" s="640" t="s">
        <v>128</v>
      </c>
      <c r="Q78" s="638" t="s">
        <v>108</v>
      </c>
      <c r="R78" s="639"/>
      <c r="S78" s="639" t="s">
        <v>84</v>
      </c>
      <c r="T78" s="638"/>
      <c r="U78" s="647" t="s">
        <v>24</v>
      </c>
    </row>
    <row r="79" spans="1:21" x14ac:dyDescent="0.25">
      <c r="A79" s="637">
        <v>45509</v>
      </c>
      <c r="B79" s="1314" t="s">
        <v>69</v>
      </c>
      <c r="C79" s="1315" t="s">
        <v>206</v>
      </c>
      <c r="D79" s="1316">
        <v>1250000</v>
      </c>
      <c r="E79" s="1316">
        <v>0</v>
      </c>
      <c r="F79" s="1317">
        <v>-1834601.41</v>
      </c>
      <c r="G79" s="1317">
        <v>964</v>
      </c>
      <c r="H79" s="1318">
        <v>1296.6804979253111</v>
      </c>
      <c r="I79" s="1318">
        <v>0</v>
      </c>
      <c r="J79" s="1319" t="s">
        <v>21</v>
      </c>
      <c r="K79" s="1320" t="s">
        <v>22</v>
      </c>
      <c r="L79" s="1319" t="s">
        <v>45</v>
      </c>
      <c r="M79" s="1320" t="s">
        <v>38</v>
      </c>
      <c r="N79" s="640" t="s">
        <v>54</v>
      </c>
      <c r="O79" s="642" t="s">
        <v>55</v>
      </c>
      <c r="P79" s="640" t="s">
        <v>154</v>
      </c>
      <c r="Q79" s="638" t="s">
        <v>155</v>
      </c>
      <c r="R79" s="639" t="s">
        <v>156</v>
      </c>
      <c r="S79" s="639" t="s">
        <v>59</v>
      </c>
      <c r="T79" s="638"/>
      <c r="U79" s="647" t="s">
        <v>24</v>
      </c>
    </row>
    <row r="80" spans="1:21" x14ac:dyDescent="0.25">
      <c r="A80" s="637">
        <v>45509</v>
      </c>
      <c r="B80" s="1314" t="s">
        <v>192</v>
      </c>
      <c r="C80" s="1315"/>
      <c r="D80" s="1316">
        <v>0</v>
      </c>
      <c r="E80" s="1316">
        <v>870581.33</v>
      </c>
      <c r="F80" s="1317">
        <v>-2014547.21</v>
      </c>
      <c r="G80" s="1317">
        <v>964</v>
      </c>
      <c r="H80" s="1318">
        <v>0</v>
      </c>
      <c r="I80" s="1318">
        <v>903.09266597510373</v>
      </c>
      <c r="J80" s="1319" t="s">
        <v>21</v>
      </c>
      <c r="K80" s="1320" t="s">
        <v>22</v>
      </c>
      <c r="L80" s="1319" t="s">
        <v>45</v>
      </c>
      <c r="M80" s="1320" t="s">
        <v>38</v>
      </c>
      <c r="N80" s="640" t="s">
        <v>54</v>
      </c>
      <c r="O80" s="642" t="s">
        <v>55</v>
      </c>
      <c r="P80" s="640" t="s">
        <v>128</v>
      </c>
      <c r="Q80" s="638" t="s">
        <v>108</v>
      </c>
      <c r="R80" s="639"/>
      <c r="S80" s="639" t="s">
        <v>84</v>
      </c>
      <c r="T80" s="638"/>
      <c r="U80" s="647" t="s">
        <v>24</v>
      </c>
    </row>
    <row r="81" spans="1:21" x14ac:dyDescent="0.25">
      <c r="A81" s="637">
        <v>45510</v>
      </c>
      <c r="B81" s="1314" t="s">
        <v>69</v>
      </c>
      <c r="C81" s="1315" t="s">
        <v>208</v>
      </c>
      <c r="D81" s="1316">
        <v>2780217</v>
      </c>
      <c r="E81" s="1316">
        <v>0</v>
      </c>
      <c r="F81" s="1317">
        <v>-7643230.8600000003</v>
      </c>
      <c r="G81" s="1317">
        <v>964</v>
      </c>
      <c r="H81" s="1318">
        <v>2884.0425311203321</v>
      </c>
      <c r="I81" s="1318">
        <v>0</v>
      </c>
      <c r="J81" s="1319" t="s">
        <v>21</v>
      </c>
      <c r="K81" s="1320" t="s">
        <v>22</v>
      </c>
      <c r="L81" s="1319" t="s">
        <v>45</v>
      </c>
      <c r="M81" s="1320" t="s">
        <v>38</v>
      </c>
      <c r="N81" s="640" t="s">
        <v>54</v>
      </c>
      <c r="O81" s="640" t="s">
        <v>55</v>
      </c>
      <c r="P81" s="640" t="s">
        <v>94</v>
      </c>
      <c r="Q81" s="638" t="s">
        <v>125</v>
      </c>
      <c r="R81" s="639" t="s">
        <v>209</v>
      </c>
      <c r="S81" s="639" t="s">
        <v>59</v>
      </c>
      <c r="T81" s="638"/>
      <c r="U81" s="647" t="s">
        <v>24</v>
      </c>
    </row>
    <row r="82" spans="1:21" x14ac:dyDescent="0.25">
      <c r="A82" s="637">
        <v>45510</v>
      </c>
      <c r="B82" s="1314" t="s">
        <v>210</v>
      </c>
      <c r="C82" s="1315"/>
      <c r="D82" s="1316">
        <v>0</v>
      </c>
      <c r="E82" s="1316">
        <v>2500000</v>
      </c>
      <c r="F82" s="1317">
        <v>-5143230.8600000003</v>
      </c>
      <c r="G82" s="1317">
        <v>964</v>
      </c>
      <c r="H82" s="1318">
        <v>0</v>
      </c>
      <c r="I82" s="1318">
        <v>2593.3609958506222</v>
      </c>
      <c r="J82" s="1319" t="s">
        <v>21</v>
      </c>
      <c r="K82" s="1320" t="s">
        <v>22</v>
      </c>
      <c r="L82" s="1319" t="s">
        <v>45</v>
      </c>
      <c r="M82" s="1320" t="s">
        <v>38</v>
      </c>
      <c r="N82" s="640" t="s">
        <v>54</v>
      </c>
      <c r="O82" s="642" t="s">
        <v>55</v>
      </c>
      <c r="P82" s="638" t="s">
        <v>170</v>
      </c>
      <c r="Q82" s="638" t="s">
        <v>108</v>
      </c>
      <c r="R82" s="639"/>
      <c r="S82" s="639" t="s">
        <v>84</v>
      </c>
      <c r="T82" s="638"/>
      <c r="U82" s="647" t="s">
        <v>24</v>
      </c>
    </row>
    <row r="83" spans="1:21" x14ac:dyDescent="0.25">
      <c r="A83" s="637">
        <v>45511</v>
      </c>
      <c r="B83" s="1314" t="s">
        <v>69</v>
      </c>
      <c r="C83" s="1315" t="s">
        <v>211</v>
      </c>
      <c r="D83" s="1316">
        <v>3932596.8</v>
      </c>
      <c r="E83" s="1316">
        <v>0</v>
      </c>
      <c r="F83" s="1317">
        <v>-6765536.8300000001</v>
      </c>
      <c r="G83" s="1317">
        <v>964</v>
      </c>
      <c r="H83" s="1318">
        <v>4079.4572614107883</v>
      </c>
      <c r="I83" s="1318">
        <v>0</v>
      </c>
      <c r="J83" s="1319" t="s">
        <v>21</v>
      </c>
      <c r="K83" s="1320" t="s">
        <v>22</v>
      </c>
      <c r="L83" s="1319" t="s">
        <v>45</v>
      </c>
      <c r="M83" s="1320" t="s">
        <v>38</v>
      </c>
      <c r="N83" s="640" t="s">
        <v>54</v>
      </c>
      <c r="O83" s="640" t="s">
        <v>55</v>
      </c>
      <c r="P83" s="640" t="s">
        <v>94</v>
      </c>
      <c r="Q83" s="638" t="s">
        <v>125</v>
      </c>
      <c r="R83" s="639" t="s">
        <v>212</v>
      </c>
      <c r="S83" s="639" t="s">
        <v>59</v>
      </c>
      <c r="T83" s="638"/>
      <c r="U83" s="647" t="s">
        <v>24</v>
      </c>
    </row>
    <row r="84" spans="1:21" x14ac:dyDescent="0.25">
      <c r="A84" s="637">
        <v>45511</v>
      </c>
      <c r="B84" s="1314" t="s">
        <v>210</v>
      </c>
      <c r="C84" s="1315"/>
      <c r="D84" s="1316">
        <v>0</v>
      </c>
      <c r="E84" s="1316">
        <v>10000000</v>
      </c>
      <c r="F84" s="1317">
        <v>3234463.17</v>
      </c>
      <c r="G84" s="1317">
        <v>964</v>
      </c>
      <c r="H84" s="1318">
        <v>0</v>
      </c>
      <c r="I84" s="1318">
        <v>10373.443983402489</v>
      </c>
      <c r="J84" s="1319" t="s">
        <v>21</v>
      </c>
      <c r="K84" s="1320" t="s">
        <v>22</v>
      </c>
      <c r="L84" s="1319" t="s">
        <v>45</v>
      </c>
      <c r="M84" s="1320" t="s">
        <v>38</v>
      </c>
      <c r="N84" s="640" t="s">
        <v>54</v>
      </c>
      <c r="O84" s="642" t="s">
        <v>55</v>
      </c>
      <c r="P84" s="638" t="s">
        <v>170</v>
      </c>
      <c r="Q84" s="638" t="s">
        <v>108</v>
      </c>
      <c r="R84" s="639"/>
      <c r="S84" s="639" t="s">
        <v>84</v>
      </c>
      <c r="T84" s="638"/>
      <c r="U84" s="647" t="s">
        <v>24</v>
      </c>
    </row>
    <row r="85" spans="1:21" x14ac:dyDescent="0.25">
      <c r="A85" s="637">
        <v>45519</v>
      </c>
      <c r="B85" s="1314" t="s">
        <v>69</v>
      </c>
      <c r="C85" s="1315" t="s">
        <v>213</v>
      </c>
      <c r="D85" s="1316">
        <v>468130</v>
      </c>
      <c r="E85" s="1316">
        <v>0</v>
      </c>
      <c r="F85" s="1317">
        <v>-1351771.29</v>
      </c>
      <c r="G85" s="1317">
        <v>964</v>
      </c>
      <c r="H85" s="1318">
        <v>485.61203319502073</v>
      </c>
      <c r="I85" s="1318">
        <v>0</v>
      </c>
      <c r="J85" s="1319" t="s">
        <v>21</v>
      </c>
      <c r="K85" s="1320" t="s">
        <v>22</v>
      </c>
      <c r="L85" s="1319" t="s">
        <v>45</v>
      </c>
      <c r="M85" s="1320" t="s">
        <v>38</v>
      </c>
      <c r="N85" s="640" t="s">
        <v>54</v>
      </c>
      <c r="O85" s="642" t="s">
        <v>55</v>
      </c>
      <c r="P85" s="640" t="s">
        <v>173</v>
      </c>
      <c r="Q85" s="638" t="s">
        <v>174</v>
      </c>
      <c r="R85" s="639" t="s">
        <v>43</v>
      </c>
      <c r="S85" s="639" t="s">
        <v>44</v>
      </c>
      <c r="T85" s="638"/>
      <c r="U85" s="647" t="s">
        <v>24</v>
      </c>
    </row>
    <row r="86" spans="1:21" x14ac:dyDescent="0.25">
      <c r="A86" s="637">
        <v>45520</v>
      </c>
      <c r="B86" s="1314" t="s">
        <v>69</v>
      </c>
      <c r="C86" s="1315" t="s">
        <v>214</v>
      </c>
      <c r="D86" s="1316">
        <v>2304040</v>
      </c>
      <c r="E86" s="1316">
        <v>0</v>
      </c>
      <c r="F86" s="1317">
        <v>-3658620.07</v>
      </c>
      <c r="G86" s="1317">
        <v>964</v>
      </c>
      <c r="H86" s="1318">
        <v>2390.0829875518671</v>
      </c>
      <c r="I86" s="1318">
        <v>0</v>
      </c>
      <c r="J86" s="1319" t="s">
        <v>21</v>
      </c>
      <c r="K86" s="1320" t="s">
        <v>22</v>
      </c>
      <c r="L86" s="1319" t="s">
        <v>45</v>
      </c>
      <c r="M86" s="1320" t="s">
        <v>38</v>
      </c>
      <c r="N86" s="640" t="s">
        <v>54</v>
      </c>
      <c r="O86" s="640" t="s">
        <v>111</v>
      </c>
      <c r="P86" s="640" t="s">
        <v>56</v>
      </c>
      <c r="Q86" s="638" t="s">
        <v>215</v>
      </c>
      <c r="R86" s="639" t="s">
        <v>201</v>
      </c>
      <c r="S86" s="639" t="s">
        <v>59</v>
      </c>
      <c r="T86" s="638"/>
      <c r="U86" s="647" t="s">
        <v>24</v>
      </c>
    </row>
    <row r="87" spans="1:21" x14ac:dyDescent="0.25">
      <c r="A87" s="637">
        <v>45523</v>
      </c>
      <c r="B87" s="1314" t="s">
        <v>210</v>
      </c>
      <c r="C87" s="1315"/>
      <c r="D87" s="1316">
        <v>0</v>
      </c>
      <c r="E87" s="1316">
        <v>19692182.629999999</v>
      </c>
      <c r="F87" s="1317">
        <v>16757426.09</v>
      </c>
      <c r="G87" s="1317">
        <v>964</v>
      </c>
      <c r="H87" s="1318">
        <v>0</v>
      </c>
      <c r="I87" s="1318">
        <v>20427.575342323649</v>
      </c>
      <c r="J87" s="1319" t="s">
        <v>21</v>
      </c>
      <c r="K87" s="1320" t="s">
        <v>22</v>
      </c>
      <c r="L87" s="1319" t="s">
        <v>45</v>
      </c>
      <c r="M87" s="1320" t="s">
        <v>38</v>
      </c>
      <c r="N87" s="640" t="s">
        <v>54</v>
      </c>
      <c r="O87" s="642" t="s">
        <v>55</v>
      </c>
      <c r="P87" s="640" t="s">
        <v>216</v>
      </c>
      <c r="Q87" s="638" t="s">
        <v>108</v>
      </c>
      <c r="R87" s="639"/>
      <c r="S87" s="639" t="s">
        <v>84</v>
      </c>
      <c r="T87" s="638"/>
      <c r="U87" s="647" t="s">
        <v>24</v>
      </c>
    </row>
    <row r="88" spans="1:21" x14ac:dyDescent="0.25">
      <c r="A88" s="637">
        <v>45523</v>
      </c>
      <c r="B88" s="1314" t="s">
        <v>217</v>
      </c>
      <c r="C88" s="1315"/>
      <c r="D88" s="1316">
        <v>0</v>
      </c>
      <c r="E88" s="1316">
        <v>1053114.47</v>
      </c>
      <c r="F88" s="1317">
        <v>17810540.559999999</v>
      </c>
      <c r="G88" s="1317">
        <v>964</v>
      </c>
      <c r="H88" s="1318">
        <v>0</v>
      </c>
      <c r="I88" s="1318">
        <v>1092.4423962655601</v>
      </c>
      <c r="J88" s="1319" t="s">
        <v>21</v>
      </c>
      <c r="K88" s="1320" t="s">
        <v>22</v>
      </c>
      <c r="L88" s="1319" t="s">
        <v>45</v>
      </c>
      <c r="M88" s="1320" t="s">
        <v>38</v>
      </c>
      <c r="N88" s="640" t="s">
        <v>54</v>
      </c>
      <c r="O88" s="642" t="s">
        <v>55</v>
      </c>
      <c r="P88" s="640" t="s">
        <v>216</v>
      </c>
      <c r="Q88" s="638" t="s">
        <v>108</v>
      </c>
      <c r="R88" s="639"/>
      <c r="S88" s="639" t="s">
        <v>84</v>
      </c>
      <c r="T88" s="638"/>
      <c r="U88" s="647" t="s">
        <v>24</v>
      </c>
    </row>
    <row r="89" spans="1:21" x14ac:dyDescent="0.25">
      <c r="A89" s="637">
        <v>45524</v>
      </c>
      <c r="B89" s="1314" t="s">
        <v>218</v>
      </c>
      <c r="C89" s="1315"/>
      <c r="D89" s="1316">
        <v>0</v>
      </c>
      <c r="E89" s="1316">
        <v>16549865.289999999</v>
      </c>
      <c r="F89" s="1317">
        <v>17681671.629999999</v>
      </c>
      <c r="G89" s="1317">
        <v>964</v>
      </c>
      <c r="H89" s="1318">
        <v>0</v>
      </c>
      <c r="I89" s="1318">
        <v>17167.91005186722</v>
      </c>
      <c r="J89" s="1319"/>
      <c r="K89" s="1320"/>
      <c r="L89" s="1319"/>
      <c r="M89" s="1320" t="s">
        <v>38</v>
      </c>
      <c r="N89" s="640" t="s">
        <v>54</v>
      </c>
      <c r="O89" s="642" t="s">
        <v>111</v>
      </c>
      <c r="P89" s="640" t="s">
        <v>170</v>
      </c>
      <c r="Q89" s="638" t="s">
        <v>219</v>
      </c>
      <c r="R89" s="639"/>
      <c r="S89" s="647" t="s">
        <v>84</v>
      </c>
      <c r="T89" s="638"/>
      <c r="U89" s="647" t="s">
        <v>24</v>
      </c>
    </row>
    <row r="90" spans="1:21" x14ac:dyDescent="0.25">
      <c r="A90" s="637">
        <v>45524</v>
      </c>
      <c r="B90" s="1314" t="s">
        <v>220</v>
      </c>
      <c r="C90" s="1315"/>
      <c r="D90" s="1316">
        <v>16549865.289999999</v>
      </c>
      <c r="E90" s="1316">
        <v>0</v>
      </c>
      <c r="F90" s="1317">
        <v>17681645.559999999</v>
      </c>
      <c r="G90" s="1317">
        <v>964</v>
      </c>
      <c r="H90" s="1318">
        <v>17167.91005186722</v>
      </c>
      <c r="I90" s="1318">
        <v>0</v>
      </c>
      <c r="J90" s="1319"/>
      <c r="K90" s="1320"/>
      <c r="L90" s="1319"/>
      <c r="M90" s="1320" t="s">
        <v>38</v>
      </c>
      <c r="N90" s="640" t="s">
        <v>54</v>
      </c>
      <c r="O90" s="642" t="s">
        <v>111</v>
      </c>
      <c r="P90" s="640" t="s">
        <v>180</v>
      </c>
      <c r="Q90" s="638" t="s">
        <v>221</v>
      </c>
      <c r="R90" s="639"/>
      <c r="S90" s="639" t="s">
        <v>182</v>
      </c>
      <c r="T90" s="638"/>
      <c r="U90" s="647" t="s">
        <v>24</v>
      </c>
    </row>
    <row r="91" spans="1:21" x14ac:dyDescent="0.25">
      <c r="A91" s="637">
        <v>45524</v>
      </c>
      <c r="B91" s="1314" t="s">
        <v>210</v>
      </c>
      <c r="C91" s="1315"/>
      <c r="D91" s="1316">
        <v>0</v>
      </c>
      <c r="E91" s="1316">
        <v>32522482.190000001</v>
      </c>
      <c r="F91" s="1317">
        <v>33049698.890000001</v>
      </c>
      <c r="G91" s="1317">
        <v>964</v>
      </c>
      <c r="H91" s="1318">
        <v>0</v>
      </c>
      <c r="I91" s="1318">
        <v>33737.014719917017</v>
      </c>
      <c r="J91" s="1319" t="s">
        <v>21</v>
      </c>
      <c r="K91" s="1320" t="s">
        <v>22</v>
      </c>
      <c r="L91" s="1319" t="s">
        <v>45</v>
      </c>
      <c r="M91" s="1320" t="s">
        <v>38</v>
      </c>
      <c r="N91" s="640" t="s">
        <v>54</v>
      </c>
      <c r="O91" s="642" t="s">
        <v>55</v>
      </c>
      <c r="P91" s="640" t="s">
        <v>216</v>
      </c>
      <c r="Q91" s="638" t="s">
        <v>108</v>
      </c>
      <c r="R91" s="639"/>
      <c r="S91" s="639" t="s">
        <v>84</v>
      </c>
      <c r="T91" s="638"/>
      <c r="U91" s="647" t="s">
        <v>24</v>
      </c>
    </row>
    <row r="92" spans="1:21" x14ac:dyDescent="0.25">
      <c r="A92" s="637">
        <v>45526</v>
      </c>
      <c r="B92" s="1314" t="s">
        <v>222</v>
      </c>
      <c r="C92" s="1315"/>
      <c r="D92" s="1316">
        <v>430000</v>
      </c>
      <c r="E92" s="1316">
        <v>0</v>
      </c>
      <c r="F92" s="1317">
        <v>0</v>
      </c>
      <c r="G92" s="1317">
        <v>964</v>
      </c>
      <c r="H92" s="1318">
        <v>446.05809128630705</v>
      </c>
      <c r="I92" s="1318">
        <v>0</v>
      </c>
      <c r="J92" s="1319" t="s">
        <v>21</v>
      </c>
      <c r="K92" s="1320" t="s">
        <v>26</v>
      </c>
      <c r="L92" s="1319" t="s">
        <v>26</v>
      </c>
      <c r="M92" s="1320" t="s">
        <v>38</v>
      </c>
      <c r="N92" s="640" t="s">
        <v>54</v>
      </c>
      <c r="O92" s="642" t="s">
        <v>55</v>
      </c>
      <c r="P92" s="640" t="s">
        <v>223</v>
      </c>
      <c r="Q92" s="638" t="s">
        <v>224</v>
      </c>
      <c r="R92" s="639" t="s">
        <v>43</v>
      </c>
      <c r="S92" s="639" t="s">
        <v>44</v>
      </c>
      <c r="T92" s="638"/>
      <c r="U92" s="647" t="s">
        <v>24</v>
      </c>
    </row>
    <row r="93" spans="1:21" x14ac:dyDescent="0.25">
      <c r="A93" s="637">
        <v>45527</v>
      </c>
      <c r="B93" s="1314" t="s">
        <v>222</v>
      </c>
      <c r="C93" s="1315"/>
      <c r="D93" s="1316">
        <v>110000</v>
      </c>
      <c r="E93" s="1316">
        <v>0</v>
      </c>
      <c r="F93" s="1317">
        <v>0</v>
      </c>
      <c r="G93" s="1317">
        <v>964</v>
      </c>
      <c r="H93" s="1318">
        <v>114.10788381742739</v>
      </c>
      <c r="I93" s="1318">
        <v>0</v>
      </c>
      <c r="J93" s="1319" t="s">
        <v>21</v>
      </c>
      <c r="K93" s="1320" t="s">
        <v>26</v>
      </c>
      <c r="L93" s="1319" t="s">
        <v>26</v>
      </c>
      <c r="M93" s="1320" t="s">
        <v>38</v>
      </c>
      <c r="N93" s="640" t="s">
        <v>54</v>
      </c>
      <c r="O93" s="642" t="s">
        <v>55</v>
      </c>
      <c r="P93" s="640" t="s">
        <v>223</v>
      </c>
      <c r="Q93" s="638" t="s">
        <v>224</v>
      </c>
      <c r="R93" s="639" t="s">
        <v>43</v>
      </c>
      <c r="S93" s="639" t="s">
        <v>44</v>
      </c>
      <c r="T93" s="638"/>
      <c r="U93" s="647" t="s">
        <v>24</v>
      </c>
    </row>
    <row r="94" spans="1:21" x14ac:dyDescent="0.25">
      <c r="A94" s="637">
        <v>45528</v>
      </c>
      <c r="B94" s="1314" t="s">
        <v>225</v>
      </c>
      <c r="C94" s="1315"/>
      <c r="D94" s="1316">
        <v>0</v>
      </c>
      <c r="E94" s="1316">
        <v>9500000</v>
      </c>
      <c r="F94" s="1317">
        <v>0</v>
      </c>
      <c r="G94" s="1317">
        <v>964</v>
      </c>
      <c r="H94" s="1318">
        <v>0</v>
      </c>
      <c r="I94" s="1318">
        <v>9854.7717842323655</v>
      </c>
      <c r="J94" s="1319" t="s">
        <v>21</v>
      </c>
      <c r="K94" s="1320" t="s">
        <v>26</v>
      </c>
      <c r="L94" s="1319" t="s">
        <v>26</v>
      </c>
      <c r="M94" s="1320" t="s">
        <v>38</v>
      </c>
      <c r="N94" s="640" t="s">
        <v>54</v>
      </c>
      <c r="O94" s="642" t="s">
        <v>111</v>
      </c>
      <c r="P94" s="640" t="s">
        <v>170</v>
      </c>
      <c r="Q94" s="638" t="s">
        <v>226</v>
      </c>
      <c r="R94" s="639"/>
      <c r="S94" s="639" t="s">
        <v>84</v>
      </c>
      <c r="T94" s="638"/>
      <c r="U94" s="647" t="s">
        <v>24</v>
      </c>
    </row>
    <row r="95" spans="1:21" x14ac:dyDescent="0.25">
      <c r="A95" s="637">
        <v>45529</v>
      </c>
      <c r="B95" s="1314" t="s">
        <v>227</v>
      </c>
      <c r="C95" s="1315"/>
      <c r="D95" s="1316">
        <v>9500000</v>
      </c>
      <c r="E95" s="1316">
        <v>0</v>
      </c>
      <c r="F95" s="1317">
        <v>0</v>
      </c>
      <c r="G95" s="1317">
        <v>964</v>
      </c>
      <c r="H95" s="1318">
        <v>9854.7717842323655</v>
      </c>
      <c r="I95" s="1318">
        <v>0</v>
      </c>
      <c r="J95" s="1319" t="s">
        <v>21</v>
      </c>
      <c r="K95" s="1320" t="s">
        <v>26</v>
      </c>
      <c r="L95" s="1319" t="s">
        <v>26</v>
      </c>
      <c r="M95" s="1320" t="s">
        <v>38</v>
      </c>
      <c r="N95" s="640" t="s">
        <v>54</v>
      </c>
      <c r="O95" s="642" t="s">
        <v>111</v>
      </c>
      <c r="P95" s="640" t="s">
        <v>52</v>
      </c>
      <c r="Q95" s="638" t="s">
        <v>191</v>
      </c>
      <c r="R95" s="639"/>
      <c r="S95" s="639" t="s">
        <v>182</v>
      </c>
      <c r="T95" s="638"/>
      <c r="U95" s="647" t="s">
        <v>24</v>
      </c>
    </row>
    <row r="96" spans="1:21" x14ac:dyDescent="0.25">
      <c r="A96" s="637">
        <v>45531</v>
      </c>
      <c r="B96" s="1314" t="s">
        <v>109</v>
      </c>
      <c r="C96" s="1315" t="s">
        <v>228</v>
      </c>
      <c r="D96" s="1316">
        <v>3620466</v>
      </c>
      <c r="E96" s="1316">
        <v>0</v>
      </c>
      <c r="F96" s="1317">
        <v>-4458723.79</v>
      </c>
      <c r="G96" s="1317">
        <v>951</v>
      </c>
      <c r="H96" s="1318">
        <v>3807.0094637223974</v>
      </c>
      <c r="I96" s="1318">
        <v>0</v>
      </c>
      <c r="J96" s="1319" t="s">
        <v>21</v>
      </c>
      <c r="K96" s="1320" t="s">
        <v>22</v>
      </c>
      <c r="L96" s="1319" t="s">
        <v>27</v>
      </c>
      <c r="M96" s="1320" t="s">
        <v>38</v>
      </c>
      <c r="N96" s="640" t="s">
        <v>54</v>
      </c>
      <c r="O96" s="642" t="s">
        <v>111</v>
      </c>
      <c r="P96" s="640" t="s">
        <v>112</v>
      </c>
      <c r="Q96" s="638" t="s">
        <v>113</v>
      </c>
      <c r="R96" s="639" t="s">
        <v>114</v>
      </c>
      <c r="S96" s="639" t="s">
        <v>59</v>
      </c>
      <c r="T96" s="638"/>
      <c r="U96" s="647" t="s">
        <v>24</v>
      </c>
    </row>
    <row r="97" spans="1:21" x14ac:dyDescent="0.25">
      <c r="A97" s="637">
        <v>45538</v>
      </c>
      <c r="B97" s="1314" t="s">
        <v>161</v>
      </c>
      <c r="C97" s="1315"/>
      <c r="D97" s="1316">
        <v>0</v>
      </c>
      <c r="E97" s="1316">
        <v>1266598.8600000001</v>
      </c>
      <c r="F97" s="1317">
        <v>-252681.46</v>
      </c>
      <c r="G97" s="1317">
        <v>960</v>
      </c>
      <c r="H97" s="1318">
        <v>0</v>
      </c>
      <c r="I97" s="1318">
        <v>1319.3738125000002</v>
      </c>
      <c r="J97" s="1319" t="s">
        <v>21</v>
      </c>
      <c r="K97" s="1320" t="s">
        <v>22</v>
      </c>
      <c r="L97" s="1319" t="s">
        <v>27</v>
      </c>
      <c r="M97" s="1320" t="s">
        <v>38</v>
      </c>
      <c r="N97" s="640" t="s">
        <v>54</v>
      </c>
      <c r="O97" s="642" t="s">
        <v>55</v>
      </c>
      <c r="P97" s="640" t="s">
        <v>128</v>
      </c>
      <c r="Q97" s="638" t="s">
        <v>108</v>
      </c>
      <c r="R97" s="639"/>
      <c r="S97" s="647" t="s">
        <v>84</v>
      </c>
      <c r="T97" s="638"/>
      <c r="U97" s="647" t="s">
        <v>24</v>
      </c>
    </row>
    <row r="98" spans="1:21" x14ac:dyDescent="0.25">
      <c r="A98" s="637">
        <v>45544</v>
      </c>
      <c r="B98" s="1314" t="s">
        <v>161</v>
      </c>
      <c r="C98" s="1315"/>
      <c r="D98" s="1316">
        <v>0</v>
      </c>
      <c r="E98" s="1316">
        <v>1209859.1000000001</v>
      </c>
      <c r="F98" s="1317">
        <v>949578.05</v>
      </c>
      <c r="G98" s="1317">
        <v>960</v>
      </c>
      <c r="H98" s="1318">
        <v>0</v>
      </c>
      <c r="I98" s="1318">
        <v>1260.2698958333335</v>
      </c>
      <c r="J98" s="1319" t="s">
        <v>21</v>
      </c>
      <c r="K98" s="1320" t="s">
        <v>22</v>
      </c>
      <c r="L98" s="1319" t="s">
        <v>27</v>
      </c>
      <c r="M98" s="1320" t="s">
        <v>38</v>
      </c>
      <c r="N98" s="640" t="s">
        <v>54</v>
      </c>
      <c r="O98" s="642" t="s">
        <v>55</v>
      </c>
      <c r="P98" s="640" t="s">
        <v>128</v>
      </c>
      <c r="Q98" s="638" t="s">
        <v>108</v>
      </c>
      <c r="R98" s="639"/>
      <c r="S98" s="647" t="s">
        <v>84</v>
      </c>
      <c r="T98" s="638"/>
      <c r="U98" s="647" t="s">
        <v>24</v>
      </c>
    </row>
    <row r="99" spans="1:21" x14ac:dyDescent="0.25">
      <c r="A99" s="637">
        <v>45538</v>
      </c>
      <c r="B99" s="1314" t="s">
        <v>229</v>
      </c>
      <c r="C99" s="1315"/>
      <c r="D99" s="1316">
        <v>0</v>
      </c>
      <c r="E99" s="1316">
        <v>360150</v>
      </c>
      <c r="F99" s="1317">
        <v>-2882922.53</v>
      </c>
      <c r="G99" s="1317">
        <v>964</v>
      </c>
      <c r="H99" s="1318">
        <v>0</v>
      </c>
      <c r="I99" s="1318">
        <v>373.59958506224069</v>
      </c>
      <c r="J99" s="1319" t="s">
        <v>21</v>
      </c>
      <c r="K99" s="1320" t="s">
        <v>22</v>
      </c>
      <c r="L99" s="1319" t="s">
        <v>45</v>
      </c>
      <c r="M99" s="1320" t="s">
        <v>38</v>
      </c>
      <c r="N99" s="640" t="s">
        <v>54</v>
      </c>
      <c r="O99" s="642" t="s">
        <v>111</v>
      </c>
      <c r="P99" s="640" t="s">
        <v>170</v>
      </c>
      <c r="Q99" s="638" t="s">
        <v>219</v>
      </c>
      <c r="R99" s="639"/>
      <c r="S99" s="647" t="s">
        <v>84</v>
      </c>
      <c r="T99" s="638"/>
      <c r="U99" s="647" t="s">
        <v>24</v>
      </c>
    </row>
    <row r="100" spans="1:21" x14ac:dyDescent="0.25">
      <c r="A100" s="637">
        <v>45538</v>
      </c>
      <c r="B100" s="1314" t="s">
        <v>230</v>
      </c>
      <c r="C100" s="1315"/>
      <c r="D100" s="1316">
        <v>0</v>
      </c>
      <c r="E100" s="1316">
        <v>9000000</v>
      </c>
      <c r="F100" s="1317">
        <v>0</v>
      </c>
      <c r="G100" s="1317">
        <v>964</v>
      </c>
      <c r="H100" s="1318">
        <v>0</v>
      </c>
      <c r="I100" s="1318">
        <v>9336.0995850622403</v>
      </c>
      <c r="J100" s="1319" t="s">
        <v>21</v>
      </c>
      <c r="K100" s="1320" t="s">
        <v>22</v>
      </c>
      <c r="L100" s="1319" t="s">
        <v>45</v>
      </c>
      <c r="M100" s="1320" t="s">
        <v>38</v>
      </c>
      <c r="N100" s="640" t="s">
        <v>54</v>
      </c>
      <c r="O100" s="642" t="s">
        <v>55</v>
      </c>
      <c r="P100" s="640" t="s">
        <v>170</v>
      </c>
      <c r="Q100" s="638" t="s">
        <v>219</v>
      </c>
      <c r="R100" s="639"/>
      <c r="S100" s="647" t="s">
        <v>84</v>
      </c>
      <c r="T100" s="638"/>
      <c r="U100" s="647" t="s">
        <v>24</v>
      </c>
    </row>
    <row r="101" spans="1:21" x14ac:dyDescent="0.25">
      <c r="A101" s="637">
        <v>45539</v>
      </c>
      <c r="B101" s="1314" t="s">
        <v>232</v>
      </c>
      <c r="C101" s="1315"/>
      <c r="D101" s="1316">
        <v>0</v>
      </c>
      <c r="E101" s="1316">
        <v>7705558.6799999997</v>
      </c>
      <c r="F101" s="1317">
        <v>4802823.0199999996</v>
      </c>
      <c r="G101" s="1317">
        <v>964</v>
      </c>
      <c r="H101" s="1318">
        <v>0</v>
      </c>
      <c r="I101" s="1318">
        <v>7993.318132780083</v>
      </c>
      <c r="J101" s="1319" t="s">
        <v>21</v>
      </c>
      <c r="K101" s="1320" t="s">
        <v>22</v>
      </c>
      <c r="L101" s="1319" t="s">
        <v>45</v>
      </c>
      <c r="M101" s="1320" t="s">
        <v>38</v>
      </c>
      <c r="N101" s="640" t="s">
        <v>54</v>
      </c>
      <c r="O101" s="642" t="s">
        <v>111</v>
      </c>
      <c r="P101" s="640" t="s">
        <v>170</v>
      </c>
      <c r="Q101" s="638" t="s">
        <v>219</v>
      </c>
      <c r="R101" s="639"/>
      <c r="S101" s="647" t="s">
        <v>84</v>
      </c>
      <c r="T101" s="638"/>
      <c r="U101" s="647" t="s">
        <v>24</v>
      </c>
    </row>
    <row r="102" spans="1:21" x14ac:dyDescent="0.25">
      <c r="A102" s="637">
        <v>45539</v>
      </c>
      <c r="B102" s="1314" t="s">
        <v>229</v>
      </c>
      <c r="C102" s="1315"/>
      <c r="D102" s="1316">
        <v>0</v>
      </c>
      <c r="E102" s="1316">
        <v>426597.67</v>
      </c>
      <c r="F102" s="1317">
        <v>5229420.6900000004</v>
      </c>
      <c r="G102" s="1317">
        <v>964</v>
      </c>
      <c r="H102" s="1318">
        <v>0</v>
      </c>
      <c r="I102" s="1318">
        <v>442.52870331950209</v>
      </c>
      <c r="J102" s="1319" t="s">
        <v>21</v>
      </c>
      <c r="K102" s="1320" t="s">
        <v>22</v>
      </c>
      <c r="L102" s="1319" t="s">
        <v>45</v>
      </c>
      <c r="M102" s="1320" t="s">
        <v>38</v>
      </c>
      <c r="N102" s="640" t="s">
        <v>54</v>
      </c>
      <c r="O102" s="642" t="s">
        <v>111</v>
      </c>
      <c r="P102" s="640" t="s">
        <v>170</v>
      </c>
      <c r="Q102" s="638" t="s">
        <v>219</v>
      </c>
      <c r="R102" s="639"/>
      <c r="S102" s="647" t="s">
        <v>84</v>
      </c>
      <c r="T102" s="638"/>
      <c r="U102" s="647" t="s">
        <v>24</v>
      </c>
    </row>
    <row r="103" spans="1:21" x14ac:dyDescent="0.25">
      <c r="A103" s="637">
        <v>45540</v>
      </c>
      <c r="B103" s="1314" t="s">
        <v>69</v>
      </c>
      <c r="C103" s="1315" t="s">
        <v>233</v>
      </c>
      <c r="D103" s="1316">
        <v>1076000</v>
      </c>
      <c r="E103" s="1316">
        <v>0</v>
      </c>
      <c r="F103" s="1317">
        <v>3203775.81</v>
      </c>
      <c r="G103" s="1317">
        <v>964</v>
      </c>
      <c r="H103" s="1318">
        <v>1116.1825726141078</v>
      </c>
      <c r="I103" s="1318">
        <v>0</v>
      </c>
      <c r="J103" s="1319" t="s">
        <v>21</v>
      </c>
      <c r="K103" s="1320" t="s">
        <v>22</v>
      </c>
      <c r="L103" s="1319" t="s">
        <v>45</v>
      </c>
      <c r="M103" s="1320" t="s">
        <v>38</v>
      </c>
      <c r="N103" s="640" t="s">
        <v>54</v>
      </c>
      <c r="O103" s="642" t="s">
        <v>111</v>
      </c>
      <c r="P103" s="640" t="s">
        <v>154</v>
      </c>
      <c r="Q103" s="638" t="s">
        <v>155</v>
      </c>
      <c r="R103" s="639" t="s">
        <v>156</v>
      </c>
      <c r="S103" s="639" t="s">
        <v>59</v>
      </c>
      <c r="T103" s="638"/>
      <c r="U103" s="647" t="s">
        <v>24</v>
      </c>
    </row>
    <row r="104" spans="1:21" x14ac:dyDescent="0.25">
      <c r="A104" s="637">
        <v>45540</v>
      </c>
      <c r="B104" s="1314" t="s">
        <v>234</v>
      </c>
      <c r="C104" s="1315"/>
      <c r="D104" s="1316">
        <v>0</v>
      </c>
      <c r="E104" s="1316">
        <v>5000000</v>
      </c>
      <c r="F104" s="1317">
        <v>0</v>
      </c>
      <c r="G104" s="1317">
        <v>964</v>
      </c>
      <c r="H104" s="1318">
        <v>0</v>
      </c>
      <c r="I104" s="1318">
        <v>5186.7219917012444</v>
      </c>
      <c r="J104" s="1319" t="s">
        <v>21</v>
      </c>
      <c r="K104" s="1320" t="s">
        <v>22</v>
      </c>
      <c r="L104" s="1319" t="s">
        <v>45</v>
      </c>
      <c r="M104" s="1320" t="s">
        <v>38</v>
      </c>
      <c r="N104" s="640" t="s">
        <v>54</v>
      </c>
      <c r="O104" s="642" t="s">
        <v>111</v>
      </c>
      <c r="P104" s="640" t="s">
        <v>170</v>
      </c>
      <c r="Q104" s="638" t="s">
        <v>219</v>
      </c>
      <c r="R104" s="639"/>
      <c r="S104" s="647" t="s">
        <v>84</v>
      </c>
      <c r="T104" s="638"/>
      <c r="U104" s="647" t="s">
        <v>24</v>
      </c>
    </row>
    <row r="105" spans="1:21" x14ac:dyDescent="0.25">
      <c r="A105" s="637">
        <v>45540</v>
      </c>
      <c r="B105" s="1314" t="s">
        <v>235</v>
      </c>
      <c r="C105" s="1315"/>
      <c r="D105" s="1316">
        <v>5000000</v>
      </c>
      <c r="E105" s="1316">
        <v>0</v>
      </c>
      <c r="F105" s="1317">
        <v>0</v>
      </c>
      <c r="G105" s="1317">
        <v>964</v>
      </c>
      <c r="H105" s="1318">
        <v>5186.7219917012444</v>
      </c>
      <c r="I105" s="1318">
        <v>0</v>
      </c>
      <c r="J105" s="1319" t="s">
        <v>21</v>
      </c>
      <c r="K105" s="1320" t="s">
        <v>22</v>
      </c>
      <c r="L105" s="1319" t="s">
        <v>45</v>
      </c>
      <c r="M105" s="1320" t="s">
        <v>38</v>
      </c>
      <c r="N105" s="640" t="s">
        <v>54</v>
      </c>
      <c r="O105" s="642" t="s">
        <v>111</v>
      </c>
      <c r="P105" s="640" t="s">
        <v>131</v>
      </c>
      <c r="Q105" s="638" t="s">
        <v>236</v>
      </c>
      <c r="R105" s="639"/>
      <c r="S105" s="639" t="s">
        <v>182</v>
      </c>
      <c r="T105" s="638"/>
      <c r="U105" s="647" t="s">
        <v>24</v>
      </c>
    </row>
    <row r="106" spans="1:21" x14ac:dyDescent="0.25">
      <c r="A106" s="637">
        <v>45545</v>
      </c>
      <c r="B106" s="1314" t="s">
        <v>69</v>
      </c>
      <c r="C106" s="1315" t="s">
        <v>237</v>
      </c>
      <c r="D106" s="1316">
        <v>2100000</v>
      </c>
      <c r="E106" s="1316">
        <v>0</v>
      </c>
      <c r="F106" s="1317">
        <v>-3801746.16</v>
      </c>
      <c r="G106" s="1317">
        <v>964</v>
      </c>
      <c r="H106" s="1318">
        <v>2178.4232365145226</v>
      </c>
      <c r="I106" s="1318">
        <v>0</v>
      </c>
      <c r="J106" s="1319" t="s">
        <v>21</v>
      </c>
      <c r="K106" s="1320" t="s">
        <v>22</v>
      </c>
      <c r="L106" s="1319" t="s">
        <v>45</v>
      </c>
      <c r="M106" s="1320" t="s">
        <v>38</v>
      </c>
      <c r="N106" s="640" t="s">
        <v>54</v>
      </c>
      <c r="O106" s="642" t="s">
        <v>111</v>
      </c>
      <c r="P106" s="640" t="s">
        <v>238</v>
      </c>
      <c r="Q106" s="638" t="s">
        <v>239</v>
      </c>
      <c r="R106" s="639" t="s">
        <v>240</v>
      </c>
      <c r="S106" s="639" t="s">
        <v>59</v>
      </c>
      <c r="T106" s="638"/>
      <c r="U106" s="647" t="s">
        <v>24</v>
      </c>
    </row>
    <row r="107" spans="1:21" x14ac:dyDescent="0.25">
      <c r="A107" s="637">
        <v>45545</v>
      </c>
      <c r="B107" s="1314" t="s">
        <v>192</v>
      </c>
      <c r="C107" s="1315"/>
      <c r="D107" s="1316">
        <v>0</v>
      </c>
      <c r="E107" s="1316">
        <v>2374756.5099999998</v>
      </c>
      <c r="F107" s="1317">
        <v>-606989.65</v>
      </c>
      <c r="G107" s="1317">
        <v>964</v>
      </c>
      <c r="H107" s="1318">
        <v>0</v>
      </c>
      <c r="I107" s="1318">
        <v>2463.4403630705392</v>
      </c>
      <c r="J107" s="1319" t="s">
        <v>21</v>
      </c>
      <c r="K107" s="1320" t="s">
        <v>22</v>
      </c>
      <c r="L107" s="1319" t="s">
        <v>45</v>
      </c>
      <c r="M107" s="1320" t="s">
        <v>38</v>
      </c>
      <c r="N107" s="640" t="s">
        <v>54</v>
      </c>
      <c r="O107" s="642" t="s">
        <v>55</v>
      </c>
      <c r="P107" s="640" t="s">
        <v>128</v>
      </c>
      <c r="Q107" s="638" t="s">
        <v>108</v>
      </c>
      <c r="R107" s="639"/>
      <c r="S107" s="647" t="s">
        <v>84</v>
      </c>
      <c r="T107" s="638"/>
      <c r="U107" s="647" t="s">
        <v>24</v>
      </c>
    </row>
    <row r="108" spans="1:21" x14ac:dyDescent="0.25">
      <c r="A108" s="637">
        <v>45547</v>
      </c>
      <c r="B108" s="1314" t="s">
        <v>232</v>
      </c>
      <c r="C108" s="1315"/>
      <c r="D108" s="1316">
        <v>0</v>
      </c>
      <c r="E108" s="1316">
        <v>25000000</v>
      </c>
      <c r="F108" s="1317">
        <v>22032868.32</v>
      </c>
      <c r="G108" s="1317">
        <v>964</v>
      </c>
      <c r="H108" s="1318">
        <v>0</v>
      </c>
      <c r="I108" s="1318">
        <v>25933.609958506226</v>
      </c>
      <c r="J108" s="1319" t="s">
        <v>21</v>
      </c>
      <c r="K108" s="1320" t="s">
        <v>22</v>
      </c>
      <c r="L108" s="1319" t="s">
        <v>45</v>
      </c>
      <c r="M108" s="1320" t="s">
        <v>38</v>
      </c>
      <c r="N108" s="640" t="s">
        <v>54</v>
      </c>
      <c r="O108" s="642" t="s">
        <v>111</v>
      </c>
      <c r="P108" s="640" t="s">
        <v>170</v>
      </c>
      <c r="Q108" s="638" t="s">
        <v>219</v>
      </c>
      <c r="R108" s="639"/>
      <c r="S108" s="647" t="s">
        <v>84</v>
      </c>
      <c r="T108" s="638"/>
      <c r="U108" s="647" t="s">
        <v>24</v>
      </c>
    </row>
    <row r="109" spans="1:21" x14ac:dyDescent="0.25">
      <c r="A109" s="637">
        <v>45548</v>
      </c>
      <c r="B109" s="1314" t="s">
        <v>232</v>
      </c>
      <c r="C109" s="1315"/>
      <c r="D109" s="1316">
        <v>0</v>
      </c>
      <c r="E109" s="1316">
        <v>10427816.529999999</v>
      </c>
      <c r="F109" s="1317">
        <v>32213846.460000001</v>
      </c>
      <c r="G109" s="1317">
        <v>964</v>
      </c>
      <c r="H109" s="1318">
        <v>0</v>
      </c>
      <c r="I109" s="1318">
        <v>10817.237064315352</v>
      </c>
      <c r="J109" s="1319" t="s">
        <v>21</v>
      </c>
      <c r="K109" s="1320" t="s">
        <v>22</v>
      </c>
      <c r="L109" s="1319" t="s">
        <v>45</v>
      </c>
      <c r="M109" s="1320" t="s">
        <v>38</v>
      </c>
      <c r="N109" s="640" t="s">
        <v>54</v>
      </c>
      <c r="O109" s="642" t="s">
        <v>55</v>
      </c>
      <c r="P109" s="640" t="s">
        <v>170</v>
      </c>
      <c r="Q109" s="638" t="s">
        <v>219</v>
      </c>
      <c r="R109" s="639"/>
      <c r="S109" s="647" t="s">
        <v>84</v>
      </c>
      <c r="T109" s="638"/>
      <c r="U109" s="647" t="s">
        <v>24</v>
      </c>
    </row>
    <row r="110" spans="1:21" x14ac:dyDescent="0.25">
      <c r="A110" s="637">
        <v>45548</v>
      </c>
      <c r="B110" s="1314" t="s">
        <v>96</v>
      </c>
      <c r="C110" s="1315"/>
      <c r="D110" s="1316">
        <v>5932220.8899999997</v>
      </c>
      <c r="E110" s="1316">
        <v>0</v>
      </c>
      <c r="F110" s="1317">
        <v>23281383.57</v>
      </c>
      <c r="G110" s="1317">
        <v>964</v>
      </c>
      <c r="H110" s="1318">
        <v>6153.7561099585055</v>
      </c>
      <c r="I110" s="1318">
        <v>0</v>
      </c>
      <c r="J110" s="1319" t="s">
        <v>21</v>
      </c>
      <c r="K110" s="1320" t="s">
        <v>22</v>
      </c>
      <c r="L110" s="1319" t="s">
        <v>45</v>
      </c>
      <c r="M110" s="1320" t="s">
        <v>38</v>
      </c>
      <c r="N110" s="640" t="s">
        <v>54</v>
      </c>
      <c r="O110" s="642" t="s">
        <v>111</v>
      </c>
      <c r="P110" s="640" t="s">
        <v>180</v>
      </c>
      <c r="Q110" s="638" t="s">
        <v>221</v>
      </c>
      <c r="R110" s="639"/>
      <c r="S110" s="639" t="s">
        <v>182</v>
      </c>
      <c r="T110" s="638"/>
      <c r="U110" s="647" t="s">
        <v>24</v>
      </c>
    </row>
    <row r="111" spans="1:21" x14ac:dyDescent="0.25">
      <c r="A111" s="637">
        <v>45548</v>
      </c>
      <c r="B111" s="1314" t="s">
        <v>229</v>
      </c>
      <c r="C111" s="1315"/>
      <c r="D111" s="1316">
        <v>0</v>
      </c>
      <c r="E111" s="1316">
        <v>917243.31</v>
      </c>
      <c r="F111" s="1317">
        <v>24198505.879999999</v>
      </c>
      <c r="G111" s="1317">
        <v>964</v>
      </c>
      <c r="H111" s="1318">
        <v>0</v>
      </c>
      <c r="I111" s="1318">
        <v>951.49720954356849</v>
      </c>
      <c r="J111" s="1319" t="s">
        <v>21</v>
      </c>
      <c r="K111" s="1320" t="s">
        <v>22</v>
      </c>
      <c r="L111" s="1319" t="s">
        <v>45</v>
      </c>
      <c r="M111" s="1320" t="s">
        <v>38</v>
      </c>
      <c r="N111" s="640" t="s">
        <v>54</v>
      </c>
      <c r="O111" s="642" t="s">
        <v>55</v>
      </c>
      <c r="P111" s="640" t="s">
        <v>170</v>
      </c>
      <c r="Q111" s="638" t="s">
        <v>219</v>
      </c>
      <c r="R111" s="639"/>
      <c r="S111" s="647" t="s">
        <v>84</v>
      </c>
      <c r="T111" s="638"/>
      <c r="U111" s="647" t="s">
        <v>24</v>
      </c>
    </row>
    <row r="112" spans="1:21" x14ac:dyDescent="0.25">
      <c r="A112" s="637">
        <v>45551</v>
      </c>
      <c r="B112" s="1314" t="s">
        <v>234</v>
      </c>
      <c r="C112" s="1315"/>
      <c r="D112" s="1316">
        <v>0</v>
      </c>
      <c r="E112" s="1316">
        <v>10000000</v>
      </c>
      <c r="F112" s="1317">
        <v>0</v>
      </c>
      <c r="G112" s="1317">
        <v>964</v>
      </c>
      <c r="H112" s="1318">
        <v>0</v>
      </c>
      <c r="I112" s="1318">
        <v>10373.443983402489</v>
      </c>
      <c r="J112" s="1319" t="s">
        <v>21</v>
      </c>
      <c r="K112" s="1320" t="s">
        <v>22</v>
      </c>
      <c r="L112" s="1319" t="s">
        <v>45</v>
      </c>
      <c r="M112" s="1320" t="s">
        <v>38</v>
      </c>
      <c r="N112" s="640" t="s">
        <v>54</v>
      </c>
      <c r="O112" s="642" t="s">
        <v>111</v>
      </c>
      <c r="P112" s="640" t="s">
        <v>170</v>
      </c>
      <c r="Q112" s="638" t="s">
        <v>219</v>
      </c>
      <c r="R112" s="639"/>
      <c r="S112" s="647" t="s">
        <v>84</v>
      </c>
      <c r="T112" s="638"/>
      <c r="U112" s="647" t="s">
        <v>24</v>
      </c>
    </row>
    <row r="113" spans="1:21" x14ac:dyDescent="0.25">
      <c r="A113" s="637">
        <v>45551</v>
      </c>
      <c r="B113" s="1314" t="s">
        <v>235</v>
      </c>
      <c r="C113" s="1315"/>
      <c r="D113" s="1316">
        <v>10000000</v>
      </c>
      <c r="E113" s="1316">
        <v>0</v>
      </c>
      <c r="F113" s="1317">
        <v>0</v>
      </c>
      <c r="G113" s="1317">
        <v>964</v>
      </c>
      <c r="H113" s="1318">
        <v>10373.443983402489</v>
      </c>
      <c r="I113" s="1318">
        <v>0</v>
      </c>
      <c r="J113" s="1319" t="s">
        <v>21</v>
      </c>
      <c r="K113" s="1320" t="s">
        <v>22</v>
      </c>
      <c r="L113" s="1319" t="s">
        <v>45</v>
      </c>
      <c r="M113" s="1320" t="s">
        <v>38</v>
      </c>
      <c r="N113" s="640" t="s">
        <v>54</v>
      </c>
      <c r="O113" s="642" t="s">
        <v>111</v>
      </c>
      <c r="P113" s="640" t="s">
        <v>131</v>
      </c>
      <c r="Q113" s="638" t="s">
        <v>236</v>
      </c>
      <c r="R113" s="639"/>
      <c r="S113" s="639" t="s">
        <v>182</v>
      </c>
      <c r="T113" s="638"/>
      <c r="U113" s="647" t="s">
        <v>24</v>
      </c>
    </row>
    <row r="114" spans="1:21" x14ac:dyDescent="0.25">
      <c r="A114" s="637">
        <v>45551</v>
      </c>
      <c r="B114" s="1314" t="s">
        <v>96</v>
      </c>
      <c r="C114" s="1315"/>
      <c r="D114" s="1316">
        <v>11000000</v>
      </c>
      <c r="E114" s="1316">
        <v>0</v>
      </c>
      <c r="F114" s="1317">
        <v>11001261</v>
      </c>
      <c r="G114" s="1317">
        <v>964</v>
      </c>
      <c r="H114" s="1318">
        <v>11410.788381742739</v>
      </c>
      <c r="I114" s="1318">
        <v>0</v>
      </c>
      <c r="J114" s="1319" t="s">
        <v>21</v>
      </c>
      <c r="K114" s="1320" t="s">
        <v>22</v>
      </c>
      <c r="L114" s="1319" t="s">
        <v>45</v>
      </c>
      <c r="M114" s="1320" t="s">
        <v>38</v>
      </c>
      <c r="N114" s="640" t="s">
        <v>54</v>
      </c>
      <c r="O114" s="642" t="s">
        <v>111</v>
      </c>
      <c r="P114" s="640" t="s">
        <v>131</v>
      </c>
      <c r="Q114" s="638" t="s">
        <v>236</v>
      </c>
      <c r="R114" s="639"/>
      <c r="S114" s="639" t="s">
        <v>182</v>
      </c>
      <c r="T114" s="638"/>
      <c r="U114" s="647" t="s">
        <v>24</v>
      </c>
    </row>
    <row r="115" spans="1:21" x14ac:dyDescent="0.25">
      <c r="A115" s="637">
        <v>45552</v>
      </c>
      <c r="B115" s="1314" t="s">
        <v>69</v>
      </c>
      <c r="C115" s="1315" t="s">
        <v>241</v>
      </c>
      <c r="D115" s="1316">
        <v>2119265.7000000002</v>
      </c>
      <c r="E115" s="1316">
        <v>0</v>
      </c>
      <c r="F115" s="1317">
        <v>8728224.9800000004</v>
      </c>
      <c r="G115" s="1317">
        <v>964</v>
      </c>
      <c r="H115" s="1318">
        <v>2198.408402489627</v>
      </c>
      <c r="I115" s="1318">
        <v>0</v>
      </c>
      <c r="J115" s="1319" t="s">
        <v>21</v>
      </c>
      <c r="K115" s="1320" t="s">
        <v>22</v>
      </c>
      <c r="L115" s="1319" t="s">
        <v>45</v>
      </c>
      <c r="M115" s="1320" t="s">
        <v>38</v>
      </c>
      <c r="N115" s="640" t="s">
        <v>54</v>
      </c>
      <c r="O115" s="642" t="s">
        <v>111</v>
      </c>
      <c r="P115" s="640" t="s">
        <v>238</v>
      </c>
      <c r="Q115" s="638" t="s">
        <v>239</v>
      </c>
      <c r="R115" s="639" t="s">
        <v>240</v>
      </c>
      <c r="S115" s="639" t="s">
        <v>59</v>
      </c>
      <c r="T115" s="638"/>
      <c r="U115" s="647" t="s">
        <v>24</v>
      </c>
    </row>
    <row r="116" spans="1:21" x14ac:dyDescent="0.25">
      <c r="A116" s="637">
        <v>45552</v>
      </c>
      <c r="B116" s="1314" t="s">
        <v>96</v>
      </c>
      <c r="C116" s="1315"/>
      <c r="D116" s="1316">
        <v>1652982.3</v>
      </c>
      <c r="E116" s="1316">
        <v>0</v>
      </c>
      <c r="F116" s="1317">
        <v>7075242.6799999997</v>
      </c>
      <c r="G116" s="1317">
        <v>964</v>
      </c>
      <c r="H116" s="1318">
        <v>1714.7119294605809</v>
      </c>
      <c r="I116" s="1318">
        <v>0</v>
      </c>
      <c r="J116" s="1319" t="s">
        <v>21</v>
      </c>
      <c r="K116" s="1320" t="s">
        <v>22</v>
      </c>
      <c r="L116" s="1319" t="s">
        <v>45</v>
      </c>
      <c r="M116" s="1320" t="s">
        <v>38</v>
      </c>
      <c r="N116" s="640" t="s">
        <v>54</v>
      </c>
      <c r="O116" s="642" t="s">
        <v>111</v>
      </c>
      <c r="P116" s="640" t="s">
        <v>131</v>
      </c>
      <c r="Q116" s="638" t="s">
        <v>132</v>
      </c>
      <c r="R116" s="639"/>
      <c r="S116" s="639" t="s">
        <v>133</v>
      </c>
      <c r="T116" s="638"/>
      <c r="U116" s="639" t="s">
        <v>29</v>
      </c>
    </row>
    <row r="117" spans="1:21" x14ac:dyDescent="0.25">
      <c r="A117" s="637">
        <v>45552</v>
      </c>
      <c r="B117" s="1314" t="s">
        <v>229</v>
      </c>
      <c r="C117" s="1315"/>
      <c r="D117" s="1316">
        <v>0</v>
      </c>
      <c r="E117" s="1316">
        <v>719219.55</v>
      </c>
      <c r="F117" s="1317">
        <v>7794341.2300000004</v>
      </c>
      <c r="G117" s="1317">
        <v>964</v>
      </c>
      <c r="H117" s="1318">
        <v>0</v>
      </c>
      <c r="I117" s="1318">
        <v>746.0783713692947</v>
      </c>
      <c r="J117" s="1319" t="s">
        <v>21</v>
      </c>
      <c r="K117" s="1320" t="s">
        <v>22</v>
      </c>
      <c r="L117" s="1319" t="s">
        <v>45</v>
      </c>
      <c r="M117" s="1320" t="s">
        <v>38</v>
      </c>
      <c r="N117" s="640" t="s">
        <v>54</v>
      </c>
      <c r="O117" s="642" t="s">
        <v>55</v>
      </c>
      <c r="P117" s="640" t="s">
        <v>170</v>
      </c>
      <c r="Q117" s="638" t="s">
        <v>219</v>
      </c>
      <c r="R117" s="639"/>
      <c r="S117" s="647" t="s">
        <v>84</v>
      </c>
      <c r="T117" s="638"/>
      <c r="U117" s="647" t="s">
        <v>24</v>
      </c>
    </row>
    <row r="118" spans="1:21" x14ac:dyDescent="0.25">
      <c r="A118" s="637">
        <v>45554</v>
      </c>
      <c r="B118" s="1314" t="s">
        <v>96</v>
      </c>
      <c r="C118" s="1315"/>
      <c r="D118" s="1316">
        <v>4443172.5999999996</v>
      </c>
      <c r="E118" s="1316">
        <v>0</v>
      </c>
      <c r="F118" s="1317">
        <v>3323768.56</v>
      </c>
      <c r="G118" s="1317">
        <v>964</v>
      </c>
      <c r="H118" s="1318">
        <v>4609.1002074688795</v>
      </c>
      <c r="I118" s="1318">
        <v>0</v>
      </c>
      <c r="J118" s="1319" t="s">
        <v>21</v>
      </c>
      <c r="K118" s="1320" t="s">
        <v>22</v>
      </c>
      <c r="L118" s="1319" t="s">
        <v>45</v>
      </c>
      <c r="M118" s="1320" t="s">
        <v>38</v>
      </c>
      <c r="N118" s="640" t="s">
        <v>54</v>
      </c>
      <c r="O118" s="642" t="s">
        <v>111</v>
      </c>
      <c r="P118" s="640" t="s">
        <v>131</v>
      </c>
      <c r="Q118" s="638" t="s">
        <v>236</v>
      </c>
      <c r="R118" s="639"/>
      <c r="S118" s="639" t="s">
        <v>182</v>
      </c>
      <c r="T118" s="638"/>
      <c r="U118" s="647" t="s">
        <v>24</v>
      </c>
    </row>
    <row r="119" spans="1:21" x14ac:dyDescent="0.25">
      <c r="A119" s="637">
        <v>45555</v>
      </c>
      <c r="B119" s="1314" t="s">
        <v>229</v>
      </c>
      <c r="C119" s="1315"/>
      <c r="D119" s="1316">
        <v>0</v>
      </c>
      <c r="E119" s="1316">
        <v>453399.89</v>
      </c>
      <c r="F119" s="1317">
        <v>3493236.61</v>
      </c>
      <c r="G119" s="1317">
        <v>964</v>
      </c>
      <c r="H119" s="1318">
        <v>0</v>
      </c>
      <c r="I119" s="1318">
        <v>470.33183609958508</v>
      </c>
      <c r="J119" s="1319" t="s">
        <v>21</v>
      </c>
      <c r="K119" s="1320" t="s">
        <v>22</v>
      </c>
      <c r="L119" s="1319" t="s">
        <v>45</v>
      </c>
      <c r="M119" s="1320" t="s">
        <v>38</v>
      </c>
      <c r="N119" s="640" t="s">
        <v>54</v>
      </c>
      <c r="O119" s="642" t="s">
        <v>55</v>
      </c>
      <c r="P119" s="640" t="s">
        <v>170</v>
      </c>
      <c r="Q119" s="638" t="s">
        <v>219</v>
      </c>
      <c r="R119" s="639"/>
      <c r="S119" s="647" t="s">
        <v>84</v>
      </c>
      <c r="T119" s="638"/>
      <c r="U119" s="647" t="s">
        <v>24</v>
      </c>
    </row>
    <row r="120" spans="1:21" x14ac:dyDescent="0.25">
      <c r="A120" s="637">
        <v>45555</v>
      </c>
      <c r="B120" s="1314" t="s">
        <v>96</v>
      </c>
      <c r="C120" s="1315"/>
      <c r="D120" s="1316">
        <v>1499082.64</v>
      </c>
      <c r="E120" s="1316">
        <v>0</v>
      </c>
      <c r="F120" s="1317">
        <v>1914153.97</v>
      </c>
      <c r="G120" s="1317">
        <v>964</v>
      </c>
      <c r="H120" s="1318">
        <v>1555.0649792531119</v>
      </c>
      <c r="I120" s="1318">
        <v>0</v>
      </c>
      <c r="J120" s="1319" t="s">
        <v>21</v>
      </c>
      <c r="K120" s="1320" t="s">
        <v>22</v>
      </c>
      <c r="L120" s="1319" t="s">
        <v>45</v>
      </c>
      <c r="M120" s="1320" t="s">
        <v>38</v>
      </c>
      <c r="N120" s="640" t="s">
        <v>54</v>
      </c>
      <c r="O120" s="642" t="s">
        <v>55</v>
      </c>
      <c r="P120" s="640" t="s">
        <v>242</v>
      </c>
      <c r="Q120" s="638" t="s">
        <v>181</v>
      </c>
      <c r="R120" s="639" t="s">
        <v>243</v>
      </c>
      <c r="S120" s="639" t="s">
        <v>182</v>
      </c>
      <c r="T120" s="638"/>
      <c r="U120" s="647" t="s">
        <v>24</v>
      </c>
    </row>
    <row r="121" spans="1:21" x14ac:dyDescent="0.25">
      <c r="A121" s="637">
        <v>45562</v>
      </c>
      <c r="B121" s="1314" t="s">
        <v>96</v>
      </c>
      <c r="C121" s="1315"/>
      <c r="D121" s="1316">
        <v>2498166</v>
      </c>
      <c r="E121" s="1316">
        <v>0</v>
      </c>
      <c r="F121" s="1317">
        <v>-2273832.12</v>
      </c>
      <c r="G121" s="1317">
        <v>964</v>
      </c>
      <c r="H121" s="1318">
        <v>2591.4585062240662</v>
      </c>
      <c r="I121" s="1318">
        <v>0</v>
      </c>
      <c r="J121" s="1319" t="s">
        <v>21</v>
      </c>
      <c r="K121" s="1320" t="s">
        <v>22</v>
      </c>
      <c r="L121" s="1319" t="s">
        <v>45</v>
      </c>
      <c r="M121" s="1320" t="s">
        <v>38</v>
      </c>
      <c r="N121" s="640" t="s">
        <v>54</v>
      </c>
      <c r="O121" s="642" t="s">
        <v>55</v>
      </c>
      <c r="P121" s="640" t="s">
        <v>94</v>
      </c>
      <c r="Q121" s="638" t="s">
        <v>117</v>
      </c>
      <c r="R121" s="639" t="s">
        <v>244</v>
      </c>
      <c r="S121" s="639" t="s">
        <v>59</v>
      </c>
      <c r="T121" s="638"/>
      <c r="U121" s="647" t="s">
        <v>24</v>
      </c>
    </row>
    <row r="122" spans="1:21" x14ac:dyDescent="0.25">
      <c r="A122" s="637">
        <v>45555</v>
      </c>
      <c r="B122" s="1314" t="s">
        <v>245</v>
      </c>
      <c r="C122" s="1315"/>
      <c r="D122" s="1316">
        <v>0</v>
      </c>
      <c r="E122" s="1316">
        <v>6575765.2400000002</v>
      </c>
      <c r="F122" s="1317">
        <v>0</v>
      </c>
      <c r="G122" s="1317">
        <v>964</v>
      </c>
      <c r="H122" s="1318">
        <v>0</v>
      </c>
      <c r="I122" s="1318">
        <v>6821.3332365145234</v>
      </c>
      <c r="J122" s="1319" t="s">
        <v>26</v>
      </c>
      <c r="K122" s="1320" t="s">
        <v>26</v>
      </c>
      <c r="L122" s="1319" t="s">
        <v>26</v>
      </c>
      <c r="M122" s="1320" t="s">
        <v>38</v>
      </c>
      <c r="N122" s="640" t="s">
        <v>54</v>
      </c>
      <c r="O122" s="642" t="s">
        <v>111</v>
      </c>
      <c r="P122" s="640" t="s">
        <v>170</v>
      </c>
      <c r="Q122" s="638" t="s">
        <v>219</v>
      </c>
      <c r="R122" s="639"/>
      <c r="S122" s="647" t="s">
        <v>84</v>
      </c>
      <c r="T122" s="638"/>
      <c r="U122" s="647" t="s">
        <v>24</v>
      </c>
    </row>
    <row r="123" spans="1:21" x14ac:dyDescent="0.25">
      <c r="A123" s="637">
        <v>45555</v>
      </c>
      <c r="B123" s="1314" t="s">
        <v>235</v>
      </c>
      <c r="C123" s="1315"/>
      <c r="D123" s="1316">
        <v>6575765.2400000002</v>
      </c>
      <c r="E123" s="1316">
        <v>0</v>
      </c>
      <c r="F123" s="1317">
        <v>0</v>
      </c>
      <c r="G123" s="1317">
        <v>964</v>
      </c>
      <c r="H123" s="1318">
        <v>6821.3332365145234</v>
      </c>
      <c r="I123" s="1318">
        <v>0</v>
      </c>
      <c r="J123" s="1319" t="s">
        <v>26</v>
      </c>
      <c r="K123" s="1320" t="s">
        <v>26</v>
      </c>
      <c r="L123" s="1319" t="s">
        <v>26</v>
      </c>
      <c r="M123" s="1320" t="s">
        <v>38</v>
      </c>
      <c r="N123" s="640" t="s">
        <v>54</v>
      </c>
      <c r="O123" s="642" t="s">
        <v>55</v>
      </c>
      <c r="P123" s="640" t="s">
        <v>242</v>
      </c>
      <c r="Q123" s="638" t="s">
        <v>181</v>
      </c>
      <c r="R123" s="639" t="s">
        <v>243</v>
      </c>
      <c r="S123" s="639" t="s">
        <v>182</v>
      </c>
      <c r="T123" s="638"/>
      <c r="U123" s="647" t="s">
        <v>24</v>
      </c>
    </row>
    <row r="124" spans="1:21" x14ac:dyDescent="0.25">
      <c r="A124" s="1342">
        <v>45581</v>
      </c>
      <c r="B124" s="1314" t="s">
        <v>246</v>
      </c>
      <c r="C124" s="1315"/>
      <c r="D124" s="1316">
        <v>19900000</v>
      </c>
      <c r="E124" s="1316">
        <v>0</v>
      </c>
      <c r="F124" s="1317"/>
      <c r="G124" s="1317">
        <v>970</v>
      </c>
      <c r="H124" s="1318">
        <v>20515.463917525773</v>
      </c>
      <c r="I124" s="1318">
        <v>0</v>
      </c>
      <c r="J124" s="1319" t="s">
        <v>21</v>
      </c>
      <c r="K124" s="1320" t="s">
        <v>22</v>
      </c>
      <c r="L124" s="1319" t="s">
        <v>23</v>
      </c>
      <c r="M124" s="1320" t="s">
        <v>38</v>
      </c>
      <c r="N124" s="640" t="s">
        <v>54</v>
      </c>
      <c r="O124" s="642" t="s">
        <v>111</v>
      </c>
      <c r="P124" s="640" t="s">
        <v>52</v>
      </c>
      <c r="Q124" s="638" t="s">
        <v>144</v>
      </c>
      <c r="R124" s="639"/>
      <c r="S124" s="639" t="s">
        <v>182</v>
      </c>
      <c r="T124" s="638"/>
      <c r="U124" s="647" t="s">
        <v>24</v>
      </c>
    </row>
    <row r="125" spans="1:21" x14ac:dyDescent="0.25">
      <c r="A125" s="1342">
        <v>45582</v>
      </c>
      <c r="B125" s="1314" t="s">
        <v>247</v>
      </c>
      <c r="C125" s="1315"/>
      <c r="D125" s="1316">
        <v>1434104.1</v>
      </c>
      <c r="E125" s="1316">
        <v>0</v>
      </c>
      <c r="F125" s="1317">
        <v>-1553085.74</v>
      </c>
      <c r="G125" s="1317">
        <v>997</v>
      </c>
      <c r="H125" s="1318">
        <v>1438.4193580742228</v>
      </c>
      <c r="I125" s="1318">
        <v>0</v>
      </c>
      <c r="J125" s="1319" t="s">
        <v>21</v>
      </c>
      <c r="K125" s="1320" t="s">
        <v>22</v>
      </c>
      <c r="L125" s="1319" t="s">
        <v>23</v>
      </c>
      <c r="M125" s="1320" t="s">
        <v>38</v>
      </c>
      <c r="N125" s="640" t="s">
        <v>54</v>
      </c>
      <c r="O125" s="642" t="s">
        <v>55</v>
      </c>
      <c r="P125" s="640" t="s">
        <v>94</v>
      </c>
      <c r="Q125" s="638" t="s">
        <v>248</v>
      </c>
      <c r="R125" s="639"/>
      <c r="S125" s="639" t="s">
        <v>59</v>
      </c>
      <c r="T125" s="638"/>
      <c r="U125" s="647" t="s">
        <v>24</v>
      </c>
    </row>
    <row r="126" spans="1:21" x14ac:dyDescent="0.25">
      <c r="A126" s="637">
        <v>45601</v>
      </c>
      <c r="B126" s="1314" t="s">
        <v>249</v>
      </c>
      <c r="C126" s="1315"/>
      <c r="D126" s="1316">
        <v>500000</v>
      </c>
      <c r="E126" s="1316">
        <v>0</v>
      </c>
      <c r="F126" s="1317">
        <v>47773756.200000003</v>
      </c>
      <c r="G126" s="1317">
        <v>1000</v>
      </c>
      <c r="H126" s="1343">
        <v>500</v>
      </c>
      <c r="I126" s="1343">
        <v>0</v>
      </c>
      <c r="J126" s="1319" t="s">
        <v>21</v>
      </c>
      <c r="K126" s="1320" t="s">
        <v>22</v>
      </c>
      <c r="L126" s="1319" t="s">
        <v>23</v>
      </c>
      <c r="M126" s="1320" t="s">
        <v>38</v>
      </c>
      <c r="N126" s="640" t="s">
        <v>54</v>
      </c>
      <c r="O126" s="640" t="s">
        <v>55</v>
      </c>
      <c r="P126" s="640" t="s">
        <v>250</v>
      </c>
      <c r="Q126" s="638" t="s">
        <v>251</v>
      </c>
      <c r="R126" s="639"/>
      <c r="S126" s="639" t="s">
        <v>252</v>
      </c>
      <c r="T126" s="638"/>
      <c r="U126" s="639" t="s">
        <v>29</v>
      </c>
    </row>
    <row r="127" spans="1:21" x14ac:dyDescent="0.25">
      <c r="A127" s="637">
        <v>45603</v>
      </c>
      <c r="B127" s="1314" t="s">
        <v>247</v>
      </c>
      <c r="C127" s="1315"/>
      <c r="D127" s="1316">
        <v>13367865.109999999</v>
      </c>
      <c r="E127" s="1316">
        <v>0</v>
      </c>
      <c r="F127" s="1317">
        <v>32392931.09</v>
      </c>
      <c r="G127" s="1317">
        <v>1000</v>
      </c>
      <c r="H127" s="1343">
        <v>13367.865109999999</v>
      </c>
      <c r="I127" s="1343">
        <v>0</v>
      </c>
      <c r="J127" s="1319" t="s">
        <v>21</v>
      </c>
      <c r="K127" s="1320" t="s">
        <v>22</v>
      </c>
      <c r="L127" s="1319" t="s">
        <v>23</v>
      </c>
      <c r="M127" s="1320" t="s">
        <v>38</v>
      </c>
      <c r="N127" s="640" t="s">
        <v>54</v>
      </c>
      <c r="O127" s="640" t="s">
        <v>111</v>
      </c>
      <c r="P127" s="640" t="s">
        <v>65</v>
      </c>
      <c r="Q127" s="638" t="s">
        <v>122</v>
      </c>
      <c r="R127" s="639"/>
      <c r="S127" s="639" t="s">
        <v>59</v>
      </c>
      <c r="T127" s="638"/>
      <c r="U127" s="639" t="s">
        <v>24</v>
      </c>
    </row>
    <row r="128" spans="1:21" x14ac:dyDescent="0.25">
      <c r="A128" s="637">
        <v>45610</v>
      </c>
      <c r="B128" s="1314" t="s">
        <v>247</v>
      </c>
      <c r="C128" s="1315"/>
      <c r="D128" s="1316">
        <v>387691</v>
      </c>
      <c r="E128" s="1316">
        <v>0</v>
      </c>
      <c r="F128" s="1317">
        <v>26094822.77</v>
      </c>
      <c r="G128" s="1317">
        <v>1000</v>
      </c>
      <c r="H128" s="1343">
        <v>387.69099999999997</v>
      </c>
      <c r="I128" s="1343">
        <v>0</v>
      </c>
      <c r="J128" s="1319" t="s">
        <v>21</v>
      </c>
      <c r="K128" s="1320" t="s">
        <v>22</v>
      </c>
      <c r="L128" s="1319" t="s">
        <v>23</v>
      </c>
      <c r="M128" s="1320" t="s">
        <v>38</v>
      </c>
      <c r="N128" s="640" t="s">
        <v>54</v>
      </c>
      <c r="O128" s="640" t="s">
        <v>55</v>
      </c>
      <c r="P128" s="640" t="s">
        <v>253</v>
      </c>
      <c r="Q128" s="638" t="s">
        <v>72</v>
      </c>
      <c r="R128" s="639" t="s">
        <v>254</v>
      </c>
      <c r="S128" s="639" t="s">
        <v>59</v>
      </c>
      <c r="T128" s="638"/>
      <c r="U128" s="639" t="s">
        <v>255</v>
      </c>
    </row>
    <row r="129" spans="1:21" x14ac:dyDescent="0.25">
      <c r="A129" s="637">
        <v>45611</v>
      </c>
      <c r="B129" s="1314" t="s">
        <v>256</v>
      </c>
      <c r="C129" s="1315"/>
      <c r="D129" s="1316">
        <v>20000000</v>
      </c>
      <c r="E129" s="1316">
        <v>0</v>
      </c>
      <c r="F129" s="1317">
        <v>25698805.620000001</v>
      </c>
      <c r="G129" s="1317">
        <v>1000</v>
      </c>
      <c r="H129" s="1343">
        <v>20000</v>
      </c>
      <c r="I129" s="1343">
        <v>0</v>
      </c>
      <c r="J129" s="1319" t="s">
        <v>21</v>
      </c>
      <c r="K129" s="1320" t="s">
        <v>22</v>
      </c>
      <c r="L129" s="1319" t="s">
        <v>23</v>
      </c>
      <c r="M129" s="1320" t="s">
        <v>38</v>
      </c>
      <c r="N129" s="640" t="s">
        <v>54</v>
      </c>
      <c r="O129" s="640" t="s">
        <v>55</v>
      </c>
      <c r="P129" s="640" t="s">
        <v>52</v>
      </c>
      <c r="Q129" s="638" t="s">
        <v>144</v>
      </c>
      <c r="R129" s="639"/>
      <c r="S129" s="639" t="s">
        <v>182</v>
      </c>
      <c r="T129" s="638"/>
      <c r="U129" s="639" t="s">
        <v>24</v>
      </c>
    </row>
    <row r="130" spans="1:21" x14ac:dyDescent="0.25">
      <c r="A130" s="1342">
        <v>45568</v>
      </c>
      <c r="B130" s="1314" t="s">
        <v>49</v>
      </c>
      <c r="C130" s="1315"/>
      <c r="D130" s="1316">
        <v>8000000</v>
      </c>
      <c r="E130" s="1316">
        <v>0</v>
      </c>
      <c r="F130" s="1317">
        <v>2603352.86</v>
      </c>
      <c r="G130" s="1317">
        <v>965</v>
      </c>
      <c r="H130" s="1318">
        <v>8290.1554404145081</v>
      </c>
      <c r="I130" s="1318">
        <v>0</v>
      </c>
      <c r="J130" s="1319" t="s">
        <v>21</v>
      </c>
      <c r="K130" s="1320" t="s">
        <v>22</v>
      </c>
      <c r="L130" s="1319" t="s">
        <v>27</v>
      </c>
      <c r="M130" s="1320" t="s">
        <v>38</v>
      </c>
      <c r="N130" s="640" t="s">
        <v>54</v>
      </c>
      <c r="O130" s="642" t="s">
        <v>55</v>
      </c>
      <c r="P130" s="640" t="s">
        <v>65</v>
      </c>
      <c r="Q130" s="638" t="s">
        <v>122</v>
      </c>
      <c r="R130" s="639" t="s">
        <v>43</v>
      </c>
      <c r="S130" s="1124" t="s">
        <v>59</v>
      </c>
      <c r="T130" s="638"/>
      <c r="U130" s="647" t="s">
        <v>24</v>
      </c>
    </row>
    <row r="131" spans="1:21" x14ac:dyDescent="0.25">
      <c r="A131" s="1342">
        <v>45568</v>
      </c>
      <c r="B131" s="1314" t="s">
        <v>49</v>
      </c>
      <c r="C131" s="1315"/>
      <c r="D131" s="1316">
        <v>2981331.1</v>
      </c>
      <c r="E131" s="1316">
        <v>0</v>
      </c>
      <c r="F131" s="1317">
        <v>10604199.859999999</v>
      </c>
      <c r="G131" s="1317">
        <v>965</v>
      </c>
      <c r="H131" s="1318">
        <v>3089.4622797927464</v>
      </c>
      <c r="I131" s="1318">
        <v>0</v>
      </c>
      <c r="J131" s="1319" t="s">
        <v>21</v>
      </c>
      <c r="K131" s="1320" t="s">
        <v>22</v>
      </c>
      <c r="L131" s="1319" t="s">
        <v>27</v>
      </c>
      <c r="M131" s="1320" t="s">
        <v>38</v>
      </c>
      <c r="N131" s="640" t="s">
        <v>54</v>
      </c>
      <c r="O131" s="642" t="s">
        <v>55</v>
      </c>
      <c r="P131" s="640" t="s">
        <v>94</v>
      </c>
      <c r="Q131" s="638" t="s">
        <v>117</v>
      </c>
      <c r="R131" s="639"/>
      <c r="S131" s="639" t="s">
        <v>59</v>
      </c>
      <c r="T131" s="638"/>
      <c r="U131" s="647" t="s">
        <v>24</v>
      </c>
    </row>
    <row r="132" spans="1:21" x14ac:dyDescent="0.25">
      <c r="A132" s="637">
        <v>45573</v>
      </c>
      <c r="B132" s="1314" t="s">
        <v>74</v>
      </c>
      <c r="C132" s="1315" t="s">
        <v>257</v>
      </c>
      <c r="D132" s="1316">
        <v>200000</v>
      </c>
      <c r="E132" s="1316">
        <v>0</v>
      </c>
      <c r="F132" s="1317">
        <v>0</v>
      </c>
      <c r="G132" s="1317">
        <v>965</v>
      </c>
      <c r="H132" s="1318">
        <v>207.25388601036269</v>
      </c>
      <c r="I132" s="1318">
        <v>0</v>
      </c>
      <c r="J132" s="1319" t="s">
        <v>21</v>
      </c>
      <c r="K132" s="1320" t="s">
        <v>22</v>
      </c>
      <c r="L132" s="1319" t="s">
        <v>51</v>
      </c>
      <c r="M132" s="1320" t="s">
        <v>38</v>
      </c>
      <c r="N132" s="640" t="s">
        <v>54</v>
      </c>
      <c r="O132" s="642" t="s">
        <v>111</v>
      </c>
      <c r="P132" s="640" t="s">
        <v>223</v>
      </c>
      <c r="Q132" s="638" t="s">
        <v>224</v>
      </c>
      <c r="R132" s="639" t="s">
        <v>43</v>
      </c>
      <c r="S132" s="639" t="s">
        <v>44</v>
      </c>
      <c r="T132" s="638"/>
      <c r="U132" s="647" t="s">
        <v>24</v>
      </c>
    </row>
    <row r="133" spans="1:21" x14ac:dyDescent="0.25">
      <c r="A133" s="637">
        <v>45587</v>
      </c>
      <c r="B133" s="1314" t="s">
        <v>74</v>
      </c>
      <c r="C133" s="1315" t="s">
        <v>258</v>
      </c>
      <c r="D133" s="1316">
        <v>257670</v>
      </c>
      <c r="E133" s="1316">
        <v>0</v>
      </c>
      <c r="F133" s="1317">
        <v>0</v>
      </c>
      <c r="G133" s="1317">
        <v>965</v>
      </c>
      <c r="H133" s="1318">
        <v>267.01554404145077</v>
      </c>
      <c r="I133" s="1318">
        <v>0</v>
      </c>
      <c r="J133" s="1319" t="s">
        <v>21</v>
      </c>
      <c r="K133" s="1320" t="s">
        <v>22</v>
      </c>
      <c r="L133" s="1319" t="s">
        <v>51</v>
      </c>
      <c r="M133" s="1320" t="s">
        <v>38</v>
      </c>
      <c r="N133" s="640" t="s">
        <v>54</v>
      </c>
      <c r="O133" s="642" t="s">
        <v>111</v>
      </c>
      <c r="P133" s="640" t="s">
        <v>223</v>
      </c>
      <c r="Q133" s="638" t="s">
        <v>224</v>
      </c>
      <c r="R133" s="639" t="s">
        <v>43</v>
      </c>
      <c r="S133" s="639" t="s">
        <v>44</v>
      </c>
      <c r="T133" s="638"/>
      <c r="U133" s="647" t="s">
        <v>24</v>
      </c>
    </row>
    <row r="134" spans="1:21" x14ac:dyDescent="0.25">
      <c r="A134" s="637">
        <v>45588</v>
      </c>
      <c r="B134" s="1314" t="s">
        <v>74</v>
      </c>
      <c r="C134" s="1315" t="s">
        <v>259</v>
      </c>
      <c r="D134" s="1316">
        <v>257000</v>
      </c>
      <c r="E134" s="1316">
        <v>0</v>
      </c>
      <c r="F134" s="1317">
        <v>0</v>
      </c>
      <c r="G134" s="1317">
        <v>965</v>
      </c>
      <c r="H134" s="1318">
        <v>266.32124352331607</v>
      </c>
      <c r="I134" s="1318">
        <v>0</v>
      </c>
      <c r="J134" s="1319" t="s">
        <v>21</v>
      </c>
      <c r="K134" s="1320" t="s">
        <v>22</v>
      </c>
      <c r="L134" s="1319" t="s">
        <v>51</v>
      </c>
      <c r="M134" s="1320" t="s">
        <v>38</v>
      </c>
      <c r="N134" s="640" t="s">
        <v>54</v>
      </c>
      <c r="O134" s="642" t="s">
        <v>111</v>
      </c>
      <c r="P134" s="640" t="s">
        <v>223</v>
      </c>
      <c r="Q134" s="638" t="s">
        <v>224</v>
      </c>
      <c r="R134" s="639" t="s">
        <v>43</v>
      </c>
      <c r="S134" s="639" t="s">
        <v>44</v>
      </c>
      <c r="T134" s="638"/>
      <c r="U134" s="647" t="s">
        <v>24</v>
      </c>
    </row>
    <row r="135" spans="1:21" x14ac:dyDescent="0.25">
      <c r="A135" s="1344">
        <v>45597</v>
      </c>
      <c r="B135" s="1314" t="s">
        <v>186</v>
      </c>
      <c r="C135" s="1315"/>
      <c r="D135" s="1316">
        <v>10000000</v>
      </c>
      <c r="E135" s="1316">
        <v>0</v>
      </c>
      <c r="F135" s="1317">
        <v>-10000000</v>
      </c>
      <c r="G135" s="1317">
        <v>965</v>
      </c>
      <c r="H135" s="1318">
        <v>10362.694300518135</v>
      </c>
      <c r="I135" s="1343">
        <v>0</v>
      </c>
      <c r="J135" s="1319" t="s">
        <v>21</v>
      </c>
      <c r="K135" s="1320" t="s">
        <v>166</v>
      </c>
      <c r="L135" s="1319" t="s">
        <v>45</v>
      </c>
      <c r="M135" s="1320" t="s">
        <v>38</v>
      </c>
      <c r="N135" s="640" t="s">
        <v>54</v>
      </c>
      <c r="O135" s="640" t="s">
        <v>55</v>
      </c>
      <c r="P135" s="640" t="s">
        <v>65</v>
      </c>
      <c r="Q135" s="638" t="s">
        <v>122</v>
      </c>
      <c r="R135" s="639"/>
      <c r="S135" s="1124" t="s">
        <v>59</v>
      </c>
      <c r="T135" s="638"/>
      <c r="U135" s="647" t="s">
        <v>24</v>
      </c>
    </row>
    <row r="136" spans="1:21" x14ac:dyDescent="0.25">
      <c r="A136" s="1342">
        <v>45566</v>
      </c>
      <c r="B136" s="1314" t="s">
        <v>69</v>
      </c>
      <c r="C136" s="1315" t="s">
        <v>261</v>
      </c>
      <c r="D136" s="1316">
        <v>1307284</v>
      </c>
      <c r="E136" s="1316">
        <v>0</v>
      </c>
      <c r="F136" s="1317">
        <v>-3911083.15</v>
      </c>
      <c r="G136" s="1317">
        <v>965</v>
      </c>
      <c r="H136" s="1318">
        <v>1354.698445595855</v>
      </c>
      <c r="I136" s="1318">
        <v>0</v>
      </c>
      <c r="J136" s="1319" t="s">
        <v>21</v>
      </c>
      <c r="K136" s="1320" t="s">
        <v>22</v>
      </c>
      <c r="L136" s="1319" t="s">
        <v>45</v>
      </c>
      <c r="M136" s="1320" t="s">
        <v>38</v>
      </c>
      <c r="N136" s="640" t="s">
        <v>54</v>
      </c>
      <c r="O136" s="642" t="s">
        <v>55</v>
      </c>
      <c r="P136" s="640" t="s">
        <v>94</v>
      </c>
      <c r="Q136" s="638" t="s">
        <v>117</v>
      </c>
      <c r="R136" s="639" t="s">
        <v>262</v>
      </c>
      <c r="S136" s="639" t="s">
        <v>59</v>
      </c>
      <c r="T136" s="638"/>
      <c r="U136" s="647" t="s">
        <v>24</v>
      </c>
    </row>
    <row r="137" spans="1:21" x14ac:dyDescent="0.25">
      <c r="A137" s="1342">
        <v>45574</v>
      </c>
      <c r="B137" s="1314" t="s">
        <v>69</v>
      </c>
      <c r="C137" s="1315" t="s">
        <v>263</v>
      </c>
      <c r="D137" s="1316">
        <v>1343100</v>
      </c>
      <c r="E137" s="1316">
        <v>0</v>
      </c>
      <c r="F137" s="1317">
        <v>-4419799.43</v>
      </c>
      <c r="G137" s="1317">
        <v>997</v>
      </c>
      <c r="H137" s="1318">
        <v>1347.1414242728185</v>
      </c>
      <c r="I137" s="1318">
        <v>0</v>
      </c>
      <c r="J137" s="1319" t="s">
        <v>21</v>
      </c>
      <c r="K137" s="1320" t="s">
        <v>22</v>
      </c>
      <c r="L137" s="1319" t="s">
        <v>45</v>
      </c>
      <c r="M137" s="1320" t="s">
        <v>38</v>
      </c>
      <c r="N137" s="640" t="s">
        <v>54</v>
      </c>
      <c r="O137" s="642" t="s">
        <v>55</v>
      </c>
      <c r="P137" s="640" t="s">
        <v>94</v>
      </c>
      <c r="Q137" s="638" t="s">
        <v>117</v>
      </c>
      <c r="R137" s="639" t="s">
        <v>264</v>
      </c>
      <c r="S137" s="639" t="s">
        <v>59</v>
      </c>
      <c r="T137" s="638"/>
      <c r="U137" s="647" t="s">
        <v>24</v>
      </c>
    </row>
    <row r="138" spans="1:21" x14ac:dyDescent="0.25">
      <c r="A138" s="1342">
        <v>45582</v>
      </c>
      <c r="B138" s="1314" t="s">
        <v>69</v>
      </c>
      <c r="C138" s="1315" t="s">
        <v>265</v>
      </c>
      <c r="D138" s="1316">
        <v>1076000</v>
      </c>
      <c r="E138" s="1316">
        <v>0</v>
      </c>
      <c r="F138" s="1317">
        <v>-4016621.64</v>
      </c>
      <c r="G138" s="1317">
        <v>997</v>
      </c>
      <c r="H138" s="1318">
        <v>1079.2377131394182</v>
      </c>
      <c r="I138" s="1318">
        <v>0</v>
      </c>
      <c r="J138" s="1319" t="s">
        <v>21</v>
      </c>
      <c r="K138" s="1320" t="s">
        <v>22</v>
      </c>
      <c r="L138" s="1319" t="s">
        <v>45</v>
      </c>
      <c r="M138" s="1320" t="s">
        <v>38</v>
      </c>
      <c r="N138" s="640" t="s">
        <v>54</v>
      </c>
      <c r="O138" s="642" t="s">
        <v>111</v>
      </c>
      <c r="P138" s="640" t="s">
        <v>154</v>
      </c>
      <c r="Q138" s="638" t="s">
        <v>155</v>
      </c>
      <c r="R138" s="639"/>
      <c r="S138" s="639" t="s">
        <v>59</v>
      </c>
      <c r="T138" s="638"/>
      <c r="U138" s="647" t="s">
        <v>24</v>
      </c>
    </row>
    <row r="139" spans="1:21" x14ac:dyDescent="0.25">
      <c r="A139" s="637">
        <v>45586</v>
      </c>
      <c r="B139" s="1314" t="s">
        <v>232</v>
      </c>
      <c r="C139" s="1315"/>
      <c r="D139" s="1316">
        <v>0</v>
      </c>
      <c r="E139" s="1316">
        <v>106650.1</v>
      </c>
      <c r="F139" s="1317">
        <v>-2798951.32</v>
      </c>
      <c r="G139" s="1317">
        <v>999</v>
      </c>
      <c r="H139" s="1318">
        <v>0</v>
      </c>
      <c r="I139" s="1318">
        <v>106.75685685685686</v>
      </c>
      <c r="J139" s="1319" t="s">
        <v>21</v>
      </c>
      <c r="K139" s="1320" t="s">
        <v>22</v>
      </c>
      <c r="L139" s="1319" t="s">
        <v>45</v>
      </c>
      <c r="M139" s="1320" t="s">
        <v>38</v>
      </c>
      <c r="N139" s="640" t="s">
        <v>54</v>
      </c>
      <c r="O139" s="642" t="s">
        <v>55</v>
      </c>
      <c r="P139" s="640" t="s">
        <v>128</v>
      </c>
      <c r="Q139" s="638" t="s">
        <v>219</v>
      </c>
      <c r="R139" s="639"/>
      <c r="S139" s="639" t="s">
        <v>84</v>
      </c>
      <c r="T139" s="638"/>
      <c r="U139" s="647" t="s">
        <v>24</v>
      </c>
    </row>
    <row r="140" spans="1:21" x14ac:dyDescent="0.25">
      <c r="A140" s="1342">
        <v>45589</v>
      </c>
      <c r="B140" s="1314" t="s">
        <v>69</v>
      </c>
      <c r="C140" s="1315" t="s">
        <v>266</v>
      </c>
      <c r="D140" s="1316">
        <v>1330564.3999999999</v>
      </c>
      <c r="E140" s="1316">
        <v>0</v>
      </c>
      <c r="F140" s="1317">
        <v>-4829966.0999999996</v>
      </c>
      <c r="G140" s="1317">
        <v>1000</v>
      </c>
      <c r="H140" s="1318">
        <v>1330.5644</v>
      </c>
      <c r="I140" s="1318">
        <v>0</v>
      </c>
      <c r="J140" s="1319" t="s">
        <v>21</v>
      </c>
      <c r="K140" s="1320" t="s">
        <v>22</v>
      </c>
      <c r="L140" s="1319" t="s">
        <v>45</v>
      </c>
      <c r="M140" s="1320" t="s">
        <v>38</v>
      </c>
      <c r="N140" s="640" t="s">
        <v>54</v>
      </c>
      <c r="O140" s="642" t="s">
        <v>111</v>
      </c>
      <c r="P140" s="640" t="s">
        <v>94</v>
      </c>
      <c r="Q140" s="638" t="s">
        <v>267</v>
      </c>
      <c r="R140" s="639" t="s">
        <v>268</v>
      </c>
      <c r="S140" s="639" t="s">
        <v>59</v>
      </c>
      <c r="T140" s="638"/>
      <c r="U140" s="647" t="s">
        <v>24</v>
      </c>
    </row>
    <row r="141" spans="1:21" x14ac:dyDescent="0.25">
      <c r="A141" s="1342">
        <v>45590</v>
      </c>
      <c r="B141" s="1314" t="s">
        <v>69</v>
      </c>
      <c r="C141" s="1315" t="s">
        <v>269</v>
      </c>
      <c r="D141" s="1316">
        <v>2476676.4</v>
      </c>
      <c r="E141" s="1316">
        <v>0</v>
      </c>
      <c r="F141" s="1317">
        <v>6479449.96</v>
      </c>
      <c r="G141" s="1317">
        <v>1000</v>
      </c>
      <c r="H141" s="1318">
        <v>2476.6763999999998</v>
      </c>
      <c r="I141" s="1318">
        <v>0</v>
      </c>
      <c r="J141" s="1319" t="s">
        <v>21</v>
      </c>
      <c r="K141" s="1320" t="s">
        <v>22</v>
      </c>
      <c r="L141" s="1319" t="s">
        <v>45</v>
      </c>
      <c r="M141" s="1320" t="s">
        <v>38</v>
      </c>
      <c r="N141" s="640" t="s">
        <v>54</v>
      </c>
      <c r="O141" s="642" t="s">
        <v>111</v>
      </c>
      <c r="P141" s="640" t="s">
        <v>94</v>
      </c>
      <c r="Q141" s="638" t="s">
        <v>117</v>
      </c>
      <c r="R141" s="639" t="s">
        <v>270</v>
      </c>
      <c r="S141" s="639" t="s">
        <v>59</v>
      </c>
      <c r="T141" s="638"/>
      <c r="U141" s="647" t="s">
        <v>24</v>
      </c>
    </row>
    <row r="142" spans="1:21" x14ac:dyDescent="0.25">
      <c r="A142" s="1342">
        <v>45590</v>
      </c>
      <c r="B142" s="1314" t="s">
        <v>96</v>
      </c>
      <c r="C142" s="1315"/>
      <c r="D142" s="1316">
        <v>134031.70000000001</v>
      </c>
      <c r="E142" s="1316">
        <v>0</v>
      </c>
      <c r="F142" s="1317">
        <v>6248618.2599999998</v>
      </c>
      <c r="G142" s="1317">
        <v>1000</v>
      </c>
      <c r="H142" s="1318">
        <v>134.0317</v>
      </c>
      <c r="I142" s="1318">
        <v>0</v>
      </c>
      <c r="J142" s="1319" t="s">
        <v>21</v>
      </c>
      <c r="K142" s="1320" t="s">
        <v>22</v>
      </c>
      <c r="L142" s="1319" t="s">
        <v>45</v>
      </c>
      <c r="M142" s="1320" t="s">
        <v>38</v>
      </c>
      <c r="N142" s="640" t="s">
        <v>54</v>
      </c>
      <c r="O142" s="642" t="s">
        <v>52</v>
      </c>
      <c r="P142" s="640" t="s">
        <v>272</v>
      </c>
      <c r="Q142" s="638" t="s">
        <v>273</v>
      </c>
      <c r="R142" s="639" t="s">
        <v>274</v>
      </c>
      <c r="S142" s="639" t="s">
        <v>59</v>
      </c>
      <c r="T142" s="638"/>
      <c r="U142" s="647" t="s">
        <v>255</v>
      </c>
    </row>
    <row r="143" spans="1:21" x14ac:dyDescent="0.25">
      <c r="A143" s="1342">
        <v>45593</v>
      </c>
      <c r="B143" s="1314" t="s">
        <v>76</v>
      </c>
      <c r="C143" s="1315" t="s">
        <v>275</v>
      </c>
      <c r="D143" s="1316">
        <v>1592916.6</v>
      </c>
      <c r="E143" s="1316">
        <v>0</v>
      </c>
      <c r="F143" s="1317">
        <v>4380768.82</v>
      </c>
      <c r="G143" s="1317">
        <v>1000</v>
      </c>
      <c r="H143" s="1318">
        <v>1592.9166</v>
      </c>
      <c r="I143" s="1343">
        <v>0</v>
      </c>
      <c r="J143" s="1319" t="s">
        <v>21</v>
      </c>
      <c r="K143" s="1320" t="s">
        <v>22</v>
      </c>
      <c r="L143" s="1319" t="s">
        <v>45</v>
      </c>
      <c r="M143" s="1320" t="s">
        <v>38</v>
      </c>
      <c r="N143" s="640" t="s">
        <v>54</v>
      </c>
      <c r="O143" s="640" t="s">
        <v>55</v>
      </c>
      <c r="P143" s="640" t="s">
        <v>94</v>
      </c>
      <c r="Q143" s="638" t="s">
        <v>117</v>
      </c>
      <c r="R143" s="639" t="s">
        <v>276</v>
      </c>
      <c r="S143" s="639" t="s">
        <v>59</v>
      </c>
      <c r="T143" s="638"/>
      <c r="U143" s="639" t="s">
        <v>24</v>
      </c>
    </row>
    <row r="144" spans="1:21" x14ac:dyDescent="0.25">
      <c r="A144" s="1342">
        <v>45594</v>
      </c>
      <c r="B144" s="1314" t="s">
        <v>69</v>
      </c>
      <c r="C144" s="1315" t="s">
        <v>277</v>
      </c>
      <c r="D144" s="1316">
        <v>1076000</v>
      </c>
      <c r="E144" s="1316">
        <v>0</v>
      </c>
      <c r="F144" s="1317">
        <v>3006026.72</v>
      </c>
      <c r="G144" s="1317">
        <v>1000</v>
      </c>
      <c r="H144" s="1318">
        <v>1076</v>
      </c>
      <c r="I144" s="1343">
        <v>0</v>
      </c>
      <c r="J144" s="1319" t="s">
        <v>21</v>
      </c>
      <c r="K144" s="1320" t="s">
        <v>22</v>
      </c>
      <c r="L144" s="1319" t="s">
        <v>45</v>
      </c>
      <c r="M144" s="1320" t="s">
        <v>38</v>
      </c>
      <c r="N144" s="640" t="s">
        <v>54</v>
      </c>
      <c r="O144" s="640" t="s">
        <v>55</v>
      </c>
      <c r="P144" s="640" t="s">
        <v>154</v>
      </c>
      <c r="Q144" s="638" t="s">
        <v>155</v>
      </c>
      <c r="R144" s="639"/>
      <c r="S144" s="639" t="s">
        <v>59</v>
      </c>
      <c r="T144" s="638"/>
      <c r="U144" s="639" t="s">
        <v>24</v>
      </c>
    </row>
    <row r="145" spans="1:21" x14ac:dyDescent="0.25">
      <c r="A145" s="1342">
        <v>45594</v>
      </c>
      <c r="B145" s="1314" t="s">
        <v>69</v>
      </c>
      <c r="C145" s="1315" t="s">
        <v>278</v>
      </c>
      <c r="D145" s="1316">
        <v>250000</v>
      </c>
      <c r="E145" s="1316">
        <v>0</v>
      </c>
      <c r="F145" s="1317">
        <v>2756026.72</v>
      </c>
      <c r="G145" s="1317">
        <v>1000</v>
      </c>
      <c r="H145" s="1318">
        <v>250</v>
      </c>
      <c r="I145" s="1343">
        <v>0</v>
      </c>
      <c r="J145" s="1319" t="s">
        <v>21</v>
      </c>
      <c r="K145" s="1320" t="s">
        <v>22</v>
      </c>
      <c r="L145" s="1319" t="s">
        <v>45</v>
      </c>
      <c r="M145" s="1320" t="s">
        <v>38</v>
      </c>
      <c r="N145" s="640" t="s">
        <v>54</v>
      </c>
      <c r="O145" s="640" t="s">
        <v>111</v>
      </c>
      <c r="P145" s="640" t="s">
        <v>223</v>
      </c>
      <c r="Q145" s="638" t="s">
        <v>224</v>
      </c>
      <c r="R145" s="639"/>
      <c r="S145" s="639" t="s">
        <v>44</v>
      </c>
      <c r="T145" s="638"/>
      <c r="U145" s="639" t="s">
        <v>24</v>
      </c>
    </row>
    <row r="146" spans="1:21" x14ac:dyDescent="0.25">
      <c r="A146" s="637">
        <v>45600</v>
      </c>
      <c r="B146" s="1314" t="s">
        <v>69</v>
      </c>
      <c r="C146" s="1315" t="s">
        <v>279</v>
      </c>
      <c r="D146" s="1316">
        <v>2988506.4</v>
      </c>
      <c r="E146" s="1316">
        <v>0</v>
      </c>
      <c r="F146" s="1317">
        <v>7667697.3300000001</v>
      </c>
      <c r="G146" s="1317">
        <v>1000</v>
      </c>
      <c r="H146" s="1343">
        <v>2988.5063999999998</v>
      </c>
      <c r="I146" s="1343">
        <v>0</v>
      </c>
      <c r="J146" s="1319" t="s">
        <v>21</v>
      </c>
      <c r="K146" s="1320" t="s">
        <v>22</v>
      </c>
      <c r="L146" s="1319" t="s">
        <v>45</v>
      </c>
      <c r="M146" s="1320" t="s">
        <v>38</v>
      </c>
      <c r="N146" s="640" t="s">
        <v>54</v>
      </c>
      <c r="O146" s="640" t="s">
        <v>111</v>
      </c>
      <c r="P146" s="640" t="s">
        <v>94</v>
      </c>
      <c r="Q146" s="638" t="s">
        <v>280</v>
      </c>
      <c r="R146" s="639" t="s">
        <v>281</v>
      </c>
      <c r="S146" s="639" t="s">
        <v>59</v>
      </c>
      <c r="T146" s="638"/>
      <c r="U146" s="639" t="s">
        <v>24</v>
      </c>
    </row>
    <row r="147" spans="1:21" x14ac:dyDescent="0.25">
      <c r="A147" s="637">
        <v>45601</v>
      </c>
      <c r="B147" s="1314" t="s">
        <v>76</v>
      </c>
      <c r="C147" s="1315" t="s">
        <v>282</v>
      </c>
      <c r="D147" s="1316">
        <v>4212114.8</v>
      </c>
      <c r="E147" s="1316">
        <v>0</v>
      </c>
      <c r="F147" s="1317">
        <v>3035653.89</v>
      </c>
      <c r="G147" s="1317">
        <v>1000</v>
      </c>
      <c r="H147" s="1343">
        <v>4212.1147999999994</v>
      </c>
      <c r="I147" s="1343">
        <v>0</v>
      </c>
      <c r="J147" s="1319" t="s">
        <v>21</v>
      </c>
      <c r="K147" s="1320" t="s">
        <v>22</v>
      </c>
      <c r="L147" s="1319" t="s">
        <v>45</v>
      </c>
      <c r="M147" s="1320" t="s">
        <v>38</v>
      </c>
      <c r="N147" s="640" t="s">
        <v>54</v>
      </c>
      <c r="O147" s="640" t="s">
        <v>111</v>
      </c>
      <c r="P147" s="640" t="s">
        <v>94</v>
      </c>
      <c r="Q147" s="638" t="s">
        <v>283</v>
      </c>
      <c r="R147" s="639" t="s">
        <v>284</v>
      </c>
      <c r="S147" s="639" t="s">
        <v>59</v>
      </c>
      <c r="T147" s="638"/>
      <c r="U147" s="639" t="s">
        <v>24</v>
      </c>
    </row>
    <row r="148" spans="1:21" x14ac:dyDescent="0.25">
      <c r="A148" s="637">
        <v>45603</v>
      </c>
      <c r="B148" s="1314" t="s">
        <v>285</v>
      </c>
      <c r="C148" s="1315"/>
      <c r="D148" s="1316">
        <v>24000</v>
      </c>
      <c r="E148" s="1316">
        <v>0</v>
      </c>
      <c r="F148" s="1317">
        <v>2986381.2</v>
      </c>
      <c r="G148" s="1317">
        <v>1000</v>
      </c>
      <c r="H148" s="1343">
        <v>24</v>
      </c>
      <c r="I148" s="1343">
        <v>0</v>
      </c>
      <c r="J148" s="1319" t="s">
        <v>21</v>
      </c>
      <c r="K148" s="1320" t="s">
        <v>22</v>
      </c>
      <c r="L148" s="1319" t="s">
        <v>45</v>
      </c>
      <c r="M148" s="1320" t="s">
        <v>38</v>
      </c>
      <c r="N148" s="640" t="s">
        <v>54</v>
      </c>
      <c r="O148" s="640" t="s">
        <v>55</v>
      </c>
      <c r="P148" s="640" t="s">
        <v>94</v>
      </c>
      <c r="Q148" s="638" t="s">
        <v>272</v>
      </c>
      <c r="R148" s="639"/>
      <c r="S148" s="639" t="s">
        <v>44</v>
      </c>
      <c r="T148" s="638"/>
      <c r="U148" s="639" t="s">
        <v>24</v>
      </c>
    </row>
    <row r="149" spans="1:21" x14ac:dyDescent="0.25">
      <c r="A149" s="637">
        <v>45611</v>
      </c>
      <c r="B149" s="1314" t="s">
        <v>69</v>
      </c>
      <c r="C149" s="1315" t="s">
        <v>286</v>
      </c>
      <c r="D149" s="1316">
        <v>620000</v>
      </c>
      <c r="E149" s="1316">
        <v>0</v>
      </c>
      <c r="F149" s="1317">
        <v>1249582.53</v>
      </c>
      <c r="G149" s="1317">
        <v>1000</v>
      </c>
      <c r="H149" s="1343">
        <v>620</v>
      </c>
      <c r="I149" s="1343">
        <v>0</v>
      </c>
      <c r="J149" s="1319" t="s">
        <v>21</v>
      </c>
      <c r="K149" s="1320" t="s">
        <v>22</v>
      </c>
      <c r="L149" s="1319" t="s">
        <v>45</v>
      </c>
      <c r="M149" s="1320" t="s">
        <v>38</v>
      </c>
      <c r="N149" s="640" t="s">
        <v>54</v>
      </c>
      <c r="O149" s="640" t="s">
        <v>111</v>
      </c>
      <c r="P149" s="640" t="s">
        <v>154</v>
      </c>
      <c r="Q149" s="638" t="s">
        <v>155</v>
      </c>
      <c r="R149" s="639" t="s">
        <v>287</v>
      </c>
      <c r="S149" s="639" t="s">
        <v>59</v>
      </c>
      <c r="T149" s="638"/>
      <c r="U149" s="639" t="s">
        <v>24</v>
      </c>
    </row>
    <row r="150" spans="1:21" x14ac:dyDescent="0.25">
      <c r="A150" s="637">
        <v>45611</v>
      </c>
      <c r="B150" s="1314" t="s">
        <v>69</v>
      </c>
      <c r="C150" s="1315" t="s">
        <v>288</v>
      </c>
      <c r="D150" s="1316">
        <v>287300</v>
      </c>
      <c r="E150" s="1316">
        <v>0</v>
      </c>
      <c r="F150" s="1317">
        <v>962282.53</v>
      </c>
      <c r="G150" s="1317">
        <v>1000</v>
      </c>
      <c r="H150" s="1343">
        <v>287.3</v>
      </c>
      <c r="I150" s="1343">
        <v>0</v>
      </c>
      <c r="J150" s="1319" t="s">
        <v>21</v>
      </c>
      <c r="K150" s="1320" t="s">
        <v>22</v>
      </c>
      <c r="L150" s="1319" t="s">
        <v>45</v>
      </c>
      <c r="M150" s="1320" t="s">
        <v>38</v>
      </c>
      <c r="N150" s="640" t="s">
        <v>54</v>
      </c>
      <c r="O150" s="640" t="s">
        <v>111</v>
      </c>
      <c r="P150" s="640" t="s">
        <v>223</v>
      </c>
      <c r="Q150" s="638" t="s">
        <v>224</v>
      </c>
      <c r="R150" s="639"/>
      <c r="S150" s="639" t="s">
        <v>44</v>
      </c>
      <c r="T150" s="638"/>
      <c r="U150" s="639" t="s">
        <v>24</v>
      </c>
    </row>
    <row r="151" spans="1:21" x14ac:dyDescent="0.25">
      <c r="A151" s="637">
        <v>45611</v>
      </c>
      <c r="B151" s="1314" t="s">
        <v>289</v>
      </c>
      <c r="C151" s="1315"/>
      <c r="D151" s="1316">
        <v>0</v>
      </c>
      <c r="E151" s="1316">
        <v>4313932.1500000004</v>
      </c>
      <c r="F151" s="1317">
        <v>5147766.49</v>
      </c>
      <c r="G151" s="1317">
        <v>1000</v>
      </c>
      <c r="H151" s="1343">
        <v>0</v>
      </c>
      <c r="I151" s="1343">
        <v>4313.9321500000005</v>
      </c>
      <c r="J151" s="1319" t="s">
        <v>21</v>
      </c>
      <c r="K151" s="1320" t="s">
        <v>22</v>
      </c>
      <c r="L151" s="1319" t="s">
        <v>45</v>
      </c>
      <c r="M151" s="1320" t="s">
        <v>38</v>
      </c>
      <c r="N151" s="640" t="s">
        <v>54</v>
      </c>
      <c r="O151" s="640" t="s">
        <v>55</v>
      </c>
      <c r="P151" s="640" t="s">
        <v>34</v>
      </c>
      <c r="Q151" s="638" t="s">
        <v>87</v>
      </c>
      <c r="R151" s="639"/>
      <c r="S151" s="639" t="s">
        <v>290</v>
      </c>
      <c r="T151" s="638"/>
      <c r="U151" s="639" t="s">
        <v>24</v>
      </c>
    </row>
    <row r="152" spans="1:21" x14ac:dyDescent="0.25">
      <c r="A152" s="637">
        <v>45618</v>
      </c>
      <c r="B152" s="1314" t="s">
        <v>69</v>
      </c>
      <c r="C152" s="1315" t="s">
        <v>291</v>
      </c>
      <c r="D152" s="1316">
        <v>620770</v>
      </c>
      <c r="E152" s="1316">
        <v>0</v>
      </c>
      <c r="F152" s="1317">
        <v>2606089.67</v>
      </c>
      <c r="G152" s="1317">
        <v>1000</v>
      </c>
      <c r="H152" s="1343">
        <v>620.77</v>
      </c>
      <c r="I152" s="1343">
        <v>0</v>
      </c>
      <c r="J152" s="1319" t="s">
        <v>21</v>
      </c>
      <c r="K152" s="1320" t="s">
        <v>22</v>
      </c>
      <c r="L152" s="1319" t="s">
        <v>45</v>
      </c>
      <c r="M152" s="1320" t="s">
        <v>38</v>
      </c>
      <c r="N152" s="640" t="s">
        <v>54</v>
      </c>
      <c r="O152" s="640" t="s">
        <v>111</v>
      </c>
      <c r="P152" s="640" t="s">
        <v>154</v>
      </c>
      <c r="Q152" s="638" t="s">
        <v>155</v>
      </c>
      <c r="R152" s="639" t="s">
        <v>287</v>
      </c>
      <c r="S152" s="639" t="s">
        <v>59</v>
      </c>
      <c r="T152" s="638"/>
      <c r="U152" s="639" t="s">
        <v>24</v>
      </c>
    </row>
    <row r="153" spans="1:21" x14ac:dyDescent="0.25">
      <c r="A153" s="637">
        <v>45621</v>
      </c>
      <c r="B153" s="1314" t="s">
        <v>76</v>
      </c>
      <c r="C153" s="1315" t="s">
        <v>292</v>
      </c>
      <c r="D153" s="1316">
        <v>1076000</v>
      </c>
      <c r="E153" s="1316">
        <v>0</v>
      </c>
      <c r="F153" s="1317">
        <v>1526365.05</v>
      </c>
      <c r="G153" s="1317">
        <v>1000</v>
      </c>
      <c r="H153" s="1343">
        <v>1076</v>
      </c>
      <c r="I153" s="1343">
        <v>0</v>
      </c>
      <c r="J153" s="1319" t="s">
        <v>21</v>
      </c>
      <c r="K153" s="1320" t="s">
        <v>22</v>
      </c>
      <c r="L153" s="1319" t="s">
        <v>45</v>
      </c>
      <c r="M153" s="1320" t="s">
        <v>38</v>
      </c>
      <c r="N153" s="640" t="s">
        <v>54</v>
      </c>
      <c r="O153" s="640" t="s">
        <v>55</v>
      </c>
      <c r="P153" s="640" t="s">
        <v>154</v>
      </c>
      <c r="Q153" s="638" t="s">
        <v>155</v>
      </c>
      <c r="R153" s="639"/>
      <c r="S153" s="639" t="s">
        <v>59</v>
      </c>
      <c r="T153" s="638"/>
      <c r="U153" s="639" t="s">
        <v>24</v>
      </c>
    </row>
    <row r="154" spans="1:21" x14ac:dyDescent="0.25">
      <c r="A154" s="645">
        <v>45629</v>
      </c>
      <c r="B154" s="1345" t="s">
        <v>69</v>
      </c>
      <c r="C154" s="1346" t="s">
        <v>541</v>
      </c>
      <c r="D154" s="1347">
        <v>287300</v>
      </c>
      <c r="E154" s="1347">
        <v>0</v>
      </c>
      <c r="F154" s="1348">
        <v>-152434.45000000001</v>
      </c>
      <c r="G154" s="1348">
        <v>1000</v>
      </c>
      <c r="H154" s="1349">
        <v>287.3</v>
      </c>
      <c r="I154" s="1349">
        <v>0</v>
      </c>
      <c r="J154" s="1350" t="s">
        <v>21</v>
      </c>
      <c r="K154" s="1351" t="s">
        <v>22</v>
      </c>
      <c r="L154" s="1350" t="s">
        <v>45</v>
      </c>
      <c r="M154" s="1351" t="s">
        <v>38</v>
      </c>
      <c r="N154" s="1125" t="s">
        <v>54</v>
      </c>
      <c r="O154" s="1125" t="s">
        <v>55</v>
      </c>
      <c r="P154" s="1125" t="s">
        <v>223</v>
      </c>
      <c r="Q154" s="643" t="s">
        <v>542</v>
      </c>
      <c r="R154" s="1124"/>
      <c r="S154" s="1124" t="s">
        <v>44</v>
      </c>
      <c r="T154" s="643"/>
      <c r="U154" s="1124" t="s">
        <v>24</v>
      </c>
    </row>
    <row r="155" spans="1:21" x14ac:dyDescent="0.25">
      <c r="A155" s="645">
        <v>45629</v>
      </c>
      <c r="B155" s="1345" t="s">
        <v>69</v>
      </c>
      <c r="C155" s="1346" t="s">
        <v>543</v>
      </c>
      <c r="D155" s="1347">
        <v>3600693.8</v>
      </c>
      <c r="E155" s="1347">
        <v>0</v>
      </c>
      <c r="F155" s="1348">
        <v>-7874039.2300000004</v>
      </c>
      <c r="G155" s="1348">
        <v>1000</v>
      </c>
      <c r="H155" s="1349">
        <v>3600.6938</v>
      </c>
      <c r="I155" s="1349">
        <v>0</v>
      </c>
      <c r="J155" s="1350" t="s">
        <v>21</v>
      </c>
      <c r="K155" s="1351" t="s">
        <v>22</v>
      </c>
      <c r="L155" s="1350" t="s">
        <v>45</v>
      </c>
      <c r="M155" s="1351" t="s">
        <v>38</v>
      </c>
      <c r="N155" s="1125" t="s">
        <v>54</v>
      </c>
      <c r="O155" s="1125" t="s">
        <v>111</v>
      </c>
      <c r="P155" s="1125" t="s">
        <v>94</v>
      </c>
      <c r="Q155" s="643" t="s">
        <v>544</v>
      </c>
      <c r="R155" s="1124"/>
      <c r="S155" s="1124" t="s">
        <v>59</v>
      </c>
      <c r="T155" s="643"/>
      <c r="U155" s="1124" t="s">
        <v>24</v>
      </c>
    </row>
    <row r="156" spans="1:21" x14ac:dyDescent="0.25">
      <c r="A156" s="645">
        <v>45629</v>
      </c>
      <c r="B156" s="1345" t="s">
        <v>69</v>
      </c>
      <c r="C156" s="1346" t="s">
        <v>545</v>
      </c>
      <c r="D156" s="1347">
        <v>7032810.4000000004</v>
      </c>
      <c r="E156" s="1347">
        <v>0</v>
      </c>
      <c r="F156" s="1348">
        <v>-14906849.630000001</v>
      </c>
      <c r="G156" s="1348">
        <v>1000</v>
      </c>
      <c r="H156" s="1349">
        <v>7032.8104000000003</v>
      </c>
      <c r="I156" s="1349">
        <v>0</v>
      </c>
      <c r="J156" s="1350" t="s">
        <v>21</v>
      </c>
      <c r="K156" s="1351" t="s">
        <v>22</v>
      </c>
      <c r="L156" s="1350" t="s">
        <v>45</v>
      </c>
      <c r="M156" s="1351" t="s">
        <v>38</v>
      </c>
      <c r="N156" s="1125" t="s">
        <v>54</v>
      </c>
      <c r="O156" s="1125" t="s">
        <v>111</v>
      </c>
      <c r="P156" s="1125" t="s">
        <v>94</v>
      </c>
      <c r="Q156" s="643" t="s">
        <v>280</v>
      </c>
      <c r="R156" s="1124"/>
      <c r="S156" s="1124" t="s">
        <v>59</v>
      </c>
      <c r="T156" s="643"/>
      <c r="U156" s="1126" t="s">
        <v>24</v>
      </c>
    </row>
    <row r="157" spans="1:21" x14ac:dyDescent="0.25">
      <c r="A157" s="645">
        <v>45645</v>
      </c>
      <c r="B157" s="1345" t="s">
        <v>69</v>
      </c>
      <c r="C157" s="1346" t="s">
        <v>919</v>
      </c>
      <c r="D157" s="1347">
        <v>1317608</v>
      </c>
      <c r="E157" s="1347">
        <v>0</v>
      </c>
      <c r="F157" s="1348">
        <v>-10642125.41</v>
      </c>
      <c r="G157" s="1348">
        <v>1000</v>
      </c>
      <c r="H157" s="1349">
        <v>1317.6079999999999</v>
      </c>
      <c r="I157" s="1349">
        <v>0</v>
      </c>
      <c r="J157" s="1350" t="s">
        <v>21</v>
      </c>
      <c r="K157" s="1351" t="s">
        <v>22</v>
      </c>
      <c r="L157" s="1350" t="s">
        <v>45</v>
      </c>
      <c r="M157" s="1351" t="s">
        <v>38</v>
      </c>
      <c r="N157" s="1125" t="s">
        <v>54</v>
      </c>
      <c r="O157" s="1125" t="s">
        <v>111</v>
      </c>
      <c r="P157" s="1125" t="s">
        <v>154</v>
      </c>
      <c r="Q157" s="643" t="s">
        <v>155</v>
      </c>
      <c r="R157" s="1124"/>
      <c r="S157" s="1124" t="s">
        <v>920</v>
      </c>
      <c r="T157" s="643"/>
      <c r="U157" s="1124" t="s">
        <v>255</v>
      </c>
    </row>
    <row r="158" spans="1:21" x14ac:dyDescent="0.25">
      <c r="A158" s="645">
        <v>45646</v>
      </c>
      <c r="B158" s="1345" t="s">
        <v>96</v>
      </c>
      <c r="C158" s="1346"/>
      <c r="D158" s="1347">
        <v>393000</v>
      </c>
      <c r="E158" s="1347">
        <v>0</v>
      </c>
      <c r="F158" s="1348">
        <v>15627827.43</v>
      </c>
      <c r="G158" s="1348">
        <v>1130</v>
      </c>
      <c r="H158" s="1349">
        <v>347.78761061946904</v>
      </c>
      <c r="I158" s="1349">
        <v>0</v>
      </c>
      <c r="J158" s="1350" t="s">
        <v>21</v>
      </c>
      <c r="K158" s="1351" t="s">
        <v>22</v>
      </c>
      <c r="L158" s="1350" t="s">
        <v>45</v>
      </c>
      <c r="M158" s="1351" t="s">
        <v>38</v>
      </c>
      <c r="N158" s="1125" t="s">
        <v>54</v>
      </c>
      <c r="O158" s="1125" t="s">
        <v>71</v>
      </c>
      <c r="P158" s="1125" t="s">
        <v>50</v>
      </c>
      <c r="Q158" s="643" t="s">
        <v>72</v>
      </c>
      <c r="R158" s="1124" t="s">
        <v>921</v>
      </c>
      <c r="S158" s="1124" t="s">
        <v>59</v>
      </c>
      <c r="T158" s="643"/>
      <c r="U158" s="1124" t="s">
        <v>24</v>
      </c>
    </row>
    <row r="159" spans="1:21" x14ac:dyDescent="0.25">
      <c r="A159" s="645">
        <v>45652</v>
      </c>
      <c r="B159" s="1345" t="s">
        <v>76</v>
      </c>
      <c r="C159" s="1346" t="s">
        <v>922</v>
      </c>
      <c r="D159" s="1347">
        <v>1073997.92</v>
      </c>
      <c r="E159" s="1347">
        <v>0</v>
      </c>
      <c r="F159" s="1348">
        <v>-2162024.63</v>
      </c>
      <c r="G159" s="1348">
        <v>1130</v>
      </c>
      <c r="H159" s="1349">
        <v>950.44063716814151</v>
      </c>
      <c r="I159" s="1349">
        <v>0</v>
      </c>
      <c r="J159" s="1350" t="s">
        <v>21</v>
      </c>
      <c r="K159" s="1351" t="s">
        <v>22</v>
      </c>
      <c r="L159" s="1350" t="s">
        <v>45</v>
      </c>
      <c r="M159" s="1351" t="s">
        <v>38</v>
      </c>
      <c r="N159" s="1125" t="s">
        <v>54</v>
      </c>
      <c r="O159" s="1125" t="s">
        <v>111</v>
      </c>
      <c r="P159" s="1125" t="s">
        <v>154</v>
      </c>
      <c r="Q159" s="643" t="s">
        <v>155</v>
      </c>
      <c r="R159" s="1124" t="s">
        <v>923</v>
      </c>
      <c r="S159" s="1124" t="s">
        <v>59</v>
      </c>
      <c r="T159" s="643"/>
      <c r="U159" s="1124" t="s">
        <v>24</v>
      </c>
    </row>
    <row r="160" spans="1:21" x14ac:dyDescent="0.25">
      <c r="A160" s="645">
        <v>45652</v>
      </c>
      <c r="B160" s="1345" t="s">
        <v>96</v>
      </c>
      <c r="C160" s="1346"/>
      <c r="D160" s="1347">
        <v>15000</v>
      </c>
      <c r="E160" s="1347">
        <v>0</v>
      </c>
      <c r="F160" s="1348">
        <v>-2185024.63</v>
      </c>
      <c r="G160" s="1348">
        <v>1130</v>
      </c>
      <c r="H160" s="1349">
        <v>13.274336283185841</v>
      </c>
      <c r="I160" s="1349">
        <v>0</v>
      </c>
      <c r="J160" s="1350" t="s">
        <v>21</v>
      </c>
      <c r="K160" s="1351" t="s">
        <v>22</v>
      </c>
      <c r="L160" s="1350" t="s">
        <v>45</v>
      </c>
      <c r="M160" s="1351" t="s">
        <v>38</v>
      </c>
      <c r="N160" s="1125" t="s">
        <v>54</v>
      </c>
      <c r="O160" s="1125"/>
      <c r="P160" s="1125" t="s">
        <v>924</v>
      </c>
      <c r="Q160" s="643" t="s">
        <v>925</v>
      </c>
      <c r="R160" s="1124"/>
      <c r="S160" s="1124" t="s">
        <v>31</v>
      </c>
      <c r="T160" s="643"/>
      <c r="U160" s="1124" t="s">
        <v>24</v>
      </c>
    </row>
    <row r="161" spans="1:21" x14ac:dyDescent="0.25">
      <c r="A161" s="645">
        <v>45649</v>
      </c>
      <c r="B161" s="1345" t="s">
        <v>25</v>
      </c>
      <c r="C161" s="1346"/>
      <c r="D161" s="1347">
        <v>500000</v>
      </c>
      <c r="E161" s="1347">
        <v>0</v>
      </c>
      <c r="F161" s="1348">
        <v>0</v>
      </c>
      <c r="G161" s="1348">
        <v>1030</v>
      </c>
      <c r="H161" s="1349">
        <v>485.43689320388347</v>
      </c>
      <c r="I161" s="1349">
        <v>0</v>
      </c>
      <c r="J161" s="1350" t="s">
        <v>21</v>
      </c>
      <c r="K161" s="1351" t="s">
        <v>26</v>
      </c>
      <c r="L161" s="1350" t="s">
        <v>26</v>
      </c>
      <c r="M161" s="1351" t="s">
        <v>38</v>
      </c>
      <c r="N161" s="1125" t="s">
        <v>54</v>
      </c>
      <c r="O161" s="1125" t="s">
        <v>926</v>
      </c>
      <c r="P161" s="1125" t="s">
        <v>250</v>
      </c>
      <c r="Q161" s="643" t="s">
        <v>91</v>
      </c>
      <c r="R161" s="1124"/>
      <c r="S161" s="1124" t="s">
        <v>252</v>
      </c>
      <c r="T161" s="643"/>
      <c r="U161" s="1124" t="s">
        <v>24</v>
      </c>
    </row>
  </sheetData>
  <sheetProtection sheet="1" objects="1" scenarios="1"/>
  <conditionalFormatting sqref="A2:A16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45D1F-3311-4C1F-9216-88D8A4CA4133}">
  <dimension ref="A1:H47"/>
  <sheetViews>
    <sheetView zoomScaleNormal="100" workbookViewId="0">
      <selection activeCell="J9" sqref="J9"/>
    </sheetView>
  </sheetViews>
  <sheetFormatPr baseColWidth="10" defaultColWidth="11.42578125" defaultRowHeight="15" x14ac:dyDescent="0.25"/>
  <cols>
    <col min="1" max="1" width="26.7109375" customWidth="1"/>
    <col min="2" max="2" width="16.7109375" customWidth="1"/>
    <col min="3" max="4" width="16.42578125" customWidth="1"/>
    <col min="5" max="5" width="19.85546875" bestFit="1" customWidth="1"/>
    <col min="6" max="6" width="14.5703125" customWidth="1"/>
    <col min="7" max="7" width="17.28515625" customWidth="1"/>
  </cols>
  <sheetData>
    <row r="1" spans="1:8" ht="15.75" x14ac:dyDescent="0.25">
      <c r="A1" s="1451" t="s">
        <v>1154</v>
      </c>
      <c r="B1" s="1452"/>
      <c r="C1" s="1452"/>
      <c r="D1" s="1452"/>
      <c r="E1" s="1452"/>
      <c r="F1" s="1452"/>
      <c r="G1" s="1452"/>
      <c r="H1" s="36"/>
    </row>
    <row r="2" spans="1:8" x14ac:dyDescent="0.25">
      <c r="A2" s="1144" t="s">
        <v>1155</v>
      </c>
      <c r="B2" s="1352"/>
      <c r="C2" s="1352"/>
      <c r="D2" s="961"/>
      <c r="E2" s="1453"/>
      <c r="F2" s="1141"/>
      <c r="G2" s="1141"/>
      <c r="H2" s="36"/>
    </row>
    <row r="3" spans="1:8" x14ac:dyDescent="0.25">
      <c r="A3" s="629" t="s">
        <v>352</v>
      </c>
      <c r="B3" s="1579">
        <v>233</v>
      </c>
      <c r="C3" s="1353"/>
      <c r="D3" s="1580" t="s">
        <v>546</v>
      </c>
      <c r="E3" s="1581" t="s">
        <v>547</v>
      </c>
      <c r="F3" s="1182" t="s">
        <v>548</v>
      </c>
      <c r="G3" s="1182" t="s">
        <v>549</v>
      </c>
      <c r="H3" s="36"/>
    </row>
    <row r="4" spans="1:8" x14ac:dyDescent="0.25">
      <c r="A4" s="1582" t="s">
        <v>55</v>
      </c>
      <c r="B4" s="1583">
        <f t="shared" ref="B4:F4" si="0">SUM(B5:B23)</f>
        <v>151183363.72</v>
      </c>
      <c r="C4" s="1583">
        <f t="shared" si="0"/>
        <v>174256269.25</v>
      </c>
      <c r="D4" s="1578">
        <f>SUM(D5:D23)</f>
        <v>156838.6746235367</v>
      </c>
      <c r="E4" s="1578">
        <f>SUM(E5:E23)</f>
        <v>184404.60073408706</v>
      </c>
      <c r="F4" s="1578">
        <f t="shared" si="0"/>
        <v>673.12735889929922</v>
      </c>
      <c r="G4" s="1578">
        <f>SUM(G5:G23)</f>
        <v>791.43605465273401</v>
      </c>
      <c r="H4" s="36"/>
    </row>
    <row r="5" spans="1:8" x14ac:dyDescent="0.25">
      <c r="A5" s="1354" t="s">
        <v>154</v>
      </c>
      <c r="B5" s="1355">
        <v>9718769.8300000001</v>
      </c>
      <c r="C5" s="1355">
        <v>0</v>
      </c>
      <c r="D5" s="940">
        <v>10201.759379108742</v>
      </c>
      <c r="E5" s="940">
        <v>0</v>
      </c>
      <c r="F5" s="1356">
        <f>D5/$B$3</f>
        <v>43.784375017634083</v>
      </c>
      <c r="G5" s="1356">
        <f>E5/$B$3</f>
        <v>0</v>
      </c>
      <c r="H5" s="36"/>
    </row>
    <row r="6" spans="1:8" x14ac:dyDescent="0.25">
      <c r="A6" s="1354" t="s">
        <v>65</v>
      </c>
      <c r="B6" s="1355">
        <v>18000000</v>
      </c>
      <c r="C6" s="1355">
        <v>0</v>
      </c>
      <c r="D6" s="940">
        <v>18652.849740932645</v>
      </c>
      <c r="E6" s="940">
        <v>0</v>
      </c>
      <c r="F6" s="1356">
        <f>D6/$B$3</f>
        <v>80.05514910271522</v>
      </c>
      <c r="G6" s="1356">
        <f>E6/$B$3</f>
        <v>0</v>
      </c>
      <c r="H6" s="36"/>
    </row>
    <row r="7" spans="1:8" x14ac:dyDescent="0.25">
      <c r="A7" s="1354" t="s">
        <v>128</v>
      </c>
      <c r="B7" s="1355">
        <v>0</v>
      </c>
      <c r="C7" s="1355">
        <v>8765537.9800000004</v>
      </c>
      <c r="D7" s="940">
        <v>0</v>
      </c>
      <c r="E7" s="940">
        <v>9202.2501401276531</v>
      </c>
      <c r="F7" s="1356">
        <f t="shared" ref="F7:G23" si="1">D7/$B$3</f>
        <v>0</v>
      </c>
      <c r="G7" s="1356">
        <f t="shared" si="1"/>
        <v>39.494635794539285</v>
      </c>
      <c r="H7" s="36"/>
    </row>
    <row r="8" spans="1:8" x14ac:dyDescent="0.25">
      <c r="A8" s="1354" t="s">
        <v>173</v>
      </c>
      <c r="B8" s="1355">
        <v>1468130</v>
      </c>
      <c r="C8" s="1355">
        <v>0</v>
      </c>
      <c r="D8" s="940">
        <v>1551.7101142184749</v>
      </c>
      <c r="E8" s="940">
        <v>0</v>
      </c>
      <c r="F8" s="1356">
        <f t="shared" si="1"/>
        <v>6.6597000610234973</v>
      </c>
      <c r="G8" s="1356">
        <f t="shared" si="1"/>
        <v>0</v>
      </c>
      <c r="H8" s="36"/>
    </row>
    <row r="9" spans="1:8" x14ac:dyDescent="0.25">
      <c r="A9" s="1354" t="s">
        <v>223</v>
      </c>
      <c r="B9" s="1355">
        <v>827300</v>
      </c>
      <c r="C9" s="1355">
        <v>0</v>
      </c>
      <c r="D9" s="940">
        <v>847.46597510373454</v>
      </c>
      <c r="E9" s="940">
        <v>0</v>
      </c>
      <c r="F9" s="1356">
        <f t="shared" si="1"/>
        <v>3.6371930261962855</v>
      </c>
      <c r="G9" s="1356">
        <f t="shared" si="1"/>
        <v>0</v>
      </c>
      <c r="H9" s="36"/>
    </row>
    <row r="10" spans="1:8" x14ac:dyDescent="0.25">
      <c r="A10" s="1354" t="s">
        <v>94</v>
      </c>
      <c r="B10" s="1355">
        <v>25038862.400000006</v>
      </c>
      <c r="C10" s="1355">
        <v>0</v>
      </c>
      <c r="D10" s="940">
        <v>26380.490882044094</v>
      </c>
      <c r="E10" s="940">
        <v>0</v>
      </c>
      <c r="F10" s="1356">
        <f t="shared" si="1"/>
        <v>113.22099091006049</v>
      </c>
      <c r="G10" s="1356">
        <f t="shared" si="1"/>
        <v>0</v>
      </c>
      <c r="H10" s="36"/>
    </row>
    <row r="11" spans="1:8" x14ac:dyDescent="0.25">
      <c r="A11" s="1354" t="s">
        <v>143</v>
      </c>
      <c r="B11" s="1355">
        <v>20000000</v>
      </c>
      <c r="C11" s="1355">
        <v>0</v>
      </c>
      <c r="D11" s="940">
        <v>20000</v>
      </c>
      <c r="E11" s="940">
        <v>0</v>
      </c>
      <c r="F11" s="1356">
        <f t="shared" si="1"/>
        <v>85.836909871244629</v>
      </c>
      <c r="G11" s="1356">
        <f t="shared" si="1"/>
        <v>0</v>
      </c>
      <c r="H11" s="36"/>
    </row>
    <row r="12" spans="1:8" x14ac:dyDescent="0.25">
      <c r="A12" s="1354" t="s">
        <v>242</v>
      </c>
      <c r="B12" s="1355">
        <v>8074847.8799999999</v>
      </c>
      <c r="C12" s="1355">
        <v>0</v>
      </c>
      <c r="D12" s="940">
        <v>8376.3982157676346</v>
      </c>
      <c r="E12" s="940">
        <v>0</v>
      </c>
      <c r="F12" s="1356">
        <f t="shared" si="1"/>
        <v>35.950206934625044</v>
      </c>
      <c r="G12" s="1356">
        <f t="shared" si="1"/>
        <v>0</v>
      </c>
      <c r="H12" s="36"/>
    </row>
    <row r="13" spans="1:8" x14ac:dyDescent="0.25">
      <c r="A13" s="1354" t="s">
        <v>180</v>
      </c>
      <c r="B13" s="1355">
        <v>24690086</v>
      </c>
      <c r="C13" s="1355">
        <v>0</v>
      </c>
      <c r="D13" s="940">
        <v>26322.05330490405</v>
      </c>
      <c r="E13" s="940">
        <v>0</v>
      </c>
      <c r="F13" s="1356">
        <f t="shared" si="1"/>
        <v>112.97018585795729</v>
      </c>
      <c r="G13" s="1356">
        <f t="shared" si="1"/>
        <v>0</v>
      </c>
      <c r="H13" s="36"/>
    </row>
    <row r="14" spans="1:8" x14ac:dyDescent="0.25">
      <c r="A14" s="1354" t="s">
        <v>56</v>
      </c>
      <c r="B14" s="1355">
        <v>9397569.5</v>
      </c>
      <c r="C14" s="1355">
        <v>0</v>
      </c>
      <c r="D14" s="940">
        <v>10262.665444293165</v>
      </c>
      <c r="E14" s="940">
        <v>0</v>
      </c>
      <c r="F14" s="1356">
        <f t="shared" si="1"/>
        <v>44.045774439026459</v>
      </c>
      <c r="G14" s="1356">
        <f t="shared" si="1"/>
        <v>0</v>
      </c>
      <c r="H14" s="36"/>
    </row>
    <row r="15" spans="1:8" x14ac:dyDescent="0.25">
      <c r="A15" s="1354" t="s">
        <v>193</v>
      </c>
      <c r="B15" s="1355">
        <v>4167798.11</v>
      </c>
      <c r="C15" s="1355">
        <v>0</v>
      </c>
      <c r="D15" s="940">
        <v>4443.2815671641793</v>
      </c>
      <c r="E15" s="940">
        <v>0</v>
      </c>
      <c r="F15" s="1356">
        <f>D15/$B$3</f>
        <v>19.069877970661715</v>
      </c>
      <c r="G15" s="1356">
        <f t="shared" si="1"/>
        <v>0</v>
      </c>
      <c r="H15" s="36"/>
    </row>
    <row r="16" spans="1:8" x14ac:dyDescent="0.25">
      <c r="A16" s="1354" t="s">
        <v>80</v>
      </c>
      <c r="B16" s="1355">
        <v>0</v>
      </c>
      <c r="C16" s="1355">
        <v>209600</v>
      </c>
      <c r="D16" s="940">
        <v>0</v>
      </c>
      <c r="E16" s="940">
        <v>248.04733727810651</v>
      </c>
      <c r="F16" s="1356">
        <f t="shared" si="1"/>
        <v>0</v>
      </c>
      <c r="G16" s="1356">
        <f t="shared" si="1"/>
        <v>1.0645808466871525</v>
      </c>
      <c r="H16" s="36"/>
    </row>
    <row r="17" spans="1:8" x14ac:dyDescent="0.25">
      <c r="A17" s="1354" t="s">
        <v>170</v>
      </c>
      <c r="B17" s="1355">
        <v>0</v>
      </c>
      <c r="C17" s="1355">
        <v>50779751.230000004</v>
      </c>
      <c r="D17" s="940">
        <v>0</v>
      </c>
      <c r="E17" s="940">
        <v>53197.418283620318</v>
      </c>
      <c r="F17" s="1356">
        <f t="shared" si="1"/>
        <v>0</v>
      </c>
      <c r="G17" s="1356">
        <f t="shared" si="1"/>
        <v>228.31509992970095</v>
      </c>
      <c r="H17" s="36"/>
    </row>
    <row r="18" spans="1:8" x14ac:dyDescent="0.25">
      <c r="A18" s="1354" t="s">
        <v>216</v>
      </c>
      <c r="B18" s="1355">
        <v>0</v>
      </c>
      <c r="C18" s="1355">
        <v>53267779.289999999</v>
      </c>
      <c r="D18" s="940">
        <v>0</v>
      </c>
      <c r="E18" s="940">
        <v>55257.032458506226</v>
      </c>
      <c r="F18" s="1356">
        <f t="shared" si="1"/>
        <v>0</v>
      </c>
      <c r="G18" s="1356">
        <f t="shared" si="1"/>
        <v>237.15464574466191</v>
      </c>
      <c r="H18" s="36"/>
    </row>
    <row r="19" spans="1:8" x14ac:dyDescent="0.25">
      <c r="A19" s="1354" t="s">
        <v>107</v>
      </c>
      <c r="B19" s="1355">
        <v>0</v>
      </c>
      <c r="C19" s="1355">
        <v>27362387.059999999</v>
      </c>
      <c r="D19" s="940">
        <v>0</v>
      </c>
      <c r="E19" s="940">
        <v>31058.328104426786</v>
      </c>
      <c r="F19" s="1356">
        <f t="shared" si="1"/>
        <v>0</v>
      </c>
      <c r="G19" s="1356">
        <f t="shared" si="1"/>
        <v>133.2975455125613</v>
      </c>
      <c r="H19" s="36"/>
    </row>
    <row r="20" spans="1:8" x14ac:dyDescent="0.25">
      <c r="A20" s="1354" t="s">
        <v>184</v>
      </c>
      <c r="B20" s="1357">
        <v>0</v>
      </c>
      <c r="C20" s="1357">
        <v>23757281.539999999</v>
      </c>
      <c r="D20" s="940">
        <v>0</v>
      </c>
      <c r="E20" s="940">
        <v>25327.592260127931</v>
      </c>
      <c r="F20" s="1356">
        <f>D20/$B$3</f>
        <v>0</v>
      </c>
      <c r="G20" s="1356">
        <f>E20/$B$3</f>
        <v>108.70211270441172</v>
      </c>
      <c r="H20" s="36"/>
    </row>
    <row r="21" spans="1:8" x14ac:dyDescent="0.25">
      <c r="A21" s="1354" t="s">
        <v>34</v>
      </c>
      <c r="B21" s="1357">
        <v>0</v>
      </c>
      <c r="C21" s="1357">
        <v>4313932.1500000004</v>
      </c>
      <c r="D21" s="940">
        <v>0</v>
      </c>
      <c r="E21" s="940">
        <v>4313.9321500000005</v>
      </c>
      <c r="F21" s="1356">
        <f t="shared" si="1"/>
        <v>0</v>
      </c>
      <c r="G21" s="1356">
        <f t="shared" si="1"/>
        <v>18.514730257510731</v>
      </c>
      <c r="H21" s="36"/>
    </row>
    <row r="22" spans="1:8" x14ac:dyDescent="0.25">
      <c r="A22" s="1354" t="s">
        <v>550</v>
      </c>
      <c r="B22" s="1357">
        <v>29800000</v>
      </c>
      <c r="C22" s="1357">
        <v>0</v>
      </c>
      <c r="D22" s="940">
        <v>29800</v>
      </c>
      <c r="E22" s="940">
        <v>0</v>
      </c>
      <c r="F22" s="1356">
        <f t="shared" si="1"/>
        <v>127.89699570815451</v>
      </c>
      <c r="G22" s="1356">
        <f t="shared" si="1"/>
        <v>0</v>
      </c>
      <c r="H22" s="36"/>
    </row>
    <row r="23" spans="1:8" x14ac:dyDescent="0.25">
      <c r="A23" s="1354" t="s">
        <v>551</v>
      </c>
      <c r="B23" s="1357">
        <v>0</v>
      </c>
      <c r="C23" s="1357">
        <v>5800000</v>
      </c>
      <c r="D23" s="940">
        <v>0</v>
      </c>
      <c r="E23" s="940">
        <v>5800</v>
      </c>
      <c r="F23" s="1356">
        <f t="shared" si="1"/>
        <v>0</v>
      </c>
      <c r="G23" s="1356">
        <f t="shared" si="1"/>
        <v>24.892703862660944</v>
      </c>
      <c r="H23" s="36"/>
    </row>
    <row r="24" spans="1:8" x14ac:dyDescent="0.25">
      <c r="A24" s="36"/>
      <c r="B24" s="1353"/>
      <c r="C24" s="1353"/>
      <c r="D24" s="940"/>
      <c r="E24" s="940"/>
      <c r="F24" s="1356"/>
      <c r="G24" s="36"/>
      <c r="H24" s="36"/>
    </row>
    <row r="25" spans="1:8" x14ac:dyDescent="0.25">
      <c r="A25" s="1358" t="s">
        <v>552</v>
      </c>
      <c r="B25" s="1359"/>
      <c r="C25" s="1359"/>
      <c r="D25" s="1360"/>
      <c r="E25" s="1449">
        <f>E4-D4</f>
        <v>27565.926110550354</v>
      </c>
      <c r="F25" s="1361"/>
      <c r="G25" s="1362">
        <f>G4-F4</f>
        <v>118.30869575343479</v>
      </c>
      <c r="H25" s="36"/>
    </row>
    <row r="26" spans="1:8" x14ac:dyDescent="0.25">
      <c r="A26" s="205"/>
      <c r="B26" s="1363"/>
      <c r="C26" s="1363"/>
      <c r="D26" s="1364"/>
      <c r="E26" s="1364"/>
      <c r="F26" s="1364"/>
      <c r="G26" s="36"/>
      <c r="H26" s="36"/>
    </row>
    <row r="27" spans="1:8" x14ac:dyDescent="0.25">
      <c r="A27" s="629" t="s">
        <v>352</v>
      </c>
      <c r="B27" s="1579">
        <v>172</v>
      </c>
      <c r="C27" s="1353"/>
      <c r="D27" s="1575" t="s">
        <v>546</v>
      </c>
      <c r="E27" s="1575" t="s">
        <v>547</v>
      </c>
      <c r="F27" s="1182" t="s">
        <v>548</v>
      </c>
      <c r="G27" s="1182" t="s">
        <v>549</v>
      </c>
      <c r="H27" s="36"/>
    </row>
    <row r="28" spans="1:8" x14ac:dyDescent="0.25">
      <c r="A28" s="1167" t="s">
        <v>111</v>
      </c>
      <c r="B28" s="1584">
        <f t="shared" ref="B28:G28" si="2">SUM(B29:B43)</f>
        <v>170540061.19000003</v>
      </c>
      <c r="C28" s="1584">
        <f t="shared" si="2"/>
        <v>203111001.88</v>
      </c>
      <c r="D28" s="1585">
        <f t="shared" si="2"/>
        <v>177205.94588835267</v>
      </c>
      <c r="E28" s="1585">
        <f t="shared" si="2"/>
        <v>206140.30242738588</v>
      </c>
      <c r="F28" s="1585">
        <f t="shared" si="2"/>
        <v>1030.2671272578643</v>
      </c>
      <c r="G28" s="1585">
        <f t="shared" si="2"/>
        <v>1198.4901303917786</v>
      </c>
      <c r="H28" s="36"/>
    </row>
    <row r="29" spans="1:8" x14ac:dyDescent="0.25">
      <c r="A29" s="1354" t="s">
        <v>154</v>
      </c>
      <c r="B29" s="1366">
        <v>6966767.9199999999</v>
      </c>
      <c r="C29" s="1366">
        <v>0</v>
      </c>
      <c r="D29" s="1175">
        <v>7051.876125480303</v>
      </c>
      <c r="E29" s="1175">
        <v>0</v>
      </c>
      <c r="F29" s="1175">
        <f>D29/$B$27</f>
        <v>40.999279799304084</v>
      </c>
      <c r="G29" s="1175">
        <f>E29/$B$27</f>
        <v>0</v>
      </c>
      <c r="H29" s="36"/>
    </row>
    <row r="30" spans="1:8" x14ac:dyDescent="0.25">
      <c r="A30" s="1365" t="s">
        <v>65</v>
      </c>
      <c r="B30" s="1366">
        <v>14780665.109999999</v>
      </c>
      <c r="C30" s="1366">
        <v>0</v>
      </c>
      <c r="D30" s="1175">
        <v>14970.237552777036</v>
      </c>
      <c r="E30" s="1175">
        <v>0</v>
      </c>
      <c r="F30" s="1175">
        <f t="shared" ref="F30:G42" si="3">D30/$B$27</f>
        <v>87.036264841726961</v>
      </c>
      <c r="G30" s="1175">
        <f t="shared" si="3"/>
        <v>0</v>
      </c>
      <c r="H30" s="36"/>
    </row>
    <row r="31" spans="1:8" x14ac:dyDescent="0.25">
      <c r="A31" s="1365" t="s">
        <v>223</v>
      </c>
      <c r="B31" s="1366">
        <v>1251970</v>
      </c>
      <c r="C31" s="1366">
        <v>0</v>
      </c>
      <c r="D31" s="1175">
        <v>1277.8906735751295</v>
      </c>
      <c r="E31" s="1175">
        <v>0</v>
      </c>
      <c r="F31" s="1175">
        <f t="shared" si="3"/>
        <v>7.4295969393902883</v>
      </c>
      <c r="G31" s="1175">
        <f t="shared" si="3"/>
        <v>0</v>
      </c>
      <c r="H31" s="36"/>
    </row>
    <row r="32" spans="1:8" x14ac:dyDescent="0.25">
      <c r="A32" s="1365" t="s">
        <v>131</v>
      </c>
      <c r="B32" s="1366">
        <v>30443172.600000001</v>
      </c>
      <c r="C32" s="1366">
        <v>0</v>
      </c>
      <c r="D32" s="1175">
        <v>31580.054564315353</v>
      </c>
      <c r="E32" s="1175">
        <v>0</v>
      </c>
      <c r="F32" s="1175">
        <f t="shared" si="3"/>
        <v>183.60496839718229</v>
      </c>
      <c r="G32" s="1175">
        <f t="shared" si="3"/>
        <v>0</v>
      </c>
      <c r="H32" s="36"/>
    </row>
    <row r="33" spans="1:8" x14ac:dyDescent="0.25">
      <c r="A33" s="1365" t="s">
        <v>94</v>
      </c>
      <c r="B33" s="1366">
        <v>21641366.200000003</v>
      </c>
      <c r="C33" s="1366">
        <v>0</v>
      </c>
      <c r="D33" s="1175">
        <v>21641.366199999997</v>
      </c>
      <c r="E33" s="1175">
        <v>0</v>
      </c>
      <c r="F33" s="1175">
        <f t="shared" si="3"/>
        <v>125.82189651162788</v>
      </c>
      <c r="G33" s="1175">
        <f t="shared" si="3"/>
        <v>0</v>
      </c>
      <c r="H33" s="36"/>
    </row>
    <row r="34" spans="1:8" x14ac:dyDescent="0.25">
      <c r="A34" s="1365" t="s">
        <v>927</v>
      </c>
      <c r="B34" s="1366">
        <f>D34*920</f>
        <v>14348397.280000003</v>
      </c>
      <c r="C34" s="1366"/>
      <c r="D34" s="1175">
        <v>15596.084000000003</v>
      </c>
      <c r="E34" s="1175">
        <v>0</v>
      </c>
      <c r="F34" s="1175">
        <f>D34/$B$27</f>
        <v>90.674906976744197</v>
      </c>
      <c r="G34" s="1175">
        <f t="shared" si="3"/>
        <v>0</v>
      </c>
      <c r="H34" s="36"/>
    </row>
    <row r="35" spans="1:8" x14ac:dyDescent="0.25">
      <c r="A35" s="1365" t="s">
        <v>52</v>
      </c>
      <c r="B35" s="1366">
        <v>29400000</v>
      </c>
      <c r="C35" s="1366">
        <v>0</v>
      </c>
      <c r="D35" s="1175">
        <v>30370.235701758138</v>
      </c>
      <c r="E35" s="1175">
        <v>0</v>
      </c>
      <c r="F35" s="1175">
        <f t="shared" si="3"/>
        <v>176.57113780091942</v>
      </c>
      <c r="G35" s="1175">
        <f t="shared" si="3"/>
        <v>0</v>
      </c>
      <c r="H35" s="36"/>
    </row>
    <row r="36" spans="1:8" x14ac:dyDescent="0.25">
      <c r="A36" s="1365" t="s">
        <v>238</v>
      </c>
      <c r="B36" s="1366">
        <v>4219265.7</v>
      </c>
      <c r="C36" s="1366">
        <v>0</v>
      </c>
      <c r="D36" s="1175">
        <v>4376.8316390041491</v>
      </c>
      <c r="E36" s="1175">
        <v>0</v>
      </c>
      <c r="F36" s="1175">
        <f t="shared" si="3"/>
        <v>25.446695575605517</v>
      </c>
      <c r="G36" s="1175">
        <f t="shared" si="3"/>
        <v>0</v>
      </c>
      <c r="H36" s="36"/>
    </row>
    <row r="37" spans="1:8" x14ac:dyDescent="0.25">
      <c r="A37" s="1365" t="s">
        <v>112</v>
      </c>
      <c r="B37" s="1366">
        <v>18102330.199999999</v>
      </c>
      <c r="C37" s="1366">
        <v>0</v>
      </c>
      <c r="D37" s="1175">
        <v>19725.569109357071</v>
      </c>
      <c r="E37" s="1175">
        <v>0</v>
      </c>
      <c r="F37" s="1175">
        <f t="shared" si="3"/>
        <v>114.68354133347134</v>
      </c>
      <c r="G37" s="1175">
        <f t="shared" si="3"/>
        <v>0</v>
      </c>
      <c r="H37" s="36"/>
    </row>
    <row r="38" spans="1:8" x14ac:dyDescent="0.25">
      <c r="A38" s="1365" t="s">
        <v>180</v>
      </c>
      <c r="B38" s="1366">
        <v>22482086.18</v>
      </c>
      <c r="C38" s="1366">
        <v>0</v>
      </c>
      <c r="D38" s="1175">
        <v>23321.666161825728</v>
      </c>
      <c r="E38" s="1175">
        <v>0</v>
      </c>
      <c r="F38" s="1175">
        <f t="shared" si="3"/>
        <v>135.59108233619608</v>
      </c>
      <c r="G38" s="1175">
        <f t="shared" si="3"/>
        <v>0</v>
      </c>
      <c r="H38" s="36"/>
    </row>
    <row r="39" spans="1:8" x14ac:dyDescent="0.25">
      <c r="A39" s="1354" t="s">
        <v>56</v>
      </c>
      <c r="B39" s="1366">
        <v>6904040</v>
      </c>
      <c r="C39" s="1366">
        <v>0</v>
      </c>
      <c r="D39" s="1175">
        <v>7294.1341602597568</v>
      </c>
      <c r="E39" s="1175">
        <v>0</v>
      </c>
      <c r="F39" s="1175">
        <f t="shared" si="3"/>
        <v>42.407756745696261</v>
      </c>
      <c r="G39" s="1175">
        <f t="shared" si="3"/>
        <v>0</v>
      </c>
      <c r="H39" s="36"/>
    </row>
    <row r="40" spans="1:8" x14ac:dyDescent="0.25">
      <c r="A40" s="1354" t="s">
        <v>170</v>
      </c>
      <c r="B40" s="1366">
        <v>0</v>
      </c>
      <c r="C40" s="1366">
        <v>81117936.879999995</v>
      </c>
      <c r="D40" s="1175">
        <v>0</v>
      </c>
      <c r="E40" s="1175">
        <v>84147.237427385888</v>
      </c>
      <c r="F40" s="1175">
        <f>D40/$B$27</f>
        <v>0</v>
      </c>
      <c r="G40" s="1175">
        <f>E40/$B$27</f>
        <v>489.22812457782493</v>
      </c>
      <c r="H40" s="36"/>
    </row>
    <row r="41" spans="1:8" x14ac:dyDescent="0.25">
      <c r="A41" s="1354" t="s">
        <v>553</v>
      </c>
      <c r="B41" s="1366">
        <v>0</v>
      </c>
      <c r="C41" s="1366">
        <v>31993065</v>
      </c>
      <c r="D41" s="1175">
        <v>0</v>
      </c>
      <c r="E41" s="1175">
        <v>31993.064999999999</v>
      </c>
      <c r="F41" s="1175">
        <f t="shared" si="3"/>
        <v>0</v>
      </c>
      <c r="G41" s="1175">
        <f t="shared" si="3"/>
        <v>186.00619186046512</v>
      </c>
      <c r="H41" s="36"/>
    </row>
    <row r="42" spans="1:8" x14ac:dyDescent="0.25">
      <c r="A42" s="1354" t="s">
        <v>554</v>
      </c>
      <c r="B42" s="1366">
        <v>0</v>
      </c>
      <c r="C42" s="1366">
        <v>90000000</v>
      </c>
      <c r="D42" s="1175">
        <v>0</v>
      </c>
      <c r="E42" s="1175">
        <v>90000</v>
      </c>
      <c r="F42" s="1175">
        <f t="shared" si="3"/>
        <v>0</v>
      </c>
      <c r="G42" s="1175">
        <f t="shared" si="3"/>
        <v>523.25581395348843</v>
      </c>
      <c r="H42" s="36"/>
    </row>
    <row r="43" spans="1:8" x14ac:dyDescent="0.25">
      <c r="A43" s="1169"/>
      <c r="B43" s="1367"/>
      <c r="C43" s="1367"/>
      <c r="D43" s="1175"/>
      <c r="E43" s="1175"/>
      <c r="F43" s="1169"/>
      <c r="G43" s="36"/>
      <c r="H43" s="36"/>
    </row>
    <row r="44" spans="1:8" x14ac:dyDescent="0.25">
      <c r="A44" s="1368" t="s">
        <v>555</v>
      </c>
      <c r="B44" s="1369"/>
      <c r="C44" s="1369"/>
      <c r="D44" s="1370"/>
      <c r="E44" s="1370">
        <f>+E28-D28</f>
        <v>28934.356539033208</v>
      </c>
      <c r="F44" s="1370"/>
      <c r="G44" s="1371">
        <f>G28-F28</f>
        <v>168.22300313391429</v>
      </c>
      <c r="H44" s="36"/>
    </row>
    <row r="45" spans="1:8" x14ac:dyDescent="0.25">
      <c r="A45" s="205"/>
      <c r="B45" s="1363"/>
      <c r="C45" s="1363"/>
      <c r="D45" s="1363"/>
      <c r="E45" s="1364"/>
      <c r="F45" s="1364"/>
      <c r="G45" s="36"/>
      <c r="H45" s="36"/>
    </row>
    <row r="46" spans="1:8" x14ac:dyDescent="0.25">
      <c r="A46" s="1372" t="s">
        <v>556</v>
      </c>
      <c r="B46" s="1357"/>
      <c r="C46" s="1357"/>
      <c r="D46" s="1356"/>
      <c r="E46" s="1356"/>
      <c r="F46" s="36"/>
      <c r="G46" s="36"/>
      <c r="H46" s="36"/>
    </row>
    <row r="47" spans="1:8" x14ac:dyDescent="0.25">
      <c r="A47" s="36"/>
      <c r="B47" s="1357"/>
      <c r="C47" s="1357"/>
      <c r="D47" s="1356"/>
      <c r="E47" s="1356"/>
      <c r="F47" s="36"/>
      <c r="G47" s="36"/>
      <c r="H47" s="36"/>
    </row>
  </sheetData>
  <sheetProtection sheet="1" objects="1" scenarios="1"/>
  <pageMargins left="0.25" right="0.25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682DC-C087-48BD-A2B6-CAE77D3BE0C0}">
  <dimension ref="A1:U149"/>
  <sheetViews>
    <sheetView topLeftCell="H1" workbookViewId="0">
      <selection activeCell="S72" sqref="S72"/>
    </sheetView>
  </sheetViews>
  <sheetFormatPr baseColWidth="10" defaultRowHeight="15" x14ac:dyDescent="0.25"/>
  <cols>
    <col min="2" max="2" width="15" customWidth="1"/>
    <col min="3" max="3" width="18.42578125" customWidth="1"/>
    <col min="4" max="5" width="18.5703125" bestFit="1" customWidth="1"/>
    <col min="6" max="6" width="15.5703125" bestFit="1" customWidth="1"/>
    <col min="8" max="8" width="13.7109375" customWidth="1"/>
    <col min="9" max="9" width="14.7109375" customWidth="1"/>
    <col min="13" max="13" width="12.85546875" customWidth="1"/>
    <col min="15" max="15" width="12.85546875" customWidth="1"/>
    <col min="17" max="17" width="21.42578125" customWidth="1"/>
    <col min="21" max="21" width="12.5703125" customWidth="1"/>
  </cols>
  <sheetData>
    <row r="1" spans="1:21" ht="44.25" customHeight="1" x14ac:dyDescent="0.25">
      <c r="D1" s="1518">
        <f>SUBTOTAL(9,Tabla7[EGRESOS])</f>
        <v>187115208.35999998</v>
      </c>
      <c r="E1" s="1518">
        <f>SUBTOTAL(9,Tabla7[INGRESOS])</f>
        <v>280474204.09000003</v>
      </c>
      <c r="F1" s="1519">
        <f>E1-D1</f>
        <v>93358995.730000049</v>
      </c>
    </row>
    <row r="2" spans="1:21" ht="15.75" thickBot="1" x14ac:dyDescent="0.3">
      <c r="A2" s="1308" t="s">
        <v>0</v>
      </c>
      <c r="B2" s="1309" t="s">
        <v>1</v>
      </c>
      <c r="C2" s="1310" t="s">
        <v>2</v>
      </c>
      <c r="D2" s="1311" t="s">
        <v>3</v>
      </c>
      <c r="E2" s="1311" t="s">
        <v>4</v>
      </c>
      <c r="F2" s="1311" t="s">
        <v>5</v>
      </c>
      <c r="G2" s="1311" t="s">
        <v>6</v>
      </c>
      <c r="H2" s="1311" t="s">
        <v>7</v>
      </c>
      <c r="I2" s="1311" t="s">
        <v>8</v>
      </c>
      <c r="J2" s="1309" t="s">
        <v>9</v>
      </c>
      <c r="K2" s="1309" t="s">
        <v>10</v>
      </c>
      <c r="L2" s="1309" t="s">
        <v>11</v>
      </c>
      <c r="M2" s="1309" t="s">
        <v>12</v>
      </c>
      <c r="N2" s="1309" t="s">
        <v>13</v>
      </c>
      <c r="O2" s="1309" t="s">
        <v>14</v>
      </c>
      <c r="P2" s="1309" t="s">
        <v>15</v>
      </c>
      <c r="Q2" s="1309" t="s">
        <v>16</v>
      </c>
      <c r="R2" s="1309" t="s">
        <v>17</v>
      </c>
      <c r="S2" s="1312" t="s">
        <v>18</v>
      </c>
      <c r="T2" s="1313" t="s">
        <v>19</v>
      </c>
      <c r="U2" s="1309" t="s">
        <v>20</v>
      </c>
    </row>
    <row r="3" spans="1:21" x14ac:dyDescent="0.25">
      <c r="A3" s="644">
        <v>45293</v>
      </c>
      <c r="B3" s="1323" t="s">
        <v>936</v>
      </c>
      <c r="C3" s="1324" t="s">
        <v>937</v>
      </c>
      <c r="D3" s="1512">
        <v>122000</v>
      </c>
      <c r="E3" s="1321">
        <v>0</v>
      </c>
      <c r="F3" s="1322">
        <v>0</v>
      </c>
      <c r="G3" s="1322">
        <v>830</v>
      </c>
      <c r="H3" s="1318">
        <v>146.98795180722891</v>
      </c>
      <c r="I3" s="1318">
        <v>0</v>
      </c>
      <c r="J3" s="1325" t="s">
        <v>21</v>
      </c>
      <c r="K3" s="1323" t="s">
        <v>22</v>
      </c>
      <c r="L3" s="1325" t="s">
        <v>27</v>
      </c>
      <c r="M3" s="1326" t="s">
        <v>47</v>
      </c>
      <c r="N3" s="642" t="s">
        <v>938</v>
      </c>
      <c r="O3" s="646" t="s">
        <v>28</v>
      </c>
      <c r="P3" s="646" t="s">
        <v>939</v>
      </c>
      <c r="Q3" s="641" t="s">
        <v>940</v>
      </c>
      <c r="R3" s="641" t="s">
        <v>941</v>
      </c>
      <c r="S3" s="647" t="s">
        <v>942</v>
      </c>
      <c r="T3" s="641"/>
      <c r="U3" s="647" t="s">
        <v>29</v>
      </c>
    </row>
    <row r="4" spans="1:21" x14ac:dyDescent="0.25">
      <c r="A4" s="637">
        <v>45294</v>
      </c>
      <c r="B4" s="1314" t="s">
        <v>943</v>
      </c>
      <c r="C4" s="1330" t="s">
        <v>944</v>
      </c>
      <c r="D4" s="1513">
        <v>798597.54</v>
      </c>
      <c r="E4" s="1316">
        <v>0</v>
      </c>
      <c r="F4" s="1317">
        <v>0</v>
      </c>
      <c r="G4" s="1322">
        <v>830</v>
      </c>
      <c r="H4" s="1318">
        <v>962.16571084337352</v>
      </c>
      <c r="I4" s="1318">
        <v>0</v>
      </c>
      <c r="J4" s="1319" t="s">
        <v>21</v>
      </c>
      <c r="K4" s="1314" t="s">
        <v>22</v>
      </c>
      <c r="L4" s="1319" t="s">
        <v>27</v>
      </c>
      <c r="M4" s="1320" t="s">
        <v>47</v>
      </c>
      <c r="N4" s="640" t="s">
        <v>938</v>
      </c>
      <c r="O4" s="640" t="s">
        <v>48</v>
      </c>
      <c r="P4" s="640" t="s">
        <v>939</v>
      </c>
      <c r="Q4" s="638" t="s">
        <v>945</v>
      </c>
      <c r="R4" s="639" t="s">
        <v>946</v>
      </c>
      <c r="S4" s="639" t="s">
        <v>942</v>
      </c>
      <c r="T4" s="638"/>
      <c r="U4" s="647" t="s">
        <v>29</v>
      </c>
    </row>
    <row r="5" spans="1:21" x14ac:dyDescent="0.25">
      <c r="A5" s="637">
        <v>45301</v>
      </c>
      <c r="B5" s="1314" t="s">
        <v>947</v>
      </c>
      <c r="C5" s="1330" t="s">
        <v>948</v>
      </c>
      <c r="D5" s="1316">
        <v>122302.64</v>
      </c>
      <c r="E5" s="1316">
        <v>0</v>
      </c>
      <c r="F5" s="1317">
        <v>0</v>
      </c>
      <c r="G5" s="1317">
        <v>830</v>
      </c>
      <c r="H5" s="1318">
        <v>147.35257831325302</v>
      </c>
      <c r="I5" s="1318">
        <v>0</v>
      </c>
      <c r="J5" s="1319" t="s">
        <v>21</v>
      </c>
      <c r="K5" s="1314" t="s">
        <v>22</v>
      </c>
      <c r="L5" s="1319" t="s">
        <v>27</v>
      </c>
      <c r="M5" s="1320" t="s">
        <v>47</v>
      </c>
      <c r="N5" s="642" t="s">
        <v>938</v>
      </c>
      <c r="O5" s="642" t="s">
        <v>28</v>
      </c>
      <c r="P5" s="640" t="s">
        <v>939</v>
      </c>
      <c r="Q5" s="638" t="s">
        <v>940</v>
      </c>
      <c r="R5" s="638" t="s">
        <v>941</v>
      </c>
      <c r="S5" s="639" t="s">
        <v>942</v>
      </c>
      <c r="T5" s="638"/>
      <c r="U5" s="647" t="s">
        <v>24</v>
      </c>
    </row>
    <row r="6" spans="1:21" x14ac:dyDescent="0.25">
      <c r="A6" s="637">
        <v>45307</v>
      </c>
      <c r="B6" s="1314" t="s">
        <v>949</v>
      </c>
      <c r="C6" s="1315" t="s">
        <v>950</v>
      </c>
      <c r="D6" s="1316">
        <v>10500</v>
      </c>
      <c r="E6" s="1316">
        <v>0</v>
      </c>
      <c r="F6" s="1317">
        <v>0</v>
      </c>
      <c r="G6" s="1317">
        <v>830</v>
      </c>
      <c r="H6" s="1318">
        <v>12.650602409638553</v>
      </c>
      <c r="I6" s="1318">
        <v>0</v>
      </c>
      <c r="J6" s="1319" t="s">
        <v>21</v>
      </c>
      <c r="K6" s="1314" t="s">
        <v>22</v>
      </c>
      <c r="L6" s="1319" t="s">
        <v>45</v>
      </c>
      <c r="M6" s="1320" t="s">
        <v>47</v>
      </c>
      <c r="N6" s="642" t="s">
        <v>938</v>
      </c>
      <c r="O6" s="642" t="s">
        <v>62</v>
      </c>
      <c r="P6" s="640" t="s">
        <v>939</v>
      </c>
      <c r="Q6" s="638" t="s">
        <v>951</v>
      </c>
      <c r="R6" s="647" t="s">
        <v>952</v>
      </c>
      <c r="S6" s="647" t="s">
        <v>59</v>
      </c>
      <c r="T6" s="638"/>
      <c r="U6" s="647" t="s">
        <v>24</v>
      </c>
    </row>
    <row r="7" spans="1:21" x14ac:dyDescent="0.25">
      <c r="A7" s="637">
        <v>45308</v>
      </c>
      <c r="B7" s="1314" t="s">
        <v>949</v>
      </c>
      <c r="C7" s="1315" t="s">
        <v>953</v>
      </c>
      <c r="D7" s="1513">
        <v>528500</v>
      </c>
      <c r="E7" s="1316">
        <v>0</v>
      </c>
      <c r="F7" s="1317">
        <v>0</v>
      </c>
      <c r="G7" s="1317">
        <v>830</v>
      </c>
      <c r="H7" s="1318">
        <v>636.74698795180723</v>
      </c>
      <c r="I7" s="1318">
        <v>0</v>
      </c>
      <c r="J7" s="1319" t="s">
        <v>21</v>
      </c>
      <c r="K7" s="1314" t="s">
        <v>22</v>
      </c>
      <c r="L7" s="1319" t="s">
        <v>45</v>
      </c>
      <c r="M7" s="1320" t="s">
        <v>47</v>
      </c>
      <c r="N7" s="640" t="s">
        <v>938</v>
      </c>
      <c r="O7" s="642" t="s">
        <v>48</v>
      </c>
      <c r="P7" s="640" t="s">
        <v>939</v>
      </c>
      <c r="Q7" s="638" t="s">
        <v>954</v>
      </c>
      <c r="R7" s="647" t="s">
        <v>955</v>
      </c>
      <c r="S7" s="647" t="s">
        <v>942</v>
      </c>
      <c r="T7" s="638"/>
      <c r="U7" s="647" t="s">
        <v>24</v>
      </c>
    </row>
    <row r="8" spans="1:21" x14ac:dyDescent="0.25">
      <c r="A8" s="637">
        <v>45310</v>
      </c>
      <c r="B8" s="1314" t="s">
        <v>947</v>
      </c>
      <c r="C8" s="1315" t="s">
        <v>956</v>
      </c>
      <c r="D8" s="1316">
        <v>94297.5</v>
      </c>
      <c r="E8" s="1316">
        <v>0</v>
      </c>
      <c r="F8" s="1317">
        <v>0</v>
      </c>
      <c r="G8" s="1317">
        <v>830</v>
      </c>
      <c r="H8" s="1318">
        <v>113.61144578313252</v>
      </c>
      <c r="I8" s="1318">
        <v>0</v>
      </c>
      <c r="J8" s="1319" t="s">
        <v>21</v>
      </c>
      <c r="K8" s="1314" t="s">
        <v>22</v>
      </c>
      <c r="L8" s="1319" t="s">
        <v>27</v>
      </c>
      <c r="M8" s="1320" t="s">
        <v>47</v>
      </c>
      <c r="N8" s="642" t="s">
        <v>938</v>
      </c>
      <c r="O8" s="640" t="s">
        <v>48</v>
      </c>
      <c r="P8" s="640" t="s">
        <v>939</v>
      </c>
      <c r="Q8" s="638" t="s">
        <v>954</v>
      </c>
      <c r="R8" s="639" t="s">
        <v>957</v>
      </c>
      <c r="S8" s="647" t="s">
        <v>942</v>
      </c>
      <c r="T8" s="638"/>
      <c r="U8" s="647" t="s">
        <v>24</v>
      </c>
    </row>
    <row r="9" spans="1:21" x14ac:dyDescent="0.25">
      <c r="A9" s="637">
        <v>45310</v>
      </c>
      <c r="B9" s="1314" t="s">
        <v>958</v>
      </c>
      <c r="C9" s="1315" t="s">
        <v>959</v>
      </c>
      <c r="D9" s="1316">
        <v>239579</v>
      </c>
      <c r="E9" s="1316">
        <v>0</v>
      </c>
      <c r="F9" s="1317">
        <v>0</v>
      </c>
      <c r="G9" s="1317">
        <v>830</v>
      </c>
      <c r="H9" s="1318">
        <v>288.64939759036145</v>
      </c>
      <c r="I9" s="1318">
        <v>0</v>
      </c>
      <c r="J9" s="1319" t="s">
        <v>21</v>
      </c>
      <c r="K9" s="1314" t="s">
        <v>22</v>
      </c>
      <c r="L9" s="1319" t="s">
        <v>27</v>
      </c>
      <c r="M9" s="1320" t="s">
        <v>47</v>
      </c>
      <c r="N9" s="640" t="s">
        <v>938</v>
      </c>
      <c r="O9" s="642" t="s">
        <v>48</v>
      </c>
      <c r="P9" s="640" t="s">
        <v>939</v>
      </c>
      <c r="Q9" s="638" t="s">
        <v>945</v>
      </c>
      <c r="R9" s="639" t="s">
        <v>960</v>
      </c>
      <c r="S9" s="639" t="s">
        <v>59</v>
      </c>
      <c r="T9" s="638"/>
      <c r="U9" s="647" t="s">
        <v>24</v>
      </c>
    </row>
    <row r="10" spans="1:21" x14ac:dyDescent="0.25">
      <c r="A10" s="637">
        <v>45316</v>
      </c>
      <c r="B10" s="1314" t="s">
        <v>961</v>
      </c>
      <c r="C10" s="1314" t="s">
        <v>962</v>
      </c>
      <c r="D10" s="1316">
        <v>116229.2</v>
      </c>
      <c r="E10" s="1316">
        <v>0</v>
      </c>
      <c r="F10" s="1317">
        <v>0</v>
      </c>
      <c r="G10" s="1317">
        <v>830</v>
      </c>
      <c r="H10" s="1318">
        <v>140.03518072289157</v>
      </c>
      <c r="I10" s="1318">
        <v>0</v>
      </c>
      <c r="J10" s="1319" t="s">
        <v>21</v>
      </c>
      <c r="K10" s="1314" t="s">
        <v>22</v>
      </c>
      <c r="L10" s="1319" t="s">
        <v>27</v>
      </c>
      <c r="M10" s="1320" t="s">
        <v>47</v>
      </c>
      <c r="N10" s="640" t="s">
        <v>938</v>
      </c>
      <c r="O10" s="642" t="s">
        <v>48</v>
      </c>
      <c r="P10" s="640" t="s">
        <v>939</v>
      </c>
      <c r="Q10" s="638" t="s">
        <v>954</v>
      </c>
      <c r="R10" s="647" t="s">
        <v>963</v>
      </c>
      <c r="S10" s="647" t="s">
        <v>942</v>
      </c>
      <c r="T10" s="638"/>
      <c r="U10" s="647" t="s">
        <v>24</v>
      </c>
    </row>
    <row r="11" spans="1:21" x14ac:dyDescent="0.25">
      <c r="A11" s="637">
        <v>45316</v>
      </c>
      <c r="B11" s="1314" t="s">
        <v>943</v>
      </c>
      <c r="C11" s="1315" t="s">
        <v>964</v>
      </c>
      <c r="D11" s="1316">
        <v>433803.06</v>
      </c>
      <c r="E11" s="1316">
        <v>0</v>
      </c>
      <c r="F11" s="1317">
        <v>0</v>
      </c>
      <c r="G11" s="1317">
        <v>830</v>
      </c>
      <c r="H11" s="1318">
        <v>522.65428915662653</v>
      </c>
      <c r="I11" s="1318">
        <v>0</v>
      </c>
      <c r="J11" s="1319" t="s">
        <v>21</v>
      </c>
      <c r="K11" s="1314" t="s">
        <v>22</v>
      </c>
      <c r="L11" s="1319" t="s">
        <v>27</v>
      </c>
      <c r="M11" s="1320" t="s">
        <v>47</v>
      </c>
      <c r="N11" s="640" t="s">
        <v>938</v>
      </c>
      <c r="O11" s="642" t="s">
        <v>48</v>
      </c>
      <c r="P11" s="640" t="s">
        <v>939</v>
      </c>
      <c r="Q11" s="638" t="s">
        <v>945</v>
      </c>
      <c r="R11" s="639" t="s">
        <v>965</v>
      </c>
      <c r="S11" s="639" t="s">
        <v>59</v>
      </c>
      <c r="T11" s="638"/>
      <c r="U11" s="647" t="s">
        <v>24</v>
      </c>
    </row>
    <row r="12" spans="1:21" x14ac:dyDescent="0.25">
      <c r="A12" s="637">
        <v>45320</v>
      </c>
      <c r="B12" s="1314" t="s">
        <v>943</v>
      </c>
      <c r="C12" s="1315" t="s">
        <v>966</v>
      </c>
      <c r="D12" s="1327">
        <v>96505.02</v>
      </c>
      <c r="E12" s="1316">
        <v>0</v>
      </c>
      <c r="F12" s="1317">
        <v>0</v>
      </c>
      <c r="G12" s="1317">
        <v>830</v>
      </c>
      <c r="H12" s="1318">
        <v>116.27110843373494</v>
      </c>
      <c r="I12" s="1318">
        <v>0</v>
      </c>
      <c r="J12" s="1319" t="s">
        <v>21</v>
      </c>
      <c r="K12" s="1314" t="s">
        <v>22</v>
      </c>
      <c r="L12" s="1319" t="s">
        <v>27</v>
      </c>
      <c r="M12" s="1320" t="s">
        <v>47</v>
      </c>
      <c r="N12" s="640" t="s">
        <v>938</v>
      </c>
      <c r="O12" s="642" t="s">
        <v>48</v>
      </c>
      <c r="P12" s="640" t="s">
        <v>939</v>
      </c>
      <c r="Q12" s="638" t="s">
        <v>945</v>
      </c>
      <c r="R12" s="639" t="s">
        <v>967</v>
      </c>
      <c r="S12" s="639" t="s">
        <v>59</v>
      </c>
      <c r="T12" s="638"/>
      <c r="U12" s="647" t="s">
        <v>24</v>
      </c>
    </row>
    <row r="13" spans="1:21" x14ac:dyDescent="0.25">
      <c r="A13" s="637">
        <v>45324</v>
      </c>
      <c r="B13" s="1314" t="s">
        <v>25</v>
      </c>
      <c r="C13" s="1314"/>
      <c r="D13" s="1316">
        <v>21502</v>
      </c>
      <c r="E13" s="1316">
        <v>0</v>
      </c>
      <c r="F13" s="1334">
        <v>0</v>
      </c>
      <c r="G13" s="1334">
        <v>845</v>
      </c>
      <c r="H13" s="1318">
        <v>25.446153846153845</v>
      </c>
      <c r="I13" s="1318">
        <v>0</v>
      </c>
      <c r="J13" s="1319" t="s">
        <v>21</v>
      </c>
      <c r="K13" s="1314" t="s">
        <v>26</v>
      </c>
      <c r="L13" s="1319" t="s">
        <v>26</v>
      </c>
      <c r="M13" s="1320" t="s">
        <v>47</v>
      </c>
      <c r="N13" s="640" t="s">
        <v>939</v>
      </c>
      <c r="O13" s="640" t="s">
        <v>77</v>
      </c>
      <c r="P13" s="640" t="s">
        <v>78</v>
      </c>
      <c r="Q13" s="638" t="s">
        <v>968</v>
      </c>
      <c r="R13" s="639" t="s">
        <v>43</v>
      </c>
      <c r="S13" s="639" t="s">
        <v>44</v>
      </c>
      <c r="T13" s="638"/>
      <c r="U13" s="647" t="s">
        <v>24</v>
      </c>
    </row>
    <row r="14" spans="1:21" x14ac:dyDescent="0.25">
      <c r="A14" s="637">
        <v>45329</v>
      </c>
      <c r="B14" s="1314" t="s">
        <v>69</v>
      </c>
      <c r="C14" s="1315" t="s">
        <v>969</v>
      </c>
      <c r="D14" s="1316">
        <v>69485</v>
      </c>
      <c r="E14" s="1327">
        <v>0</v>
      </c>
      <c r="F14" s="1341">
        <v>0</v>
      </c>
      <c r="G14" s="1341">
        <v>845</v>
      </c>
      <c r="H14" s="1318">
        <v>82.230769230769226</v>
      </c>
      <c r="I14" s="1318">
        <v>0</v>
      </c>
      <c r="J14" s="1319" t="s">
        <v>21</v>
      </c>
      <c r="K14" s="1320" t="s">
        <v>22</v>
      </c>
      <c r="L14" s="1319" t="s">
        <v>45</v>
      </c>
      <c r="M14" s="1320" t="s">
        <v>47</v>
      </c>
      <c r="N14" s="640" t="s">
        <v>938</v>
      </c>
      <c r="O14" s="640" t="s">
        <v>82</v>
      </c>
      <c r="P14" s="640"/>
      <c r="Q14" s="638" t="s">
        <v>970</v>
      </c>
      <c r="R14" s="639" t="s">
        <v>971</v>
      </c>
      <c r="S14" s="639" t="s">
        <v>59</v>
      </c>
      <c r="T14" s="638"/>
      <c r="U14" s="647" t="s">
        <v>24</v>
      </c>
    </row>
    <row r="15" spans="1:21" x14ac:dyDescent="0.25">
      <c r="A15" s="637">
        <v>45329</v>
      </c>
      <c r="B15" s="1314" t="s">
        <v>69</v>
      </c>
      <c r="C15" s="1315" t="s">
        <v>972</v>
      </c>
      <c r="D15" s="1316">
        <v>140185</v>
      </c>
      <c r="E15" s="1327">
        <v>0</v>
      </c>
      <c r="F15" s="1341">
        <v>0</v>
      </c>
      <c r="G15" s="1341">
        <v>845</v>
      </c>
      <c r="H15" s="1318">
        <v>165.89940828402368</v>
      </c>
      <c r="I15" s="1318">
        <v>0</v>
      </c>
      <c r="J15" s="1319" t="s">
        <v>21</v>
      </c>
      <c r="K15" s="1320" t="s">
        <v>22</v>
      </c>
      <c r="L15" s="1319" t="s">
        <v>45</v>
      </c>
      <c r="M15" s="1320" t="s">
        <v>47</v>
      </c>
      <c r="N15" s="640" t="s">
        <v>938</v>
      </c>
      <c r="O15" s="640" t="s">
        <v>82</v>
      </c>
      <c r="P15" s="640"/>
      <c r="Q15" s="638" t="s">
        <v>970</v>
      </c>
      <c r="R15" s="639" t="s">
        <v>973</v>
      </c>
      <c r="S15" s="639" t="s">
        <v>59</v>
      </c>
      <c r="T15" s="638"/>
      <c r="U15" s="647" t="s">
        <v>24</v>
      </c>
    </row>
    <row r="16" spans="1:21" x14ac:dyDescent="0.25">
      <c r="A16" s="637">
        <v>45331</v>
      </c>
      <c r="B16" s="1314" t="s">
        <v>974</v>
      </c>
      <c r="C16" s="1315"/>
      <c r="D16" s="1316">
        <v>0</v>
      </c>
      <c r="E16" s="1316">
        <v>2271603.79</v>
      </c>
      <c r="F16" s="1317">
        <v>0</v>
      </c>
      <c r="G16" s="1317">
        <v>845</v>
      </c>
      <c r="H16" s="1318">
        <v>0</v>
      </c>
      <c r="I16" s="1318">
        <v>2688.2885088757398</v>
      </c>
      <c r="J16" s="1319" t="s">
        <v>21</v>
      </c>
      <c r="K16" s="1320" t="s">
        <v>22</v>
      </c>
      <c r="L16" s="1319" t="s">
        <v>45</v>
      </c>
      <c r="M16" s="1320" t="s">
        <v>47</v>
      </c>
      <c r="N16" s="640" t="s">
        <v>939</v>
      </c>
      <c r="O16" s="640" t="s">
        <v>83</v>
      </c>
      <c r="P16" s="640" t="s">
        <v>975</v>
      </c>
      <c r="Q16" s="638" t="s">
        <v>976</v>
      </c>
      <c r="R16" s="639" t="s">
        <v>977</v>
      </c>
      <c r="S16" s="639" t="s">
        <v>84</v>
      </c>
      <c r="T16" s="638"/>
      <c r="U16" s="647" t="s">
        <v>24</v>
      </c>
    </row>
    <row r="17" spans="1:21" x14ac:dyDescent="0.25">
      <c r="A17" s="637">
        <v>45337</v>
      </c>
      <c r="B17" s="1314" t="s">
        <v>69</v>
      </c>
      <c r="C17" s="1315" t="s">
        <v>978</v>
      </c>
      <c r="D17" s="1316">
        <v>228000</v>
      </c>
      <c r="E17" s="1316">
        <v>0</v>
      </c>
      <c r="F17" s="1317">
        <v>0</v>
      </c>
      <c r="G17" s="1317">
        <v>845</v>
      </c>
      <c r="H17" s="1318">
        <v>269.82248520710061</v>
      </c>
      <c r="I17" s="1318">
        <v>0</v>
      </c>
      <c r="J17" s="1319" t="s">
        <v>21</v>
      </c>
      <c r="K17" s="1320" t="s">
        <v>22</v>
      </c>
      <c r="L17" s="1319" t="s">
        <v>45</v>
      </c>
      <c r="M17" s="1320" t="s">
        <v>47</v>
      </c>
      <c r="N17" s="640" t="s">
        <v>938</v>
      </c>
      <c r="O17" s="640" t="s">
        <v>71</v>
      </c>
      <c r="P17" s="640" t="s">
        <v>50</v>
      </c>
      <c r="Q17" s="638" t="s">
        <v>979</v>
      </c>
      <c r="R17" s="639" t="s">
        <v>980</v>
      </c>
      <c r="S17" s="639" t="s">
        <v>59</v>
      </c>
      <c r="T17" s="638"/>
      <c r="U17" s="647" t="s">
        <v>24</v>
      </c>
    </row>
    <row r="18" spans="1:21" x14ac:dyDescent="0.25">
      <c r="A18" s="637">
        <v>45337</v>
      </c>
      <c r="B18" s="1314" t="s">
        <v>981</v>
      </c>
      <c r="C18" s="1315">
        <v>5150392</v>
      </c>
      <c r="D18" s="1328">
        <v>0</v>
      </c>
      <c r="E18" s="1316">
        <v>2295879.09</v>
      </c>
      <c r="F18" s="1317">
        <v>0</v>
      </c>
      <c r="G18" s="1317">
        <v>845</v>
      </c>
      <c r="H18" s="1318">
        <v>0</v>
      </c>
      <c r="I18" s="1318">
        <v>2717.0166745562128</v>
      </c>
      <c r="J18" s="1319" t="s">
        <v>21</v>
      </c>
      <c r="K18" s="1320" t="s">
        <v>22</v>
      </c>
      <c r="L18" s="1319" t="s">
        <v>45</v>
      </c>
      <c r="M18" s="1320" t="s">
        <v>47</v>
      </c>
      <c r="N18" s="640" t="s">
        <v>939</v>
      </c>
      <c r="O18" s="640" t="s">
        <v>83</v>
      </c>
      <c r="P18" s="640" t="s">
        <v>975</v>
      </c>
      <c r="Q18" s="638" t="s">
        <v>976</v>
      </c>
      <c r="R18" s="639" t="s">
        <v>977</v>
      </c>
      <c r="S18" s="639" t="s">
        <v>84</v>
      </c>
      <c r="T18" s="638"/>
      <c r="U18" s="647" t="s">
        <v>24</v>
      </c>
    </row>
    <row r="19" spans="1:21" x14ac:dyDescent="0.25">
      <c r="A19" s="637">
        <v>45341</v>
      </c>
      <c r="B19" s="1314" t="s">
        <v>982</v>
      </c>
      <c r="C19" s="1315">
        <v>5155859</v>
      </c>
      <c r="D19" s="1328">
        <v>0</v>
      </c>
      <c r="E19" s="1316">
        <v>2295878.89</v>
      </c>
      <c r="F19" s="1317">
        <v>0</v>
      </c>
      <c r="G19" s="1317">
        <v>845</v>
      </c>
      <c r="H19" s="1318">
        <v>0</v>
      </c>
      <c r="I19" s="1318">
        <v>2717.0164378698228</v>
      </c>
      <c r="J19" s="1319" t="s">
        <v>21</v>
      </c>
      <c r="K19" s="1320" t="s">
        <v>22</v>
      </c>
      <c r="L19" s="1319" t="s">
        <v>45</v>
      </c>
      <c r="M19" s="1320" t="s">
        <v>47</v>
      </c>
      <c r="N19" s="640" t="s">
        <v>939</v>
      </c>
      <c r="O19" s="640" t="s">
        <v>83</v>
      </c>
      <c r="P19" s="640" t="s">
        <v>975</v>
      </c>
      <c r="Q19" s="638" t="s">
        <v>976</v>
      </c>
      <c r="R19" s="639" t="s">
        <v>977</v>
      </c>
      <c r="S19" s="639" t="s">
        <v>84</v>
      </c>
      <c r="T19" s="638"/>
      <c r="U19" s="647" t="s">
        <v>24</v>
      </c>
    </row>
    <row r="20" spans="1:21" x14ac:dyDescent="0.25">
      <c r="A20" s="644">
        <v>45344</v>
      </c>
      <c r="B20" s="1323" t="s">
        <v>25</v>
      </c>
      <c r="C20" s="1324"/>
      <c r="D20" s="1321">
        <v>0</v>
      </c>
      <c r="E20" s="1321">
        <v>2531150</v>
      </c>
      <c r="F20" s="1322">
        <v>0</v>
      </c>
      <c r="G20" s="1322">
        <v>845</v>
      </c>
      <c r="H20" s="1318">
        <v>0</v>
      </c>
      <c r="I20" s="1318">
        <v>2995.4437869822486</v>
      </c>
      <c r="J20" s="1325" t="s">
        <v>21</v>
      </c>
      <c r="K20" s="1314" t="s">
        <v>26</v>
      </c>
      <c r="L20" s="1319" t="s">
        <v>26</v>
      </c>
      <c r="M20" s="1326" t="s">
        <v>47</v>
      </c>
      <c r="N20" s="646" t="s">
        <v>939</v>
      </c>
      <c r="O20" s="640" t="s">
        <v>83</v>
      </c>
      <c r="P20" s="640" t="s">
        <v>975</v>
      </c>
      <c r="Q20" s="641" t="s">
        <v>976</v>
      </c>
      <c r="R20" s="647" t="s">
        <v>977</v>
      </c>
      <c r="S20" s="647" t="s">
        <v>84</v>
      </c>
      <c r="T20" s="641"/>
      <c r="U20" s="647" t="s">
        <v>24</v>
      </c>
    </row>
    <row r="21" spans="1:21" x14ac:dyDescent="0.25">
      <c r="A21" s="637">
        <v>45352</v>
      </c>
      <c r="B21" s="1314" t="s">
        <v>69</v>
      </c>
      <c r="C21" s="1315" t="s">
        <v>983</v>
      </c>
      <c r="D21" s="1316">
        <v>67200</v>
      </c>
      <c r="E21" s="1316">
        <v>0</v>
      </c>
      <c r="F21" s="1317">
        <v>0</v>
      </c>
      <c r="G21" s="1317">
        <v>861</v>
      </c>
      <c r="H21" s="1318">
        <v>78.048780487804876</v>
      </c>
      <c r="I21" s="1318">
        <v>0</v>
      </c>
      <c r="J21" s="1319" t="s">
        <v>21</v>
      </c>
      <c r="K21" s="1320" t="s">
        <v>22</v>
      </c>
      <c r="L21" s="1319" t="s">
        <v>45</v>
      </c>
      <c r="M21" s="1320" t="s">
        <v>47</v>
      </c>
      <c r="N21" s="640" t="s">
        <v>939</v>
      </c>
      <c r="O21" s="640" t="s">
        <v>77</v>
      </c>
      <c r="P21" s="640" t="s">
        <v>78</v>
      </c>
      <c r="Q21" s="638" t="s">
        <v>968</v>
      </c>
      <c r="R21" s="639" t="s">
        <v>43</v>
      </c>
      <c r="S21" s="639" t="s">
        <v>44</v>
      </c>
      <c r="T21" s="638"/>
      <c r="U21" s="647" t="s">
        <v>24</v>
      </c>
    </row>
    <row r="22" spans="1:21" x14ac:dyDescent="0.25">
      <c r="A22" s="637">
        <v>45357</v>
      </c>
      <c r="B22" s="1314" t="s">
        <v>69</v>
      </c>
      <c r="C22" s="1315" t="s">
        <v>984</v>
      </c>
      <c r="D22" s="1316">
        <v>78271.27</v>
      </c>
      <c r="E22" s="1316">
        <v>0</v>
      </c>
      <c r="F22" s="1317">
        <v>0</v>
      </c>
      <c r="G22" s="1317">
        <v>861</v>
      </c>
      <c r="H22" s="1318">
        <v>90.907398373983739</v>
      </c>
      <c r="I22" s="1318">
        <v>0</v>
      </c>
      <c r="J22" s="1319" t="s">
        <v>21</v>
      </c>
      <c r="K22" s="1320" t="s">
        <v>22</v>
      </c>
      <c r="L22" s="1319" t="s">
        <v>45</v>
      </c>
      <c r="M22" s="1320" t="s">
        <v>47</v>
      </c>
      <c r="N22" s="640" t="s">
        <v>938</v>
      </c>
      <c r="O22" s="640" t="s">
        <v>82</v>
      </c>
      <c r="P22" s="640"/>
      <c r="Q22" s="638" t="s">
        <v>970</v>
      </c>
      <c r="R22" s="639" t="s">
        <v>985</v>
      </c>
      <c r="S22" s="639" t="s">
        <v>59</v>
      </c>
      <c r="T22" s="638"/>
      <c r="U22" s="647" t="s">
        <v>24</v>
      </c>
    </row>
    <row r="23" spans="1:21" x14ac:dyDescent="0.25">
      <c r="A23" s="637">
        <v>45357</v>
      </c>
      <c r="B23" s="1314" t="s">
        <v>986</v>
      </c>
      <c r="C23" s="1315"/>
      <c r="D23" s="1327">
        <v>0</v>
      </c>
      <c r="E23" s="1328">
        <v>2345804.2999999998</v>
      </c>
      <c r="F23" s="1329">
        <v>0</v>
      </c>
      <c r="G23" s="1329">
        <v>861</v>
      </c>
      <c r="H23" s="1318">
        <v>0</v>
      </c>
      <c r="I23" s="1318">
        <v>2724.5113821138211</v>
      </c>
      <c r="J23" s="1319" t="s">
        <v>21</v>
      </c>
      <c r="K23" s="1320" t="s">
        <v>22</v>
      </c>
      <c r="L23" s="1319" t="s">
        <v>45</v>
      </c>
      <c r="M23" s="1320" t="s">
        <v>47</v>
      </c>
      <c r="N23" s="640" t="s">
        <v>939</v>
      </c>
      <c r="O23" s="640" t="s">
        <v>83</v>
      </c>
      <c r="P23" s="640" t="s">
        <v>975</v>
      </c>
      <c r="Q23" s="638" t="s">
        <v>976</v>
      </c>
      <c r="R23" s="639" t="s">
        <v>987</v>
      </c>
      <c r="S23" s="639" t="s">
        <v>84</v>
      </c>
      <c r="T23" s="638"/>
      <c r="U23" s="647" t="s">
        <v>24</v>
      </c>
    </row>
    <row r="24" spans="1:21" x14ac:dyDescent="0.25">
      <c r="A24" s="637">
        <v>45357</v>
      </c>
      <c r="B24" s="1314" t="s">
        <v>986</v>
      </c>
      <c r="C24" s="1315"/>
      <c r="D24" s="1327">
        <v>0</v>
      </c>
      <c r="E24" s="1328">
        <v>2345804.2999999998</v>
      </c>
      <c r="F24" s="1329">
        <v>0</v>
      </c>
      <c r="G24" s="1329">
        <v>861</v>
      </c>
      <c r="H24" s="1318">
        <v>0</v>
      </c>
      <c r="I24" s="1318">
        <v>2724.5113821138211</v>
      </c>
      <c r="J24" s="1319" t="s">
        <v>21</v>
      </c>
      <c r="K24" s="1320" t="s">
        <v>22</v>
      </c>
      <c r="L24" s="1319" t="s">
        <v>45</v>
      </c>
      <c r="M24" s="1320" t="s">
        <v>47</v>
      </c>
      <c r="N24" s="640" t="s">
        <v>939</v>
      </c>
      <c r="O24" s="640" t="s">
        <v>83</v>
      </c>
      <c r="P24" s="640" t="s">
        <v>975</v>
      </c>
      <c r="Q24" s="638" t="s">
        <v>976</v>
      </c>
      <c r="R24" s="639" t="s">
        <v>987</v>
      </c>
      <c r="S24" s="639" t="s">
        <v>84</v>
      </c>
      <c r="T24" s="638"/>
      <c r="U24" s="647" t="s">
        <v>24</v>
      </c>
    </row>
    <row r="25" spans="1:21" x14ac:dyDescent="0.25">
      <c r="A25" s="644">
        <v>45359</v>
      </c>
      <c r="B25" s="1323" t="s">
        <v>25</v>
      </c>
      <c r="C25" s="1323"/>
      <c r="D25" s="1321">
        <v>4606</v>
      </c>
      <c r="E25" s="1321">
        <v>0</v>
      </c>
      <c r="F25" s="1322">
        <v>0</v>
      </c>
      <c r="G25" s="1322">
        <v>861</v>
      </c>
      <c r="H25" s="1318">
        <v>5.3495934959349594</v>
      </c>
      <c r="I25" s="1318">
        <v>0</v>
      </c>
      <c r="J25" s="1325" t="s">
        <v>21</v>
      </c>
      <c r="K25" s="1314" t="s">
        <v>26</v>
      </c>
      <c r="L25" s="1319" t="s">
        <v>26</v>
      </c>
      <c r="M25" s="1326" t="s">
        <v>47</v>
      </c>
      <c r="N25" s="646" t="s">
        <v>939</v>
      </c>
      <c r="O25" s="646" t="s">
        <v>92</v>
      </c>
      <c r="P25" s="646"/>
      <c r="Q25" s="641" t="s">
        <v>988</v>
      </c>
      <c r="R25" s="639" t="s">
        <v>43</v>
      </c>
      <c r="S25" s="647" t="s">
        <v>44</v>
      </c>
      <c r="T25" s="641"/>
      <c r="U25" s="647" t="s">
        <v>24</v>
      </c>
    </row>
    <row r="26" spans="1:21" x14ac:dyDescent="0.25">
      <c r="A26" s="637">
        <v>45363</v>
      </c>
      <c r="B26" s="1314" t="s">
        <v>947</v>
      </c>
      <c r="C26" s="1315" t="s">
        <v>989</v>
      </c>
      <c r="D26" s="1327">
        <v>701146.94</v>
      </c>
      <c r="E26" s="1316">
        <v>0</v>
      </c>
      <c r="F26" s="1317">
        <v>0</v>
      </c>
      <c r="G26" s="1317">
        <v>861</v>
      </c>
      <c r="H26" s="1318">
        <v>814.3402322880371</v>
      </c>
      <c r="I26" s="1318">
        <v>0</v>
      </c>
      <c r="J26" s="1319" t="s">
        <v>21</v>
      </c>
      <c r="K26" s="1314" t="s">
        <v>22</v>
      </c>
      <c r="L26" s="1319" t="s">
        <v>27</v>
      </c>
      <c r="M26" s="1320" t="s">
        <v>47</v>
      </c>
      <c r="N26" s="640" t="s">
        <v>938</v>
      </c>
      <c r="O26" s="642" t="s">
        <v>48</v>
      </c>
      <c r="P26" s="640" t="s">
        <v>939</v>
      </c>
      <c r="Q26" s="638" t="s">
        <v>945</v>
      </c>
      <c r="R26" s="639" t="s">
        <v>990</v>
      </c>
      <c r="S26" s="639" t="s">
        <v>59</v>
      </c>
      <c r="T26" s="638"/>
      <c r="U26" s="647" t="s">
        <v>24</v>
      </c>
    </row>
    <row r="27" spans="1:21" x14ac:dyDescent="0.25">
      <c r="A27" s="637">
        <v>45365</v>
      </c>
      <c r="B27" s="1314" t="s">
        <v>30</v>
      </c>
      <c r="C27" s="1315" t="s">
        <v>991</v>
      </c>
      <c r="D27" s="1327">
        <v>544500</v>
      </c>
      <c r="E27" s="1316">
        <v>0</v>
      </c>
      <c r="F27" s="1317">
        <v>0</v>
      </c>
      <c r="G27" s="1317">
        <v>861</v>
      </c>
      <c r="H27" s="1318">
        <v>632.40418118466903</v>
      </c>
      <c r="I27" s="1318">
        <v>0</v>
      </c>
      <c r="J27" s="1319" t="s">
        <v>21</v>
      </c>
      <c r="K27" s="1314" t="s">
        <v>22</v>
      </c>
      <c r="L27" s="1319" t="s">
        <v>27</v>
      </c>
      <c r="M27" s="1320" t="s">
        <v>47</v>
      </c>
      <c r="N27" s="640" t="s">
        <v>938</v>
      </c>
      <c r="O27" s="642" t="s">
        <v>94</v>
      </c>
      <c r="P27" s="640" t="s">
        <v>975</v>
      </c>
      <c r="Q27" s="638" t="s">
        <v>95</v>
      </c>
      <c r="R27" s="647" t="s">
        <v>987</v>
      </c>
      <c r="S27" s="647" t="s">
        <v>59</v>
      </c>
      <c r="T27" s="638"/>
      <c r="U27" s="647" t="s">
        <v>24</v>
      </c>
    </row>
    <row r="28" spans="1:21" x14ac:dyDescent="0.25">
      <c r="A28" s="637">
        <v>45370</v>
      </c>
      <c r="B28" s="1314" t="s">
        <v>69</v>
      </c>
      <c r="C28" s="1315" t="s">
        <v>992</v>
      </c>
      <c r="D28" s="1327">
        <v>298447</v>
      </c>
      <c r="E28" s="1316">
        <v>0</v>
      </c>
      <c r="F28" s="1317">
        <v>0</v>
      </c>
      <c r="G28" s="1317">
        <v>861</v>
      </c>
      <c r="H28" s="1318">
        <v>346.62833914053425</v>
      </c>
      <c r="I28" s="1318">
        <v>0</v>
      </c>
      <c r="J28" s="1319" t="s">
        <v>21</v>
      </c>
      <c r="K28" s="1320" t="s">
        <v>22</v>
      </c>
      <c r="L28" s="1319" t="s">
        <v>45</v>
      </c>
      <c r="M28" s="1320" t="s">
        <v>47</v>
      </c>
      <c r="N28" s="640" t="s">
        <v>938</v>
      </c>
      <c r="O28" s="640" t="s">
        <v>82</v>
      </c>
      <c r="P28" s="640"/>
      <c r="Q28" s="638" t="s">
        <v>993</v>
      </c>
      <c r="R28" s="639" t="s">
        <v>994</v>
      </c>
      <c r="S28" s="639" t="s">
        <v>59</v>
      </c>
      <c r="T28" s="638"/>
      <c r="U28" s="647" t="s">
        <v>24</v>
      </c>
    </row>
    <row r="29" spans="1:21" x14ac:dyDescent="0.25">
      <c r="A29" s="637">
        <v>45371</v>
      </c>
      <c r="B29" s="1314" t="s">
        <v>69</v>
      </c>
      <c r="C29" s="1315" t="s">
        <v>995</v>
      </c>
      <c r="D29" s="1327">
        <v>970063</v>
      </c>
      <c r="E29" s="1316">
        <v>0</v>
      </c>
      <c r="F29" s="1317">
        <v>0</v>
      </c>
      <c r="G29" s="1317">
        <v>861</v>
      </c>
      <c r="H29" s="1318">
        <v>1126.6701509872241</v>
      </c>
      <c r="I29" s="1318">
        <v>0</v>
      </c>
      <c r="J29" s="1319" t="s">
        <v>21</v>
      </c>
      <c r="K29" s="1320" t="s">
        <v>22</v>
      </c>
      <c r="L29" s="1319" t="s">
        <v>45</v>
      </c>
      <c r="M29" s="1320" t="s">
        <v>47</v>
      </c>
      <c r="N29" s="640" t="s">
        <v>938</v>
      </c>
      <c r="O29" s="642" t="s">
        <v>48</v>
      </c>
      <c r="P29" s="640" t="s">
        <v>939</v>
      </c>
      <c r="Q29" s="638" t="s">
        <v>954</v>
      </c>
      <c r="R29" s="647" t="s">
        <v>996</v>
      </c>
      <c r="S29" s="647" t="s">
        <v>59</v>
      </c>
      <c r="T29" s="638"/>
      <c r="U29" s="647" t="s">
        <v>24</v>
      </c>
    </row>
    <row r="30" spans="1:21" x14ac:dyDescent="0.25">
      <c r="A30" s="637">
        <v>45371</v>
      </c>
      <c r="B30" s="1314" t="s">
        <v>69</v>
      </c>
      <c r="C30" s="1330" t="s">
        <v>997</v>
      </c>
      <c r="D30" s="1327">
        <v>243210</v>
      </c>
      <c r="E30" s="1316">
        <v>0</v>
      </c>
      <c r="F30" s="1317">
        <v>0</v>
      </c>
      <c r="G30" s="1317">
        <v>861</v>
      </c>
      <c r="H30" s="1318">
        <v>282.47386759581883</v>
      </c>
      <c r="I30" s="1318">
        <v>0</v>
      </c>
      <c r="J30" s="1319" t="s">
        <v>21</v>
      </c>
      <c r="K30" s="1320" t="s">
        <v>22</v>
      </c>
      <c r="L30" s="1319" t="s">
        <v>45</v>
      </c>
      <c r="M30" s="1320" t="s">
        <v>47</v>
      </c>
      <c r="N30" s="640" t="s">
        <v>938</v>
      </c>
      <c r="O30" s="640" t="s">
        <v>71</v>
      </c>
      <c r="P30" s="640" t="s">
        <v>50</v>
      </c>
      <c r="Q30" s="638" t="s">
        <v>979</v>
      </c>
      <c r="R30" s="639" t="s">
        <v>998</v>
      </c>
      <c r="S30" s="639" t="s">
        <v>59</v>
      </c>
      <c r="T30" s="638"/>
      <c r="U30" s="647" t="s">
        <v>24</v>
      </c>
    </row>
    <row r="31" spans="1:21" x14ac:dyDescent="0.25">
      <c r="A31" s="637">
        <v>45386</v>
      </c>
      <c r="B31" s="1314" t="s">
        <v>69</v>
      </c>
      <c r="C31" s="1315" t="s">
        <v>999</v>
      </c>
      <c r="D31" s="1327">
        <v>288800</v>
      </c>
      <c r="E31" s="1328">
        <v>0</v>
      </c>
      <c r="F31" s="1329">
        <v>0</v>
      </c>
      <c r="G31" s="1329">
        <v>881</v>
      </c>
      <c r="H31" s="1318">
        <v>327.80930760499433</v>
      </c>
      <c r="I31" s="1318">
        <v>0</v>
      </c>
      <c r="J31" s="1319" t="s">
        <v>21</v>
      </c>
      <c r="K31" s="1314" t="s">
        <v>22</v>
      </c>
      <c r="L31" s="1319" t="s">
        <v>45</v>
      </c>
      <c r="M31" s="1320" t="s">
        <v>47</v>
      </c>
      <c r="N31" s="640" t="s">
        <v>938</v>
      </c>
      <c r="O31" s="640" t="s">
        <v>71</v>
      </c>
      <c r="P31" s="640" t="s">
        <v>50</v>
      </c>
      <c r="Q31" s="638" t="s">
        <v>979</v>
      </c>
      <c r="R31" s="639" t="s">
        <v>1000</v>
      </c>
      <c r="S31" s="639" t="s">
        <v>59</v>
      </c>
      <c r="T31" s="638"/>
      <c r="U31" s="647" t="s">
        <v>24</v>
      </c>
    </row>
    <row r="32" spans="1:21" x14ac:dyDescent="0.25">
      <c r="A32" s="637">
        <v>45391</v>
      </c>
      <c r="B32" s="1314" t="s">
        <v>69</v>
      </c>
      <c r="C32" s="1315" t="s">
        <v>1001</v>
      </c>
      <c r="D32" s="1316">
        <v>1067577.3999999999</v>
      </c>
      <c r="E32" s="1327">
        <v>0</v>
      </c>
      <c r="F32" s="1341">
        <v>0</v>
      </c>
      <c r="G32" s="1341">
        <v>881</v>
      </c>
      <c r="H32" s="1318">
        <v>1211.7791146424518</v>
      </c>
      <c r="I32" s="1318">
        <v>0</v>
      </c>
      <c r="J32" s="1319" t="s">
        <v>21</v>
      </c>
      <c r="K32" s="1314" t="s">
        <v>22</v>
      </c>
      <c r="L32" s="1319" t="s">
        <v>45</v>
      </c>
      <c r="M32" s="1320" t="s">
        <v>47</v>
      </c>
      <c r="N32" s="640" t="s">
        <v>938</v>
      </c>
      <c r="O32" s="640" t="s">
        <v>48</v>
      </c>
      <c r="P32" s="640" t="s">
        <v>939</v>
      </c>
      <c r="Q32" s="638" t="s">
        <v>954</v>
      </c>
      <c r="R32" s="647" t="s">
        <v>1002</v>
      </c>
      <c r="S32" s="647" t="s">
        <v>59</v>
      </c>
      <c r="T32" s="638"/>
      <c r="U32" s="647" t="s">
        <v>24</v>
      </c>
    </row>
    <row r="33" spans="1:21" x14ac:dyDescent="0.25">
      <c r="A33" s="637">
        <v>45398</v>
      </c>
      <c r="B33" s="1314" t="s">
        <v>69</v>
      </c>
      <c r="C33" s="1315" t="s">
        <v>1003</v>
      </c>
      <c r="D33" s="1327">
        <v>86610</v>
      </c>
      <c r="E33" s="1316">
        <v>0</v>
      </c>
      <c r="F33" s="1322">
        <v>13497137.359999999</v>
      </c>
      <c r="G33" s="1322">
        <v>881</v>
      </c>
      <c r="H33" s="1318">
        <v>98.308740068104427</v>
      </c>
      <c r="I33" s="1318">
        <v>0</v>
      </c>
      <c r="J33" s="1319" t="s">
        <v>21</v>
      </c>
      <c r="K33" s="1314" t="s">
        <v>22</v>
      </c>
      <c r="L33" s="1319" t="s">
        <v>45</v>
      </c>
      <c r="M33" s="1320" t="s">
        <v>47</v>
      </c>
      <c r="N33" s="640" t="s">
        <v>938</v>
      </c>
      <c r="O33" s="640" t="s">
        <v>82</v>
      </c>
      <c r="P33" s="640"/>
      <c r="Q33" s="638" t="s">
        <v>970</v>
      </c>
      <c r="R33" s="640" t="s">
        <v>1004</v>
      </c>
      <c r="S33" s="639" t="s">
        <v>59</v>
      </c>
      <c r="T33" s="638"/>
      <c r="U33" s="647" t="s">
        <v>24</v>
      </c>
    </row>
    <row r="34" spans="1:21" x14ac:dyDescent="0.25">
      <c r="A34" s="637">
        <v>45404</v>
      </c>
      <c r="B34" s="1314" t="s">
        <v>1005</v>
      </c>
      <c r="C34" s="1315" t="s">
        <v>1006</v>
      </c>
      <c r="D34" s="1327">
        <v>288000</v>
      </c>
      <c r="E34" s="1316">
        <v>0</v>
      </c>
      <c r="F34" s="1317">
        <v>0</v>
      </c>
      <c r="G34" s="1317">
        <v>881</v>
      </c>
      <c r="H34" s="1318">
        <v>326.9012485811578</v>
      </c>
      <c r="I34" s="1318">
        <v>0</v>
      </c>
      <c r="J34" s="1319" t="s">
        <v>21</v>
      </c>
      <c r="K34" s="1314" t="s">
        <v>22</v>
      </c>
      <c r="L34" s="1319" t="s">
        <v>27</v>
      </c>
      <c r="M34" s="1320" t="s">
        <v>47</v>
      </c>
      <c r="N34" s="640" t="s">
        <v>938</v>
      </c>
      <c r="O34" s="640" t="s">
        <v>71</v>
      </c>
      <c r="P34" s="640" t="s">
        <v>50</v>
      </c>
      <c r="Q34" s="638" t="s">
        <v>979</v>
      </c>
      <c r="R34" s="639" t="s">
        <v>1007</v>
      </c>
      <c r="S34" s="639" t="s">
        <v>59</v>
      </c>
      <c r="T34" s="638"/>
      <c r="U34" s="647" t="s">
        <v>24</v>
      </c>
    </row>
    <row r="35" spans="1:21" x14ac:dyDescent="0.25">
      <c r="A35" s="644">
        <v>45404</v>
      </c>
      <c r="B35" s="1323" t="s">
        <v>120</v>
      </c>
      <c r="C35" s="1324"/>
      <c r="D35" s="1333">
        <v>0</v>
      </c>
      <c r="E35" s="1514">
        <v>2542400</v>
      </c>
      <c r="F35" s="1331">
        <v>0</v>
      </c>
      <c r="G35" s="1331">
        <v>881</v>
      </c>
      <c r="H35" s="1318">
        <v>0</v>
      </c>
      <c r="I35" s="1318">
        <v>2885.8115777525541</v>
      </c>
      <c r="J35" s="1319" t="s">
        <v>21</v>
      </c>
      <c r="K35" s="1314" t="s">
        <v>26</v>
      </c>
      <c r="L35" s="1319" t="s">
        <v>26</v>
      </c>
      <c r="M35" s="1326" t="s">
        <v>47</v>
      </c>
      <c r="N35" s="646" t="s">
        <v>939</v>
      </c>
      <c r="O35" s="646" t="s">
        <v>83</v>
      </c>
      <c r="P35" s="646" t="s">
        <v>1008</v>
      </c>
      <c r="Q35" s="646" t="s">
        <v>976</v>
      </c>
      <c r="R35" s="639" t="s">
        <v>1009</v>
      </c>
      <c r="S35" s="639" t="s">
        <v>84</v>
      </c>
      <c r="T35" s="641"/>
      <c r="U35" s="647" t="s">
        <v>24</v>
      </c>
    </row>
    <row r="36" spans="1:21" x14ac:dyDescent="0.25">
      <c r="A36" s="644">
        <v>45404</v>
      </c>
      <c r="B36" s="1323" t="s">
        <v>120</v>
      </c>
      <c r="C36" s="1324"/>
      <c r="D36" s="1333">
        <v>2542400</v>
      </c>
      <c r="E36" s="1514">
        <v>0</v>
      </c>
      <c r="F36" s="1331">
        <v>0</v>
      </c>
      <c r="G36" s="1331">
        <v>881</v>
      </c>
      <c r="H36" s="1318">
        <v>2885.8115777525541</v>
      </c>
      <c r="I36" s="1318">
        <v>0</v>
      </c>
      <c r="J36" s="1319" t="s">
        <v>21</v>
      </c>
      <c r="K36" s="1314" t="s">
        <v>26</v>
      </c>
      <c r="L36" s="1319" t="s">
        <v>26</v>
      </c>
      <c r="M36" s="1326" t="s">
        <v>47</v>
      </c>
      <c r="N36" s="646" t="s">
        <v>938</v>
      </c>
      <c r="O36" s="646" t="s">
        <v>48</v>
      </c>
      <c r="P36" s="646" t="s">
        <v>939</v>
      </c>
      <c r="Q36" s="646" t="s">
        <v>954</v>
      </c>
      <c r="R36" s="647" t="s">
        <v>1010</v>
      </c>
      <c r="S36" s="647" t="s">
        <v>59</v>
      </c>
      <c r="T36" s="641"/>
      <c r="U36" s="647" t="s">
        <v>24</v>
      </c>
    </row>
    <row r="37" spans="1:21" x14ac:dyDescent="0.25">
      <c r="A37" s="644">
        <v>45404</v>
      </c>
      <c r="B37" s="1323" t="s">
        <v>120</v>
      </c>
      <c r="C37" s="1324"/>
      <c r="D37" s="1333">
        <v>0</v>
      </c>
      <c r="E37" s="1514">
        <v>1362800</v>
      </c>
      <c r="F37" s="1331">
        <v>0</v>
      </c>
      <c r="G37" s="1331">
        <v>881</v>
      </c>
      <c r="H37" s="1318">
        <v>0</v>
      </c>
      <c r="I37" s="1318">
        <v>1546.8785471055619</v>
      </c>
      <c r="J37" s="1319" t="s">
        <v>21</v>
      </c>
      <c r="K37" s="1314" t="s">
        <v>26</v>
      </c>
      <c r="L37" s="1319" t="s">
        <v>26</v>
      </c>
      <c r="M37" s="1326" t="s">
        <v>47</v>
      </c>
      <c r="N37" s="646" t="s">
        <v>939</v>
      </c>
      <c r="O37" s="646" t="s">
        <v>83</v>
      </c>
      <c r="P37" s="646" t="s">
        <v>1008</v>
      </c>
      <c r="Q37" s="646" t="s">
        <v>976</v>
      </c>
      <c r="R37" s="639" t="s">
        <v>1011</v>
      </c>
      <c r="S37" s="639" t="s">
        <v>84</v>
      </c>
      <c r="T37" s="641"/>
      <c r="U37" s="647" t="s">
        <v>24</v>
      </c>
    </row>
    <row r="38" spans="1:21" x14ac:dyDescent="0.25">
      <c r="A38" s="637">
        <v>45407</v>
      </c>
      <c r="B38" s="1314" t="s">
        <v>1012</v>
      </c>
      <c r="C38" s="1330"/>
      <c r="D38" s="1328">
        <v>32400</v>
      </c>
      <c r="E38" s="1316">
        <v>0</v>
      </c>
      <c r="F38" s="1322">
        <v>7092535.7000000002</v>
      </c>
      <c r="G38" s="1322">
        <v>881</v>
      </c>
      <c r="H38" s="1318">
        <v>36.776390465380253</v>
      </c>
      <c r="I38" s="1318">
        <v>0</v>
      </c>
      <c r="J38" s="1319" t="s">
        <v>21</v>
      </c>
      <c r="K38" s="1314" t="s">
        <v>22</v>
      </c>
      <c r="L38" s="1319" t="s">
        <v>45</v>
      </c>
      <c r="M38" s="1320" t="s">
        <v>47</v>
      </c>
      <c r="N38" s="642" t="s">
        <v>938</v>
      </c>
      <c r="O38" s="640" t="s">
        <v>62</v>
      </c>
      <c r="P38" s="640" t="s">
        <v>939</v>
      </c>
      <c r="Q38" s="640" t="s">
        <v>951</v>
      </c>
      <c r="R38" s="639" t="s">
        <v>1013</v>
      </c>
      <c r="S38" s="639" t="s">
        <v>59</v>
      </c>
      <c r="T38" s="638"/>
      <c r="U38" s="647" t="s">
        <v>24</v>
      </c>
    </row>
    <row r="39" spans="1:21" x14ac:dyDescent="0.25">
      <c r="A39" s="637">
        <v>45411</v>
      </c>
      <c r="B39" s="1314" t="s">
        <v>1014</v>
      </c>
      <c r="C39" s="1330"/>
      <c r="D39" s="1328">
        <v>0</v>
      </c>
      <c r="E39" s="1316">
        <v>14688162</v>
      </c>
      <c r="F39" s="1322">
        <v>17911210.399999999</v>
      </c>
      <c r="G39" s="1322">
        <v>881</v>
      </c>
      <c r="H39" s="1318">
        <v>0</v>
      </c>
      <c r="I39" s="1318">
        <v>16672.147559591373</v>
      </c>
      <c r="J39" s="1319" t="s">
        <v>21</v>
      </c>
      <c r="K39" s="1314" t="s">
        <v>22</v>
      </c>
      <c r="L39" s="1319" t="s">
        <v>45</v>
      </c>
      <c r="M39" s="1320" t="s">
        <v>47</v>
      </c>
      <c r="N39" s="640" t="s">
        <v>939</v>
      </c>
      <c r="O39" s="640" t="s">
        <v>83</v>
      </c>
      <c r="P39" s="640" t="s">
        <v>1008</v>
      </c>
      <c r="Q39" s="640" t="s">
        <v>976</v>
      </c>
      <c r="R39" s="639" t="s">
        <v>1011</v>
      </c>
      <c r="S39" s="639" t="s">
        <v>84</v>
      </c>
      <c r="T39" s="638"/>
      <c r="U39" s="647" t="s">
        <v>24</v>
      </c>
    </row>
    <row r="40" spans="1:21" x14ac:dyDescent="0.25">
      <c r="A40" s="637">
        <v>45411</v>
      </c>
      <c r="B40" s="1314" t="s">
        <v>1015</v>
      </c>
      <c r="C40" s="1330"/>
      <c r="D40" s="1328">
        <v>25000</v>
      </c>
      <c r="E40" s="1316">
        <v>0</v>
      </c>
      <c r="F40" s="1322">
        <v>17909842.399999999</v>
      </c>
      <c r="G40" s="1322">
        <v>881</v>
      </c>
      <c r="H40" s="1318">
        <v>28.376844494892168</v>
      </c>
      <c r="I40" s="1318">
        <v>0</v>
      </c>
      <c r="J40" s="1319" t="s">
        <v>21</v>
      </c>
      <c r="K40" s="1314" t="s">
        <v>22</v>
      </c>
      <c r="L40" s="1319" t="s">
        <v>45</v>
      </c>
      <c r="M40" s="1320" t="s">
        <v>47</v>
      </c>
      <c r="N40" s="640" t="s">
        <v>938</v>
      </c>
      <c r="O40" s="640" t="s">
        <v>126</v>
      </c>
      <c r="P40" s="640"/>
      <c r="Q40" s="640" t="s">
        <v>1016</v>
      </c>
      <c r="R40" s="639" t="s">
        <v>43</v>
      </c>
      <c r="S40" s="639" t="s">
        <v>44</v>
      </c>
      <c r="T40" s="638"/>
      <c r="U40" s="647" t="s">
        <v>24</v>
      </c>
    </row>
    <row r="41" spans="1:21" x14ac:dyDescent="0.25">
      <c r="A41" s="644">
        <v>45412</v>
      </c>
      <c r="B41" s="1323" t="s">
        <v>1017</v>
      </c>
      <c r="C41" s="1324"/>
      <c r="D41" s="1321">
        <v>0</v>
      </c>
      <c r="E41" s="1514">
        <v>3000000</v>
      </c>
      <c r="F41" s="1331">
        <v>0</v>
      </c>
      <c r="G41" s="1331">
        <v>881</v>
      </c>
      <c r="H41" s="1318">
        <v>0</v>
      </c>
      <c r="I41" s="1318">
        <v>3405.2213393870602</v>
      </c>
      <c r="J41" s="1319" t="s">
        <v>21</v>
      </c>
      <c r="K41" s="1314" t="s">
        <v>26</v>
      </c>
      <c r="L41" s="1319" t="s">
        <v>129</v>
      </c>
      <c r="M41" s="1514" t="s">
        <v>47</v>
      </c>
      <c r="N41" s="646" t="s">
        <v>939</v>
      </c>
      <c r="O41" s="646" t="s">
        <v>83</v>
      </c>
      <c r="P41" s="646" t="s">
        <v>1008</v>
      </c>
      <c r="Q41" s="646" t="s">
        <v>976</v>
      </c>
      <c r="R41" s="647" t="s">
        <v>1011</v>
      </c>
      <c r="S41" s="647" t="s">
        <v>84</v>
      </c>
      <c r="T41" s="641"/>
      <c r="U41" s="647" t="s">
        <v>24</v>
      </c>
    </row>
    <row r="42" spans="1:21" x14ac:dyDescent="0.25">
      <c r="A42" s="644">
        <v>45412</v>
      </c>
      <c r="B42" s="1323" t="s">
        <v>1017</v>
      </c>
      <c r="C42" s="1324"/>
      <c r="D42" s="1321">
        <v>0</v>
      </c>
      <c r="E42" s="1514">
        <v>3000000</v>
      </c>
      <c r="F42" s="1331">
        <v>0</v>
      </c>
      <c r="G42" s="1331">
        <v>881</v>
      </c>
      <c r="H42" s="1318">
        <v>0</v>
      </c>
      <c r="I42" s="1318">
        <v>3405.2213393870602</v>
      </c>
      <c r="J42" s="1319" t="s">
        <v>21</v>
      </c>
      <c r="K42" s="1314" t="s">
        <v>26</v>
      </c>
      <c r="L42" s="1319" t="s">
        <v>129</v>
      </c>
      <c r="M42" s="1514" t="s">
        <v>47</v>
      </c>
      <c r="N42" s="646" t="s">
        <v>939</v>
      </c>
      <c r="O42" s="646" t="s">
        <v>83</v>
      </c>
      <c r="P42" s="646" t="s">
        <v>1008</v>
      </c>
      <c r="Q42" s="646" t="s">
        <v>976</v>
      </c>
      <c r="R42" s="647" t="s">
        <v>1011</v>
      </c>
      <c r="S42" s="647" t="s">
        <v>84</v>
      </c>
      <c r="T42" s="641"/>
      <c r="U42" s="647" t="s">
        <v>24</v>
      </c>
    </row>
    <row r="43" spans="1:21" x14ac:dyDescent="0.25">
      <c r="A43" s="644">
        <v>45412</v>
      </c>
      <c r="B43" s="1323" t="s">
        <v>1017</v>
      </c>
      <c r="C43" s="1324"/>
      <c r="D43" s="1321">
        <v>0</v>
      </c>
      <c r="E43" s="1514">
        <v>1000000</v>
      </c>
      <c r="F43" s="1331">
        <v>0</v>
      </c>
      <c r="G43" s="1331">
        <v>881</v>
      </c>
      <c r="H43" s="1318">
        <v>0</v>
      </c>
      <c r="I43" s="1318">
        <v>1135.0737797956867</v>
      </c>
      <c r="J43" s="1319" t="s">
        <v>21</v>
      </c>
      <c r="K43" s="1314" t="s">
        <v>26</v>
      </c>
      <c r="L43" s="1319" t="s">
        <v>11</v>
      </c>
      <c r="M43" s="1514" t="s">
        <v>47</v>
      </c>
      <c r="N43" s="646" t="s">
        <v>939</v>
      </c>
      <c r="O43" s="646" t="s">
        <v>83</v>
      </c>
      <c r="P43" s="646" t="s">
        <v>1008</v>
      </c>
      <c r="Q43" s="646" t="s">
        <v>976</v>
      </c>
      <c r="R43" s="647" t="s">
        <v>1011</v>
      </c>
      <c r="S43" s="647" t="s">
        <v>84</v>
      </c>
      <c r="T43" s="641"/>
      <c r="U43" s="647" t="s">
        <v>24</v>
      </c>
    </row>
    <row r="44" spans="1:21" x14ac:dyDescent="0.25">
      <c r="A44" s="644">
        <v>45412</v>
      </c>
      <c r="B44" s="1323" t="s">
        <v>1017</v>
      </c>
      <c r="C44" s="1324"/>
      <c r="D44" s="1321">
        <v>0</v>
      </c>
      <c r="E44" s="1514">
        <v>3000000</v>
      </c>
      <c r="F44" s="1331">
        <v>0</v>
      </c>
      <c r="G44" s="1331">
        <v>881</v>
      </c>
      <c r="H44" s="1318">
        <v>0</v>
      </c>
      <c r="I44" s="1318">
        <v>3405.2213393870602</v>
      </c>
      <c r="J44" s="1319" t="s">
        <v>21</v>
      </c>
      <c r="K44" s="1314" t="s">
        <v>26</v>
      </c>
      <c r="L44" s="1319" t="s">
        <v>129</v>
      </c>
      <c r="M44" s="1514" t="s">
        <v>47</v>
      </c>
      <c r="N44" s="646" t="s">
        <v>939</v>
      </c>
      <c r="O44" s="646" t="s">
        <v>83</v>
      </c>
      <c r="P44" s="646" t="s">
        <v>1008</v>
      </c>
      <c r="Q44" s="646" t="s">
        <v>976</v>
      </c>
      <c r="R44" s="647" t="s">
        <v>1011</v>
      </c>
      <c r="S44" s="647" t="s">
        <v>84</v>
      </c>
      <c r="T44" s="641"/>
      <c r="U44" s="647" t="s">
        <v>24</v>
      </c>
    </row>
    <row r="45" spans="1:21" x14ac:dyDescent="0.25">
      <c r="A45" s="644">
        <v>45412</v>
      </c>
      <c r="B45" s="1323" t="s">
        <v>25</v>
      </c>
      <c r="C45" s="1324"/>
      <c r="D45" s="1321">
        <v>0</v>
      </c>
      <c r="E45" s="1514">
        <v>6587804</v>
      </c>
      <c r="F45" s="1331">
        <v>0</v>
      </c>
      <c r="G45" s="1331">
        <v>881</v>
      </c>
      <c r="H45" s="1318">
        <v>0</v>
      </c>
      <c r="I45" s="1318">
        <v>7477.6435868331446</v>
      </c>
      <c r="J45" s="1319" t="s">
        <v>21</v>
      </c>
      <c r="K45" s="1314" t="s">
        <v>26</v>
      </c>
      <c r="L45" s="1319" t="s">
        <v>26</v>
      </c>
      <c r="M45" s="1514" t="s">
        <v>47</v>
      </c>
      <c r="N45" s="646" t="s">
        <v>939</v>
      </c>
      <c r="O45" s="646" t="s">
        <v>83</v>
      </c>
      <c r="P45" s="646" t="s">
        <v>1008</v>
      </c>
      <c r="Q45" s="646" t="s">
        <v>976</v>
      </c>
      <c r="R45" s="647" t="s">
        <v>1011</v>
      </c>
      <c r="S45" s="647" t="s">
        <v>84</v>
      </c>
      <c r="T45" s="641"/>
      <c r="U45" s="647" t="s">
        <v>24</v>
      </c>
    </row>
    <row r="46" spans="1:21" x14ac:dyDescent="0.25">
      <c r="A46" s="637">
        <v>45414</v>
      </c>
      <c r="B46" s="1314" t="s">
        <v>1018</v>
      </c>
      <c r="C46" s="1330" t="s">
        <v>1019</v>
      </c>
      <c r="D46" s="1327">
        <v>182141</v>
      </c>
      <c r="E46" s="1316">
        <v>0</v>
      </c>
      <c r="F46" s="1317">
        <v>0</v>
      </c>
      <c r="G46" s="1317">
        <v>901</v>
      </c>
      <c r="H46" s="1318">
        <v>202.1542730299667</v>
      </c>
      <c r="I46" s="1318">
        <v>0</v>
      </c>
      <c r="J46" s="1319" t="s">
        <v>21</v>
      </c>
      <c r="K46" s="1314" t="s">
        <v>22</v>
      </c>
      <c r="L46" s="1319" t="s">
        <v>27</v>
      </c>
      <c r="M46" s="1320" t="s">
        <v>47</v>
      </c>
      <c r="N46" s="640" t="s">
        <v>938</v>
      </c>
      <c r="O46" s="640" t="s">
        <v>82</v>
      </c>
      <c r="P46" s="640"/>
      <c r="Q46" s="638" t="s">
        <v>970</v>
      </c>
      <c r="R46" s="640" t="s">
        <v>1020</v>
      </c>
      <c r="S46" s="639" t="s">
        <v>59</v>
      </c>
      <c r="T46" s="638"/>
      <c r="U46" s="647" t="s">
        <v>24</v>
      </c>
    </row>
    <row r="47" spans="1:21" x14ac:dyDescent="0.25">
      <c r="A47" s="637">
        <v>45418</v>
      </c>
      <c r="B47" s="1314" t="s">
        <v>1005</v>
      </c>
      <c r="C47" s="1330" t="s">
        <v>1021</v>
      </c>
      <c r="D47" s="1327">
        <v>437797.47</v>
      </c>
      <c r="E47" s="1316">
        <v>0</v>
      </c>
      <c r="F47" s="1317">
        <v>0</v>
      </c>
      <c r="G47" s="1317">
        <v>901</v>
      </c>
      <c r="H47" s="1318">
        <v>485.90174250832405</v>
      </c>
      <c r="I47" s="1318">
        <v>0</v>
      </c>
      <c r="J47" s="1319" t="s">
        <v>21</v>
      </c>
      <c r="K47" s="1314" t="s">
        <v>22</v>
      </c>
      <c r="L47" s="1319" t="s">
        <v>27</v>
      </c>
      <c r="M47" s="1320" t="s">
        <v>47</v>
      </c>
      <c r="N47" s="638" t="s">
        <v>938</v>
      </c>
      <c r="O47" s="640" t="s">
        <v>48</v>
      </c>
      <c r="P47" s="640" t="s">
        <v>939</v>
      </c>
      <c r="Q47" s="638" t="s">
        <v>945</v>
      </c>
      <c r="R47" s="639" t="s">
        <v>1022</v>
      </c>
      <c r="S47" s="639" t="s">
        <v>59</v>
      </c>
      <c r="T47" s="638"/>
      <c r="U47" s="647" t="s">
        <v>24</v>
      </c>
    </row>
    <row r="48" spans="1:21" x14ac:dyDescent="0.25">
      <c r="A48" s="637">
        <v>45418</v>
      </c>
      <c r="B48" s="1314" t="s">
        <v>1005</v>
      </c>
      <c r="C48" s="1330" t="s">
        <v>1023</v>
      </c>
      <c r="D48" s="1327">
        <v>589041.99</v>
      </c>
      <c r="E48" s="1316">
        <v>0</v>
      </c>
      <c r="F48" s="1317">
        <v>0</v>
      </c>
      <c r="G48" s="1317">
        <v>901</v>
      </c>
      <c r="H48" s="1318">
        <v>653.76469478357376</v>
      </c>
      <c r="I48" s="1318">
        <v>0</v>
      </c>
      <c r="J48" s="1319" t="s">
        <v>21</v>
      </c>
      <c r="K48" s="1314" t="s">
        <v>22</v>
      </c>
      <c r="L48" s="1319" t="s">
        <v>27</v>
      </c>
      <c r="M48" s="1320" t="s">
        <v>47</v>
      </c>
      <c r="N48" s="638" t="s">
        <v>938</v>
      </c>
      <c r="O48" s="640" t="s">
        <v>48</v>
      </c>
      <c r="P48" s="640" t="s">
        <v>939</v>
      </c>
      <c r="Q48" s="638" t="s">
        <v>945</v>
      </c>
      <c r="R48" s="639" t="s">
        <v>1024</v>
      </c>
      <c r="S48" s="639" t="s">
        <v>59</v>
      </c>
      <c r="T48" s="638"/>
      <c r="U48" s="647" t="s">
        <v>24</v>
      </c>
    </row>
    <row r="49" spans="1:21" x14ac:dyDescent="0.25">
      <c r="A49" s="637">
        <v>45418</v>
      </c>
      <c r="B49" s="1314" t="s">
        <v>96</v>
      </c>
      <c r="C49" s="1330"/>
      <c r="D49" s="1316">
        <v>98918</v>
      </c>
      <c r="E49" s="1316">
        <v>0</v>
      </c>
      <c r="F49" s="1322">
        <v>10464369.640000001</v>
      </c>
      <c r="G49" s="1322">
        <v>901</v>
      </c>
      <c r="H49" s="1318">
        <v>109.78690344062153</v>
      </c>
      <c r="I49" s="1318">
        <v>0</v>
      </c>
      <c r="J49" s="1319" t="s">
        <v>21</v>
      </c>
      <c r="K49" s="1314" t="s">
        <v>22</v>
      </c>
      <c r="L49" s="1319" t="s">
        <v>45</v>
      </c>
      <c r="M49" s="1320" t="s">
        <v>47</v>
      </c>
      <c r="N49" s="640" t="s">
        <v>938</v>
      </c>
      <c r="O49" s="640" t="s">
        <v>48</v>
      </c>
      <c r="P49" s="640" t="s">
        <v>939</v>
      </c>
      <c r="Q49" s="640" t="s">
        <v>954</v>
      </c>
      <c r="R49" s="647" t="s">
        <v>1025</v>
      </c>
      <c r="S49" s="647" t="s">
        <v>59</v>
      </c>
      <c r="T49" s="638"/>
      <c r="U49" s="647" t="s">
        <v>24</v>
      </c>
    </row>
    <row r="50" spans="1:21" x14ac:dyDescent="0.25">
      <c r="A50" s="644">
        <v>45419</v>
      </c>
      <c r="B50" s="1323" t="s">
        <v>25</v>
      </c>
      <c r="C50" s="1324"/>
      <c r="D50" s="1321">
        <v>0</v>
      </c>
      <c r="E50" s="1321">
        <v>6500000</v>
      </c>
      <c r="F50" s="1322">
        <v>0</v>
      </c>
      <c r="G50" s="1322">
        <v>901</v>
      </c>
      <c r="H50" s="1318">
        <v>0</v>
      </c>
      <c r="I50" s="1318">
        <v>7214.2064372918976</v>
      </c>
      <c r="J50" s="1325" t="s">
        <v>21</v>
      </c>
      <c r="K50" s="1314" t="s">
        <v>26</v>
      </c>
      <c r="L50" s="1319" t="s">
        <v>26</v>
      </c>
      <c r="M50" s="1326" t="s">
        <v>47</v>
      </c>
      <c r="N50" s="646" t="s">
        <v>939</v>
      </c>
      <c r="O50" s="646" t="s">
        <v>83</v>
      </c>
      <c r="P50" s="646" t="s">
        <v>1008</v>
      </c>
      <c r="Q50" s="641" t="s">
        <v>976</v>
      </c>
      <c r="R50" s="639" t="s">
        <v>1011</v>
      </c>
      <c r="S50" s="639" t="s">
        <v>84</v>
      </c>
      <c r="T50" s="641"/>
      <c r="U50" s="647" t="s">
        <v>24</v>
      </c>
    </row>
    <row r="51" spans="1:21" x14ac:dyDescent="0.25">
      <c r="A51" s="637">
        <v>45425</v>
      </c>
      <c r="B51" s="1314" t="s">
        <v>69</v>
      </c>
      <c r="C51" s="1330" t="s">
        <v>1026</v>
      </c>
      <c r="D51" s="1316">
        <v>159600</v>
      </c>
      <c r="E51" s="1327">
        <v>0</v>
      </c>
      <c r="F51" s="1317">
        <v>675261.55</v>
      </c>
      <c r="G51" s="1317">
        <v>901</v>
      </c>
      <c r="H51" s="1318">
        <v>177.13651498335184</v>
      </c>
      <c r="I51" s="1318">
        <v>0</v>
      </c>
      <c r="J51" s="1319" t="s">
        <v>21</v>
      </c>
      <c r="K51" s="1314" t="s">
        <v>22</v>
      </c>
      <c r="L51" s="1319" t="s">
        <v>45</v>
      </c>
      <c r="M51" s="1320" t="s">
        <v>47</v>
      </c>
      <c r="N51" s="640" t="s">
        <v>939</v>
      </c>
      <c r="O51" s="640" t="s">
        <v>77</v>
      </c>
      <c r="P51" s="640" t="s">
        <v>78</v>
      </c>
      <c r="Q51" s="640" t="s">
        <v>968</v>
      </c>
      <c r="R51" s="639" t="s">
        <v>43</v>
      </c>
      <c r="S51" s="639" t="s">
        <v>44</v>
      </c>
      <c r="T51" s="638"/>
      <c r="U51" s="647" t="s">
        <v>24</v>
      </c>
    </row>
    <row r="52" spans="1:21" x14ac:dyDescent="0.25">
      <c r="A52" s="644">
        <v>45425</v>
      </c>
      <c r="B52" s="1323" t="s">
        <v>25</v>
      </c>
      <c r="C52" s="1332"/>
      <c r="D52" s="1333">
        <v>55074</v>
      </c>
      <c r="E52" s="1333">
        <v>0</v>
      </c>
      <c r="F52" s="1334">
        <v>0</v>
      </c>
      <c r="G52" s="1334">
        <v>901</v>
      </c>
      <c r="H52" s="1318">
        <v>61.125416204217537</v>
      </c>
      <c r="I52" s="1318">
        <v>0</v>
      </c>
      <c r="J52" s="1325" t="s">
        <v>21</v>
      </c>
      <c r="K52" s="1314" t="s">
        <v>26</v>
      </c>
      <c r="L52" s="1319" t="s">
        <v>26</v>
      </c>
      <c r="M52" s="1326" t="s">
        <v>47</v>
      </c>
      <c r="N52" s="646" t="s">
        <v>939</v>
      </c>
      <c r="O52" s="646" t="s">
        <v>77</v>
      </c>
      <c r="P52" s="646" t="s">
        <v>1027</v>
      </c>
      <c r="Q52" s="641" t="s">
        <v>134</v>
      </c>
      <c r="R52" s="639" t="s">
        <v>43</v>
      </c>
      <c r="S52" s="639" t="s">
        <v>44</v>
      </c>
      <c r="T52" s="641"/>
      <c r="U52" s="647" t="s">
        <v>24</v>
      </c>
    </row>
    <row r="53" spans="1:21" x14ac:dyDescent="0.25">
      <c r="A53" s="637">
        <v>45429</v>
      </c>
      <c r="B53" s="1314" t="s">
        <v>96</v>
      </c>
      <c r="C53" s="1340"/>
      <c r="D53" s="1316">
        <v>38000</v>
      </c>
      <c r="E53" s="1327">
        <v>0</v>
      </c>
      <c r="F53" s="1329">
        <v>413083.06</v>
      </c>
      <c r="G53" s="1329">
        <v>901</v>
      </c>
      <c r="H53" s="1318">
        <v>42.175360710321861</v>
      </c>
      <c r="I53" s="1318">
        <v>0</v>
      </c>
      <c r="J53" s="1319" t="s">
        <v>21</v>
      </c>
      <c r="K53" s="1314" t="s">
        <v>22</v>
      </c>
      <c r="L53" s="1319" t="s">
        <v>45</v>
      </c>
      <c r="M53" s="1320" t="s">
        <v>47</v>
      </c>
      <c r="N53" s="640" t="s">
        <v>938</v>
      </c>
      <c r="O53" s="640" t="s">
        <v>62</v>
      </c>
      <c r="P53" s="640" t="s">
        <v>939</v>
      </c>
      <c r="Q53" s="640" t="s">
        <v>951</v>
      </c>
      <c r="R53" s="639" t="s">
        <v>1028</v>
      </c>
      <c r="S53" s="639" t="s">
        <v>59</v>
      </c>
      <c r="T53" s="638"/>
      <c r="U53" s="647" t="s">
        <v>24</v>
      </c>
    </row>
    <row r="54" spans="1:21" x14ac:dyDescent="0.25">
      <c r="A54" s="637">
        <v>45432</v>
      </c>
      <c r="B54" s="1314" t="s">
        <v>76</v>
      </c>
      <c r="C54" s="1314" t="s">
        <v>1029</v>
      </c>
      <c r="D54" s="1316">
        <v>507216</v>
      </c>
      <c r="E54" s="1327">
        <v>0</v>
      </c>
      <c r="F54" s="1329">
        <v>-99881.67</v>
      </c>
      <c r="G54" s="1329">
        <v>901</v>
      </c>
      <c r="H54" s="1318">
        <v>562.94783573806876</v>
      </c>
      <c r="I54" s="1318">
        <v>0</v>
      </c>
      <c r="J54" s="1319" t="s">
        <v>21</v>
      </c>
      <c r="K54" s="1314" t="s">
        <v>22</v>
      </c>
      <c r="L54" s="1319" t="s">
        <v>45</v>
      </c>
      <c r="M54" s="1320" t="s">
        <v>47</v>
      </c>
      <c r="N54" s="640" t="s">
        <v>938</v>
      </c>
      <c r="O54" s="640" t="s">
        <v>136</v>
      </c>
      <c r="P54" s="640" t="s">
        <v>1030</v>
      </c>
      <c r="Q54" s="640" t="s">
        <v>137</v>
      </c>
      <c r="R54" s="1121" t="s">
        <v>1031</v>
      </c>
      <c r="S54" s="1121" t="s">
        <v>59</v>
      </c>
      <c r="T54" s="638"/>
      <c r="U54" s="647" t="s">
        <v>24</v>
      </c>
    </row>
    <row r="55" spans="1:21" x14ac:dyDescent="0.25">
      <c r="A55" s="637">
        <v>45434</v>
      </c>
      <c r="B55" s="1314" t="s">
        <v>101</v>
      </c>
      <c r="C55" s="1314" t="s">
        <v>1032</v>
      </c>
      <c r="D55" s="1328">
        <v>137460</v>
      </c>
      <c r="E55" s="1316">
        <v>0</v>
      </c>
      <c r="F55" s="1317">
        <v>-94734</v>
      </c>
      <c r="G55" s="1317">
        <v>901</v>
      </c>
      <c r="H55" s="1318">
        <v>152.56381798002221</v>
      </c>
      <c r="I55" s="1318">
        <v>0</v>
      </c>
      <c r="J55" s="1319" t="s">
        <v>21</v>
      </c>
      <c r="K55" s="1314" t="s">
        <v>22</v>
      </c>
      <c r="L55" s="1319" t="s">
        <v>27</v>
      </c>
      <c r="M55" s="1320" t="s">
        <v>47</v>
      </c>
      <c r="N55" s="640" t="s">
        <v>938</v>
      </c>
      <c r="O55" s="640" t="s">
        <v>48</v>
      </c>
      <c r="P55" s="640" t="s">
        <v>939</v>
      </c>
      <c r="Q55" s="638" t="s">
        <v>945</v>
      </c>
      <c r="R55" s="1121" t="s">
        <v>1033</v>
      </c>
      <c r="S55" s="1121" t="s">
        <v>59</v>
      </c>
      <c r="T55" s="638"/>
      <c r="U55" s="647" t="s">
        <v>24</v>
      </c>
    </row>
    <row r="56" spans="1:21" x14ac:dyDescent="0.25">
      <c r="A56" s="637">
        <v>45435</v>
      </c>
      <c r="B56" s="1314" t="s">
        <v>1034</v>
      </c>
      <c r="C56" s="1335" t="s">
        <v>1035</v>
      </c>
      <c r="D56" s="1336">
        <v>0</v>
      </c>
      <c r="E56" s="1337">
        <v>4920635.1900000004</v>
      </c>
      <c r="F56" s="1338">
        <v>4948255.59</v>
      </c>
      <c r="G56" s="1338">
        <v>901</v>
      </c>
      <c r="H56" s="1318">
        <v>0</v>
      </c>
      <c r="I56" s="1318">
        <v>5461.3043174250834</v>
      </c>
      <c r="J56" s="1319" t="s">
        <v>21</v>
      </c>
      <c r="K56" s="1314" t="s">
        <v>22</v>
      </c>
      <c r="L56" s="1319" t="s">
        <v>45</v>
      </c>
      <c r="M56" s="1320" t="s">
        <v>47</v>
      </c>
      <c r="N56" s="640" t="s">
        <v>939</v>
      </c>
      <c r="O56" s="640" t="s">
        <v>83</v>
      </c>
      <c r="P56" s="640" t="s">
        <v>1027</v>
      </c>
      <c r="Q56" s="640" t="s">
        <v>141</v>
      </c>
      <c r="R56" s="1121"/>
      <c r="S56" s="1121" t="s">
        <v>84</v>
      </c>
      <c r="T56" s="638"/>
      <c r="U56" s="647" t="s">
        <v>24</v>
      </c>
    </row>
    <row r="57" spans="1:21" x14ac:dyDescent="0.25">
      <c r="A57" s="637">
        <v>45436</v>
      </c>
      <c r="B57" s="1314" t="s">
        <v>974</v>
      </c>
      <c r="C57" s="1335"/>
      <c r="D57" s="1336">
        <v>0</v>
      </c>
      <c r="E57" s="1337">
        <v>4924760.3600000003</v>
      </c>
      <c r="F57" s="1338">
        <v>10843491.41</v>
      </c>
      <c r="G57" s="1338">
        <v>901</v>
      </c>
      <c r="H57" s="1318">
        <v>0</v>
      </c>
      <c r="I57" s="1318">
        <v>5465.8827524972257</v>
      </c>
      <c r="J57" s="1319" t="s">
        <v>21</v>
      </c>
      <c r="K57" s="1314" t="s">
        <v>22</v>
      </c>
      <c r="L57" s="1319" t="s">
        <v>45</v>
      </c>
      <c r="M57" s="1320" t="s">
        <v>47</v>
      </c>
      <c r="N57" s="640" t="s">
        <v>939</v>
      </c>
      <c r="O57" s="640" t="s">
        <v>83</v>
      </c>
      <c r="P57" s="640" t="s">
        <v>1027</v>
      </c>
      <c r="Q57" s="640" t="s">
        <v>141</v>
      </c>
      <c r="R57" s="1121"/>
      <c r="S57" s="1121" t="s">
        <v>84</v>
      </c>
      <c r="T57" s="638"/>
      <c r="U57" s="647" t="s">
        <v>24</v>
      </c>
    </row>
    <row r="58" spans="1:21" x14ac:dyDescent="0.25">
      <c r="A58" s="637">
        <v>45439</v>
      </c>
      <c r="B58" s="1314" t="s">
        <v>1036</v>
      </c>
      <c r="C58" s="1330" t="s">
        <v>1037</v>
      </c>
      <c r="D58" s="1316">
        <v>0</v>
      </c>
      <c r="E58" s="1328">
        <v>2329425.23</v>
      </c>
      <c r="F58" s="1317">
        <v>0</v>
      </c>
      <c r="G58" s="1317">
        <v>901</v>
      </c>
      <c r="H58" s="1318">
        <v>0</v>
      </c>
      <c r="I58" s="1318">
        <v>2585.3776137624859</v>
      </c>
      <c r="J58" s="1319" t="s">
        <v>21</v>
      </c>
      <c r="K58" s="1314" t="s">
        <v>22</v>
      </c>
      <c r="L58" s="1319" t="s">
        <v>27</v>
      </c>
      <c r="M58" s="1320" t="s">
        <v>47</v>
      </c>
      <c r="N58" s="640" t="s">
        <v>939</v>
      </c>
      <c r="O58" s="640" t="s">
        <v>83</v>
      </c>
      <c r="P58" s="640" t="s">
        <v>1027</v>
      </c>
      <c r="Q58" s="638" t="s">
        <v>141</v>
      </c>
      <c r="R58" s="638"/>
      <c r="S58" s="639" t="s">
        <v>84</v>
      </c>
      <c r="T58" s="638"/>
      <c r="U58" s="647" t="s">
        <v>24</v>
      </c>
    </row>
    <row r="59" spans="1:21" x14ac:dyDescent="0.25">
      <c r="A59" s="637">
        <v>45439</v>
      </c>
      <c r="B59" s="1314" t="s">
        <v>1036</v>
      </c>
      <c r="C59" s="1330" t="s">
        <v>1037</v>
      </c>
      <c r="D59" s="1316">
        <v>0</v>
      </c>
      <c r="E59" s="1328">
        <v>5000000</v>
      </c>
      <c r="F59" s="1317">
        <v>0</v>
      </c>
      <c r="G59" s="1317">
        <v>901</v>
      </c>
      <c r="H59" s="1318">
        <v>0</v>
      </c>
      <c r="I59" s="1318">
        <v>5549.3895671476139</v>
      </c>
      <c r="J59" s="1319" t="s">
        <v>21</v>
      </c>
      <c r="K59" s="1314" t="s">
        <v>22</v>
      </c>
      <c r="L59" s="1319" t="s">
        <v>27</v>
      </c>
      <c r="M59" s="1320" t="s">
        <v>47</v>
      </c>
      <c r="N59" s="640" t="s">
        <v>939</v>
      </c>
      <c r="O59" s="640" t="s">
        <v>83</v>
      </c>
      <c r="P59" s="640" t="s">
        <v>1027</v>
      </c>
      <c r="Q59" s="638" t="s">
        <v>141</v>
      </c>
      <c r="R59" s="638"/>
      <c r="S59" s="639" t="s">
        <v>84</v>
      </c>
      <c r="T59" s="638"/>
      <c r="U59" s="647" t="s">
        <v>24</v>
      </c>
    </row>
    <row r="60" spans="1:21" x14ac:dyDescent="0.25">
      <c r="A60" s="644">
        <v>45439</v>
      </c>
      <c r="B60" s="1323" t="s">
        <v>25</v>
      </c>
      <c r="C60" s="1332"/>
      <c r="D60" s="1333">
        <v>77653</v>
      </c>
      <c r="E60" s="1333">
        <v>0</v>
      </c>
      <c r="F60" s="1334">
        <v>0</v>
      </c>
      <c r="G60" s="1334">
        <v>901</v>
      </c>
      <c r="H60" s="1318">
        <v>86.185349611542733</v>
      </c>
      <c r="I60" s="1318">
        <v>0</v>
      </c>
      <c r="J60" s="1325" t="s">
        <v>21</v>
      </c>
      <c r="K60" s="1314" t="s">
        <v>26</v>
      </c>
      <c r="L60" s="1319" t="s">
        <v>26</v>
      </c>
      <c r="M60" s="1326" t="s">
        <v>47</v>
      </c>
      <c r="N60" s="646" t="s">
        <v>939</v>
      </c>
      <c r="O60" s="646" t="s">
        <v>77</v>
      </c>
      <c r="P60" s="646" t="s">
        <v>1038</v>
      </c>
      <c r="Q60" s="641" t="s">
        <v>134</v>
      </c>
      <c r="R60" s="1121" t="s">
        <v>43</v>
      </c>
      <c r="S60" s="1121" t="s">
        <v>44</v>
      </c>
      <c r="T60" s="641"/>
      <c r="U60" s="647" t="s">
        <v>24</v>
      </c>
    </row>
    <row r="61" spans="1:21" x14ac:dyDescent="0.25">
      <c r="A61" s="637">
        <v>45440</v>
      </c>
      <c r="B61" s="1314" t="s">
        <v>69</v>
      </c>
      <c r="C61" s="1335" t="s">
        <v>1039</v>
      </c>
      <c r="D61" s="1336">
        <v>304920</v>
      </c>
      <c r="E61" s="1337">
        <v>0</v>
      </c>
      <c r="F61" s="1338">
        <v>-1322611.46</v>
      </c>
      <c r="G61" s="1338">
        <v>901</v>
      </c>
      <c r="H61" s="1318">
        <v>338.4239733629301</v>
      </c>
      <c r="I61" s="1318">
        <v>0</v>
      </c>
      <c r="J61" s="1319" t="s">
        <v>21</v>
      </c>
      <c r="K61" s="1314" t="s">
        <v>22</v>
      </c>
      <c r="L61" s="1319" t="s">
        <v>45</v>
      </c>
      <c r="M61" s="1320" t="s">
        <v>47</v>
      </c>
      <c r="N61" s="640" t="s">
        <v>938</v>
      </c>
      <c r="O61" s="640" t="s">
        <v>71</v>
      </c>
      <c r="P61" s="640" t="s">
        <v>50</v>
      </c>
      <c r="Q61" s="640" t="s">
        <v>979</v>
      </c>
      <c r="R61" s="1121" t="s">
        <v>1040</v>
      </c>
      <c r="S61" s="1121" t="s">
        <v>59</v>
      </c>
      <c r="T61" s="638"/>
      <c r="U61" s="647" t="s">
        <v>24</v>
      </c>
    </row>
    <row r="62" spans="1:21" x14ac:dyDescent="0.25">
      <c r="A62" s="637">
        <v>45440</v>
      </c>
      <c r="B62" s="1314" t="s">
        <v>974</v>
      </c>
      <c r="C62" s="1335"/>
      <c r="D62" s="1336">
        <v>0</v>
      </c>
      <c r="E62" s="1337">
        <v>4941318.76</v>
      </c>
      <c r="F62" s="1338">
        <v>3618707.3</v>
      </c>
      <c r="G62" s="1338">
        <v>901</v>
      </c>
      <c r="H62" s="1318">
        <v>0</v>
      </c>
      <c r="I62" s="1318">
        <v>5484.2605549389564</v>
      </c>
      <c r="J62" s="1319" t="s">
        <v>21</v>
      </c>
      <c r="K62" s="1314" t="s">
        <v>22</v>
      </c>
      <c r="L62" s="1319" t="s">
        <v>45</v>
      </c>
      <c r="M62" s="1320" t="s">
        <v>47</v>
      </c>
      <c r="N62" s="640" t="s">
        <v>939</v>
      </c>
      <c r="O62" s="640" t="s">
        <v>83</v>
      </c>
      <c r="P62" s="640" t="s">
        <v>1027</v>
      </c>
      <c r="Q62" s="640" t="s">
        <v>141</v>
      </c>
      <c r="R62" s="1121"/>
      <c r="S62" s="1121" t="s">
        <v>84</v>
      </c>
      <c r="T62" s="638"/>
      <c r="U62" s="647" t="s">
        <v>24</v>
      </c>
    </row>
    <row r="63" spans="1:21" x14ac:dyDescent="0.25">
      <c r="A63" s="637">
        <v>45440</v>
      </c>
      <c r="B63" s="1314" t="s">
        <v>1041</v>
      </c>
      <c r="C63" s="1335"/>
      <c r="D63" s="1336">
        <v>0</v>
      </c>
      <c r="E63" s="1337">
        <v>553198.77</v>
      </c>
      <c r="F63" s="1338">
        <v>0</v>
      </c>
      <c r="G63" s="1338">
        <v>901</v>
      </c>
      <c r="H63" s="1318">
        <v>0</v>
      </c>
      <c r="I63" s="1318">
        <v>613.98309655937851</v>
      </c>
      <c r="J63" s="1319" t="s">
        <v>21</v>
      </c>
      <c r="K63" s="1314" t="s">
        <v>22</v>
      </c>
      <c r="L63" s="1319" t="s">
        <v>45</v>
      </c>
      <c r="M63" s="1320" t="s">
        <v>47</v>
      </c>
      <c r="N63" s="640" t="s">
        <v>939</v>
      </c>
      <c r="O63" s="640" t="s">
        <v>83</v>
      </c>
      <c r="P63" s="640" t="s">
        <v>1027</v>
      </c>
      <c r="Q63" s="640" t="s">
        <v>141</v>
      </c>
      <c r="R63" s="1121"/>
      <c r="S63" s="1121" t="s">
        <v>84</v>
      </c>
      <c r="T63" s="638"/>
      <c r="U63" s="647" t="s">
        <v>24</v>
      </c>
    </row>
    <row r="64" spans="1:21" x14ac:dyDescent="0.25">
      <c r="A64" s="637">
        <v>45440</v>
      </c>
      <c r="B64" s="1314" t="s">
        <v>974</v>
      </c>
      <c r="C64" s="1335"/>
      <c r="D64" s="1336">
        <v>0</v>
      </c>
      <c r="E64" s="1337">
        <v>4941318.76</v>
      </c>
      <c r="F64" s="1338">
        <v>8560026.0600000005</v>
      </c>
      <c r="G64" s="1338">
        <v>901</v>
      </c>
      <c r="H64" s="1318">
        <v>0</v>
      </c>
      <c r="I64" s="1318">
        <v>5484.2605549389564</v>
      </c>
      <c r="J64" s="1319" t="s">
        <v>21</v>
      </c>
      <c r="K64" s="1314" t="s">
        <v>22</v>
      </c>
      <c r="L64" s="1319" t="s">
        <v>45</v>
      </c>
      <c r="M64" s="1320" t="s">
        <v>47</v>
      </c>
      <c r="N64" s="640" t="s">
        <v>939</v>
      </c>
      <c r="O64" s="640" t="s">
        <v>83</v>
      </c>
      <c r="P64" s="640" t="s">
        <v>1027</v>
      </c>
      <c r="Q64" s="640" t="s">
        <v>141</v>
      </c>
      <c r="R64" s="1121"/>
      <c r="S64" s="1121" t="s">
        <v>84</v>
      </c>
      <c r="T64" s="638"/>
      <c r="U64" s="647" t="s">
        <v>24</v>
      </c>
    </row>
    <row r="65" spans="1:21" x14ac:dyDescent="0.25">
      <c r="A65" s="644">
        <v>45442</v>
      </c>
      <c r="B65" s="1323" t="s">
        <v>25</v>
      </c>
      <c r="C65" s="1332"/>
      <c r="D65" s="1333">
        <v>53792.77</v>
      </c>
      <c r="E65" s="1333">
        <v>0</v>
      </c>
      <c r="F65" s="1334">
        <v>0</v>
      </c>
      <c r="G65" s="1334">
        <v>901</v>
      </c>
      <c r="H65" s="1318">
        <v>59.703407325194227</v>
      </c>
      <c r="I65" s="1318">
        <v>0</v>
      </c>
      <c r="J65" s="1325" t="s">
        <v>21</v>
      </c>
      <c r="K65" s="1314" t="s">
        <v>26</v>
      </c>
      <c r="L65" s="1319" t="s">
        <v>26</v>
      </c>
      <c r="M65" s="1326" t="s">
        <v>47</v>
      </c>
      <c r="N65" s="646" t="s">
        <v>939</v>
      </c>
      <c r="O65" s="646" t="s">
        <v>77</v>
      </c>
      <c r="P65" s="646"/>
      <c r="Q65" s="641" t="s">
        <v>134</v>
      </c>
      <c r="R65" s="1121" t="s">
        <v>43</v>
      </c>
      <c r="S65" s="1121" t="s">
        <v>44</v>
      </c>
      <c r="T65" s="641"/>
      <c r="U65" s="647" t="s">
        <v>24</v>
      </c>
    </row>
    <row r="66" spans="1:21" x14ac:dyDescent="0.25">
      <c r="A66" s="644">
        <v>45442</v>
      </c>
      <c r="B66" s="1323" t="s">
        <v>1042</v>
      </c>
      <c r="C66" s="1332"/>
      <c r="D66" s="1321">
        <v>33368483.27</v>
      </c>
      <c r="E66" s="1333">
        <v>0</v>
      </c>
      <c r="F66" s="1334">
        <v>0</v>
      </c>
      <c r="G66" s="1334">
        <v>901</v>
      </c>
      <c r="H66" s="1318">
        <v>37034.942586015539</v>
      </c>
      <c r="I66" s="1318">
        <v>0</v>
      </c>
      <c r="J66" s="1325" t="s">
        <v>21</v>
      </c>
      <c r="K66" s="1314" t="s">
        <v>26</v>
      </c>
      <c r="L66" s="1319" t="s">
        <v>26</v>
      </c>
      <c r="M66" s="1326" t="s">
        <v>47</v>
      </c>
      <c r="N66" s="646" t="s">
        <v>939</v>
      </c>
      <c r="O66" s="646" t="s">
        <v>1151</v>
      </c>
      <c r="P66" s="646" t="s">
        <v>1043</v>
      </c>
      <c r="Q66" s="641" t="s">
        <v>141</v>
      </c>
      <c r="R66" s="1121"/>
      <c r="S66" s="1121" t="s">
        <v>135</v>
      </c>
      <c r="T66" s="641"/>
      <c r="U66" s="647" t="s">
        <v>24</v>
      </c>
    </row>
    <row r="67" spans="1:21" x14ac:dyDescent="0.25">
      <c r="A67" s="644">
        <v>45442</v>
      </c>
      <c r="B67" s="1323" t="s">
        <v>1042</v>
      </c>
      <c r="C67" s="1332"/>
      <c r="D67" s="1321">
        <v>6024566.0499999998</v>
      </c>
      <c r="E67" s="1333">
        <v>0</v>
      </c>
      <c r="F67" s="1334">
        <v>0</v>
      </c>
      <c r="G67" s="1334">
        <v>901</v>
      </c>
      <c r="H67" s="1318">
        <v>6686.532796892342</v>
      </c>
      <c r="I67" s="1318">
        <v>0</v>
      </c>
      <c r="J67" s="1325" t="s">
        <v>21</v>
      </c>
      <c r="K67" s="1314" t="s">
        <v>26</v>
      </c>
      <c r="L67" s="1319" t="s">
        <v>26</v>
      </c>
      <c r="M67" s="1326" t="s">
        <v>47</v>
      </c>
      <c r="N67" s="646" t="s">
        <v>939</v>
      </c>
      <c r="O67" s="646" t="s">
        <v>1151</v>
      </c>
      <c r="P67" s="646" t="s">
        <v>1044</v>
      </c>
      <c r="Q67" s="641" t="s">
        <v>141</v>
      </c>
      <c r="R67" s="1121"/>
      <c r="S67" s="1121" t="s">
        <v>135</v>
      </c>
      <c r="T67" s="641"/>
      <c r="U67" s="647" t="s">
        <v>24</v>
      </c>
    </row>
    <row r="68" spans="1:21" x14ac:dyDescent="0.25">
      <c r="A68" s="644">
        <v>45442</v>
      </c>
      <c r="B68" s="1323" t="s">
        <v>1042</v>
      </c>
      <c r="C68" s="1332"/>
      <c r="D68" s="1321">
        <v>0</v>
      </c>
      <c r="E68" s="1333">
        <v>52832957.799999997</v>
      </c>
      <c r="F68" s="1334">
        <v>0</v>
      </c>
      <c r="G68" s="1334">
        <v>901</v>
      </c>
      <c r="H68" s="1318">
        <v>0</v>
      </c>
      <c r="I68" s="1318">
        <v>58638.132963374024</v>
      </c>
      <c r="J68" s="1325" t="s">
        <v>21</v>
      </c>
      <c r="K68" s="1314" t="s">
        <v>26</v>
      </c>
      <c r="L68" s="1319" t="s">
        <v>26</v>
      </c>
      <c r="M68" s="1326" t="s">
        <v>47</v>
      </c>
      <c r="N68" s="646" t="s">
        <v>939</v>
      </c>
      <c r="O68" s="646" t="s">
        <v>83</v>
      </c>
      <c r="P68" s="646" t="s">
        <v>157</v>
      </c>
      <c r="Q68" s="641" t="s">
        <v>141</v>
      </c>
      <c r="R68" s="1121"/>
      <c r="S68" s="1121" t="s">
        <v>84</v>
      </c>
      <c r="T68" s="641"/>
      <c r="U68" s="647" t="s">
        <v>24</v>
      </c>
    </row>
    <row r="69" spans="1:21" x14ac:dyDescent="0.25">
      <c r="A69" s="644">
        <v>45442</v>
      </c>
      <c r="B69" s="1323" t="s">
        <v>1042</v>
      </c>
      <c r="C69" s="1332"/>
      <c r="D69" s="1321">
        <v>0</v>
      </c>
      <c r="E69" s="1333">
        <v>5547460.5700000003</v>
      </c>
      <c r="F69" s="1334">
        <v>0</v>
      </c>
      <c r="G69" s="1334">
        <v>901</v>
      </c>
      <c r="H69" s="1318">
        <v>0</v>
      </c>
      <c r="I69" s="1318">
        <v>6157.0039622641516</v>
      </c>
      <c r="J69" s="1325" t="s">
        <v>21</v>
      </c>
      <c r="K69" s="1314" t="s">
        <v>26</v>
      </c>
      <c r="L69" s="1319" t="s">
        <v>26</v>
      </c>
      <c r="M69" s="1326" t="s">
        <v>47</v>
      </c>
      <c r="N69" s="646" t="s">
        <v>939</v>
      </c>
      <c r="O69" s="646" t="s">
        <v>83</v>
      </c>
      <c r="P69" s="646" t="s">
        <v>157</v>
      </c>
      <c r="Q69" s="641" t="s">
        <v>141</v>
      </c>
      <c r="R69" s="1121"/>
      <c r="S69" s="1121" t="s">
        <v>84</v>
      </c>
      <c r="T69" s="641"/>
      <c r="U69" s="647" t="s">
        <v>24</v>
      </c>
    </row>
    <row r="70" spans="1:21" x14ac:dyDescent="0.25">
      <c r="A70" s="644">
        <v>45442</v>
      </c>
      <c r="B70" s="1323" t="s">
        <v>1042</v>
      </c>
      <c r="C70" s="1332"/>
      <c r="D70" s="1321">
        <v>33368483.27</v>
      </c>
      <c r="E70" s="1333">
        <v>0</v>
      </c>
      <c r="F70" s="1334">
        <v>0</v>
      </c>
      <c r="G70" s="1334">
        <v>901</v>
      </c>
      <c r="H70" s="1318">
        <v>37034.942586015539</v>
      </c>
      <c r="I70" s="1318">
        <v>0</v>
      </c>
      <c r="J70" s="1325" t="s">
        <v>21</v>
      </c>
      <c r="K70" s="1314" t="s">
        <v>26</v>
      </c>
      <c r="L70" s="1319" t="s">
        <v>26</v>
      </c>
      <c r="M70" s="1326" t="s">
        <v>47</v>
      </c>
      <c r="N70" s="646" t="s">
        <v>939</v>
      </c>
      <c r="O70" s="646" t="s">
        <v>1151</v>
      </c>
      <c r="P70" s="646" t="s">
        <v>1043</v>
      </c>
      <c r="Q70" s="641" t="s">
        <v>141</v>
      </c>
      <c r="R70" s="1121"/>
      <c r="S70" s="1121" t="s">
        <v>135</v>
      </c>
      <c r="T70" s="641"/>
      <c r="U70" s="647" t="s">
        <v>24</v>
      </c>
    </row>
    <row r="71" spans="1:21" x14ac:dyDescent="0.25">
      <c r="A71" s="644">
        <v>45442</v>
      </c>
      <c r="B71" s="1323" t="s">
        <v>1042</v>
      </c>
      <c r="C71" s="1332"/>
      <c r="D71" s="1321">
        <v>0</v>
      </c>
      <c r="E71" s="1333">
        <v>2927675.52</v>
      </c>
      <c r="F71" s="1334">
        <v>0</v>
      </c>
      <c r="G71" s="1334">
        <v>901</v>
      </c>
      <c r="H71" s="1318">
        <v>0</v>
      </c>
      <c r="I71" s="1318">
        <v>3249.3623973362928</v>
      </c>
      <c r="J71" s="1325" t="s">
        <v>21</v>
      </c>
      <c r="K71" s="1314" t="s">
        <v>22</v>
      </c>
      <c r="L71" s="1319" t="s">
        <v>45</v>
      </c>
      <c r="M71" s="1326" t="s">
        <v>47</v>
      </c>
      <c r="N71" s="646" t="s">
        <v>939</v>
      </c>
      <c r="O71" s="646" t="s">
        <v>83</v>
      </c>
      <c r="P71" s="646" t="s">
        <v>1027</v>
      </c>
      <c r="Q71" s="641" t="s">
        <v>141</v>
      </c>
      <c r="R71" s="1121"/>
      <c r="S71" s="1121" t="s">
        <v>84</v>
      </c>
      <c r="T71" s="641"/>
      <c r="U71" s="647" t="s">
        <v>24</v>
      </c>
    </row>
    <row r="72" spans="1:21" x14ac:dyDescent="0.25">
      <c r="A72" s="644">
        <v>45443</v>
      </c>
      <c r="B72" s="1323" t="s">
        <v>1045</v>
      </c>
      <c r="C72" s="1332"/>
      <c r="D72" s="1321">
        <v>0</v>
      </c>
      <c r="E72" s="1333">
        <v>843694.27</v>
      </c>
      <c r="F72" s="1334">
        <v>0</v>
      </c>
      <c r="G72" s="1334">
        <v>901</v>
      </c>
      <c r="H72" s="1318">
        <v>0</v>
      </c>
      <c r="I72" s="1318">
        <v>936.39763596004445</v>
      </c>
      <c r="J72" s="1325" t="s">
        <v>21</v>
      </c>
      <c r="K72" s="1314" t="s">
        <v>26</v>
      </c>
      <c r="L72" s="1319" t="s">
        <v>26</v>
      </c>
      <c r="M72" s="1326" t="s">
        <v>47</v>
      </c>
      <c r="N72" s="646" t="s">
        <v>939</v>
      </c>
      <c r="O72" s="646" t="s">
        <v>1151</v>
      </c>
      <c r="P72" s="646" t="s">
        <v>1046</v>
      </c>
      <c r="Q72" s="641" t="s">
        <v>141</v>
      </c>
      <c r="R72" s="1121"/>
      <c r="S72" s="1121" t="s">
        <v>84</v>
      </c>
      <c r="T72" s="641"/>
      <c r="U72" s="647" t="s">
        <v>24</v>
      </c>
    </row>
    <row r="73" spans="1:21" x14ac:dyDescent="0.25">
      <c r="A73" s="644">
        <v>45447</v>
      </c>
      <c r="B73" s="1323" t="s">
        <v>25</v>
      </c>
      <c r="C73" s="1332"/>
      <c r="D73" s="1333">
        <v>0</v>
      </c>
      <c r="E73" s="1333">
        <v>53793</v>
      </c>
      <c r="F73" s="1334">
        <v>0</v>
      </c>
      <c r="G73" s="1334">
        <v>938</v>
      </c>
      <c r="H73" s="1318">
        <v>0</v>
      </c>
      <c r="I73" s="1318">
        <v>57.348614072494669</v>
      </c>
      <c r="J73" s="1325" t="s">
        <v>21</v>
      </c>
      <c r="K73" s="1314" t="s">
        <v>26</v>
      </c>
      <c r="L73" s="1319" t="s">
        <v>26</v>
      </c>
      <c r="M73" s="1326" t="s">
        <v>47</v>
      </c>
      <c r="N73" s="646" t="s">
        <v>939</v>
      </c>
      <c r="O73" s="646" t="s">
        <v>83</v>
      </c>
      <c r="P73" s="646" t="s">
        <v>1008</v>
      </c>
      <c r="Q73" s="646" t="s">
        <v>141</v>
      </c>
      <c r="R73" s="1121"/>
      <c r="S73" s="1121" t="s">
        <v>84</v>
      </c>
      <c r="T73" s="641"/>
      <c r="U73" s="647" t="s">
        <v>24</v>
      </c>
    </row>
    <row r="74" spans="1:21" x14ac:dyDescent="0.25">
      <c r="A74" s="644">
        <v>45447</v>
      </c>
      <c r="B74" s="1323" t="s">
        <v>25</v>
      </c>
      <c r="C74" s="1332"/>
      <c r="D74" s="1333">
        <v>53793</v>
      </c>
      <c r="E74" s="1333">
        <v>0</v>
      </c>
      <c r="F74" s="1334">
        <v>0</v>
      </c>
      <c r="G74" s="1334">
        <v>938</v>
      </c>
      <c r="H74" s="1318">
        <v>57.348614072494669</v>
      </c>
      <c r="I74" s="1318">
        <v>0</v>
      </c>
      <c r="J74" s="1325" t="s">
        <v>21</v>
      </c>
      <c r="K74" s="1314" t="s">
        <v>26</v>
      </c>
      <c r="L74" s="1319" t="s">
        <v>26</v>
      </c>
      <c r="M74" s="1326" t="s">
        <v>47</v>
      </c>
      <c r="N74" s="646" t="s">
        <v>939</v>
      </c>
      <c r="O74" s="646" t="s">
        <v>77</v>
      </c>
      <c r="P74" s="646"/>
      <c r="Q74" s="646" t="s">
        <v>134</v>
      </c>
      <c r="R74" s="1121" t="s">
        <v>43</v>
      </c>
      <c r="S74" s="1121" t="s">
        <v>44</v>
      </c>
      <c r="T74" s="641"/>
      <c r="U74" s="647" t="s">
        <v>24</v>
      </c>
    </row>
    <row r="75" spans="1:21" x14ac:dyDescent="0.25">
      <c r="A75" s="637">
        <v>45448</v>
      </c>
      <c r="B75" s="1314" t="s">
        <v>69</v>
      </c>
      <c r="C75" s="1336" t="s">
        <v>1047</v>
      </c>
      <c r="D75" s="1336">
        <v>58900</v>
      </c>
      <c r="E75" s="1337">
        <v>0</v>
      </c>
      <c r="F75" s="1338">
        <v>-2981827.71</v>
      </c>
      <c r="G75" s="1338">
        <v>938</v>
      </c>
      <c r="H75" s="1318">
        <v>62.793176972281451</v>
      </c>
      <c r="I75" s="1318">
        <v>0</v>
      </c>
      <c r="J75" s="1319" t="s">
        <v>21</v>
      </c>
      <c r="K75" s="1314" t="s">
        <v>22</v>
      </c>
      <c r="L75" s="1319" t="s">
        <v>45</v>
      </c>
      <c r="M75" s="1320" t="s">
        <v>47</v>
      </c>
      <c r="N75" s="640" t="s">
        <v>938</v>
      </c>
      <c r="O75" s="640" t="s">
        <v>82</v>
      </c>
      <c r="P75" s="640"/>
      <c r="Q75" s="640" t="s">
        <v>970</v>
      </c>
      <c r="R75" s="1123" t="s">
        <v>1048</v>
      </c>
      <c r="S75" s="1123" t="s">
        <v>59</v>
      </c>
      <c r="T75" s="638"/>
      <c r="U75" s="647" t="s">
        <v>24</v>
      </c>
    </row>
    <row r="76" spans="1:21" x14ac:dyDescent="0.25">
      <c r="A76" s="637">
        <v>45450</v>
      </c>
      <c r="B76" s="1314" t="s">
        <v>69</v>
      </c>
      <c r="C76" s="1336" t="s">
        <v>1049</v>
      </c>
      <c r="D76" s="1316">
        <v>76002.23</v>
      </c>
      <c r="E76" s="1316">
        <v>0</v>
      </c>
      <c r="F76" s="1329">
        <v>-4308183.34</v>
      </c>
      <c r="G76" s="1329">
        <v>938</v>
      </c>
      <c r="H76" s="1318">
        <v>81.025831556503192</v>
      </c>
      <c r="I76" s="1318">
        <v>0</v>
      </c>
      <c r="J76" s="1319" t="s">
        <v>21</v>
      </c>
      <c r="K76" s="1314" t="s">
        <v>22</v>
      </c>
      <c r="L76" s="1319" t="s">
        <v>45</v>
      </c>
      <c r="M76" s="1320" t="s">
        <v>47</v>
      </c>
      <c r="N76" s="640" t="s">
        <v>938</v>
      </c>
      <c r="O76" s="640" t="s">
        <v>82</v>
      </c>
      <c r="P76" s="640"/>
      <c r="Q76" s="640" t="s">
        <v>993</v>
      </c>
      <c r="R76" s="1123" t="s">
        <v>1050</v>
      </c>
      <c r="S76" s="1123" t="s">
        <v>59</v>
      </c>
      <c r="T76" s="638"/>
      <c r="U76" s="647" t="s">
        <v>24</v>
      </c>
    </row>
    <row r="77" spans="1:21" x14ac:dyDescent="0.25">
      <c r="A77" s="637">
        <v>45450</v>
      </c>
      <c r="B77" s="1314" t="s">
        <v>1051</v>
      </c>
      <c r="C77" s="1336"/>
      <c r="D77" s="1316">
        <v>0</v>
      </c>
      <c r="E77" s="1327">
        <v>750000</v>
      </c>
      <c r="F77" s="1317">
        <v>-2958183.34</v>
      </c>
      <c r="G77" s="1317">
        <v>938</v>
      </c>
      <c r="H77" s="1318">
        <v>0</v>
      </c>
      <c r="I77" s="1318">
        <v>799.57356076759061</v>
      </c>
      <c r="J77" s="1319" t="s">
        <v>21</v>
      </c>
      <c r="K77" s="1314" t="s">
        <v>22</v>
      </c>
      <c r="L77" s="1319" t="s">
        <v>45</v>
      </c>
      <c r="M77" s="1320" t="s">
        <v>47</v>
      </c>
      <c r="N77" s="640" t="s">
        <v>939</v>
      </c>
      <c r="O77" s="640" t="s">
        <v>83</v>
      </c>
      <c r="P77" s="640" t="s">
        <v>1027</v>
      </c>
      <c r="Q77" s="640" t="s">
        <v>141</v>
      </c>
      <c r="R77" s="1339"/>
      <c r="S77" s="1123" t="s">
        <v>84</v>
      </c>
      <c r="T77" s="638"/>
      <c r="U77" s="647" t="s">
        <v>24</v>
      </c>
    </row>
    <row r="78" spans="1:21" x14ac:dyDescent="0.25">
      <c r="A78" s="637">
        <v>45450</v>
      </c>
      <c r="B78" s="1314" t="s">
        <v>1051</v>
      </c>
      <c r="C78" s="1336"/>
      <c r="D78" s="1316">
        <v>0</v>
      </c>
      <c r="E78" s="1327">
        <v>600000</v>
      </c>
      <c r="F78" s="1317">
        <v>-3708183.34</v>
      </c>
      <c r="G78" s="1317">
        <v>938</v>
      </c>
      <c r="H78" s="1318">
        <v>0</v>
      </c>
      <c r="I78" s="1318">
        <v>639.65884861407244</v>
      </c>
      <c r="J78" s="1319" t="s">
        <v>21</v>
      </c>
      <c r="K78" s="1314" t="s">
        <v>22</v>
      </c>
      <c r="L78" s="1319" t="s">
        <v>45</v>
      </c>
      <c r="M78" s="1320" t="s">
        <v>47</v>
      </c>
      <c r="N78" s="640" t="s">
        <v>939</v>
      </c>
      <c r="O78" s="640" t="s">
        <v>83</v>
      </c>
      <c r="P78" s="640" t="s">
        <v>1027</v>
      </c>
      <c r="Q78" s="640" t="s">
        <v>141</v>
      </c>
      <c r="R78" s="1339"/>
      <c r="S78" s="1123" t="s">
        <v>84</v>
      </c>
      <c r="T78" s="638"/>
      <c r="U78" s="647" t="s">
        <v>24</v>
      </c>
    </row>
    <row r="79" spans="1:21" x14ac:dyDescent="0.25">
      <c r="A79" s="637">
        <v>45453</v>
      </c>
      <c r="B79" s="1314" t="s">
        <v>69</v>
      </c>
      <c r="C79" s="1316" t="s">
        <v>1052</v>
      </c>
      <c r="D79" s="1316">
        <v>820000</v>
      </c>
      <c r="E79" s="1327">
        <v>0</v>
      </c>
      <c r="F79" s="1317">
        <v>-3794239.35</v>
      </c>
      <c r="G79" s="1317">
        <v>938</v>
      </c>
      <c r="H79" s="1318">
        <v>874.20042643923239</v>
      </c>
      <c r="I79" s="1318">
        <v>0</v>
      </c>
      <c r="J79" s="1319" t="s">
        <v>21</v>
      </c>
      <c r="K79" s="1314" t="s">
        <v>22</v>
      </c>
      <c r="L79" s="1319" t="s">
        <v>45</v>
      </c>
      <c r="M79" s="1320" t="s">
        <v>47</v>
      </c>
      <c r="N79" s="640" t="s">
        <v>1053</v>
      </c>
      <c r="O79" s="640" t="s">
        <v>33</v>
      </c>
      <c r="P79" s="640"/>
      <c r="Q79" s="640" t="s">
        <v>1054</v>
      </c>
      <c r="R79" s="1339" t="s">
        <v>1055</v>
      </c>
      <c r="S79" s="1123" t="s">
        <v>59</v>
      </c>
      <c r="T79" s="638"/>
      <c r="U79" s="647" t="s">
        <v>24</v>
      </c>
    </row>
    <row r="80" spans="1:21" x14ac:dyDescent="0.25">
      <c r="A80" s="637">
        <v>45453</v>
      </c>
      <c r="B80" s="1314" t="s">
        <v>1056</v>
      </c>
      <c r="C80" s="1316"/>
      <c r="D80" s="1316">
        <v>0</v>
      </c>
      <c r="E80" s="1327">
        <v>1400000</v>
      </c>
      <c r="F80" s="1317">
        <v>-2894239.35</v>
      </c>
      <c r="G80" s="1317">
        <v>938</v>
      </c>
      <c r="H80" s="1318">
        <v>0</v>
      </c>
      <c r="I80" s="1318">
        <v>1492.5373134328358</v>
      </c>
      <c r="J80" s="1319" t="s">
        <v>21</v>
      </c>
      <c r="K80" s="1314" t="s">
        <v>22</v>
      </c>
      <c r="L80" s="1319" t="s">
        <v>45</v>
      </c>
      <c r="M80" s="1320" t="s">
        <v>47</v>
      </c>
      <c r="N80" s="640" t="s">
        <v>939</v>
      </c>
      <c r="O80" s="640" t="s">
        <v>83</v>
      </c>
      <c r="P80" s="640" t="s">
        <v>1027</v>
      </c>
      <c r="Q80" s="640" t="s">
        <v>141</v>
      </c>
      <c r="R80" s="1339"/>
      <c r="S80" s="1123" t="s">
        <v>84</v>
      </c>
      <c r="T80" s="638"/>
      <c r="U80" s="647" t="s">
        <v>24</v>
      </c>
    </row>
    <row r="81" spans="1:21" x14ac:dyDescent="0.25">
      <c r="A81" s="644">
        <v>45453</v>
      </c>
      <c r="B81" s="1323" t="s">
        <v>25</v>
      </c>
      <c r="C81" s="1324"/>
      <c r="D81" s="1514">
        <v>0</v>
      </c>
      <c r="E81" s="1321">
        <v>358967.87</v>
      </c>
      <c r="F81" s="1334">
        <v>0</v>
      </c>
      <c r="G81" s="1334">
        <v>938</v>
      </c>
      <c r="H81" s="1318">
        <v>0</v>
      </c>
      <c r="I81" s="1318">
        <v>382.69495735607677</v>
      </c>
      <c r="J81" s="1325" t="s">
        <v>21</v>
      </c>
      <c r="K81" s="1314" t="s">
        <v>26</v>
      </c>
      <c r="L81" s="1319" t="s">
        <v>26</v>
      </c>
      <c r="M81" s="1326" t="s">
        <v>47</v>
      </c>
      <c r="N81" s="646" t="s">
        <v>939</v>
      </c>
      <c r="O81" s="646" t="s">
        <v>83</v>
      </c>
      <c r="P81" s="646" t="s">
        <v>1027</v>
      </c>
      <c r="Q81" s="646" t="s">
        <v>141</v>
      </c>
      <c r="R81" s="1121"/>
      <c r="S81" s="1121" t="s">
        <v>84</v>
      </c>
      <c r="T81" s="641"/>
      <c r="U81" s="647" t="s">
        <v>24</v>
      </c>
    </row>
    <row r="82" spans="1:21" x14ac:dyDescent="0.25">
      <c r="A82" s="644">
        <v>45453</v>
      </c>
      <c r="B82" s="1323" t="s">
        <v>25</v>
      </c>
      <c r="C82" s="1324"/>
      <c r="D82" s="1321">
        <v>0</v>
      </c>
      <c r="E82" s="1321">
        <v>219873.82</v>
      </c>
      <c r="F82" s="1334">
        <v>0</v>
      </c>
      <c r="G82" s="1334">
        <v>938</v>
      </c>
      <c r="H82" s="1318">
        <v>0</v>
      </c>
      <c r="I82" s="1318">
        <v>234.40705756929637</v>
      </c>
      <c r="J82" s="1325" t="s">
        <v>21</v>
      </c>
      <c r="K82" s="1314" t="s">
        <v>26</v>
      </c>
      <c r="L82" s="1319" t="s">
        <v>26</v>
      </c>
      <c r="M82" s="1326" t="s">
        <v>47</v>
      </c>
      <c r="N82" s="646" t="s">
        <v>939</v>
      </c>
      <c r="O82" s="646" t="s">
        <v>83</v>
      </c>
      <c r="P82" s="646" t="s">
        <v>1027</v>
      </c>
      <c r="Q82" s="641" t="s">
        <v>141</v>
      </c>
      <c r="R82" s="1121"/>
      <c r="S82" s="1121" t="s">
        <v>84</v>
      </c>
      <c r="T82" s="641"/>
      <c r="U82" s="647" t="s">
        <v>24</v>
      </c>
    </row>
    <row r="83" spans="1:21" x14ac:dyDescent="0.25">
      <c r="A83" s="637">
        <v>45455</v>
      </c>
      <c r="B83" s="1314" t="s">
        <v>1057</v>
      </c>
      <c r="C83" s="1330"/>
      <c r="D83" s="1316">
        <v>0</v>
      </c>
      <c r="E83" s="1328">
        <v>300000</v>
      </c>
      <c r="F83" s="1317">
        <v>300000</v>
      </c>
      <c r="G83" s="1317">
        <v>921</v>
      </c>
      <c r="H83" s="1318">
        <v>0</v>
      </c>
      <c r="I83" s="1318">
        <v>325.73289902280129</v>
      </c>
      <c r="J83" s="1319" t="s">
        <v>21</v>
      </c>
      <c r="K83" s="1314" t="s">
        <v>166</v>
      </c>
      <c r="L83" s="1319" t="s">
        <v>45</v>
      </c>
      <c r="M83" s="1320" t="s">
        <v>47</v>
      </c>
      <c r="N83" s="640" t="s">
        <v>939</v>
      </c>
      <c r="O83" s="640" t="s">
        <v>83</v>
      </c>
      <c r="P83" s="638" t="s">
        <v>1027</v>
      </c>
      <c r="Q83" s="638" t="s">
        <v>141</v>
      </c>
      <c r="R83" s="638"/>
      <c r="S83" s="639" t="s">
        <v>84</v>
      </c>
      <c r="T83" s="638"/>
      <c r="U83" s="647" t="s">
        <v>24</v>
      </c>
    </row>
    <row r="84" spans="1:21" x14ac:dyDescent="0.25">
      <c r="A84" s="637">
        <v>45455</v>
      </c>
      <c r="B84" s="1314" t="s">
        <v>1058</v>
      </c>
      <c r="C84" s="1330"/>
      <c r="D84" s="1316">
        <v>0</v>
      </c>
      <c r="E84" s="1328">
        <v>300000</v>
      </c>
      <c r="F84" s="1317">
        <v>600000</v>
      </c>
      <c r="G84" s="1317">
        <v>921</v>
      </c>
      <c r="H84" s="1318">
        <v>0</v>
      </c>
      <c r="I84" s="1318">
        <v>325.73289902280129</v>
      </c>
      <c r="J84" s="1319" t="s">
        <v>21</v>
      </c>
      <c r="K84" s="1314" t="s">
        <v>166</v>
      </c>
      <c r="L84" s="1319" t="s">
        <v>45</v>
      </c>
      <c r="M84" s="1320" t="s">
        <v>47</v>
      </c>
      <c r="N84" s="640" t="s">
        <v>939</v>
      </c>
      <c r="O84" s="640" t="s">
        <v>83</v>
      </c>
      <c r="P84" s="638" t="s">
        <v>1027</v>
      </c>
      <c r="Q84" s="638" t="s">
        <v>141</v>
      </c>
      <c r="R84" s="638"/>
      <c r="S84" s="639" t="s">
        <v>84</v>
      </c>
      <c r="T84" s="638"/>
      <c r="U84" s="647" t="s">
        <v>24</v>
      </c>
    </row>
    <row r="85" spans="1:21" x14ac:dyDescent="0.25">
      <c r="A85" s="637">
        <v>45455</v>
      </c>
      <c r="B85" s="1314" t="s">
        <v>1059</v>
      </c>
      <c r="C85" s="1330"/>
      <c r="D85" s="1316">
        <v>0</v>
      </c>
      <c r="E85" s="1328">
        <v>100000</v>
      </c>
      <c r="F85" s="1317">
        <v>700000</v>
      </c>
      <c r="G85" s="1317">
        <v>921</v>
      </c>
      <c r="H85" s="1318">
        <v>0</v>
      </c>
      <c r="I85" s="1318">
        <v>108.57763300760044</v>
      </c>
      <c r="J85" s="1319" t="s">
        <v>21</v>
      </c>
      <c r="K85" s="1314" t="s">
        <v>166</v>
      </c>
      <c r="L85" s="1319" t="s">
        <v>45</v>
      </c>
      <c r="M85" s="1320" t="s">
        <v>47</v>
      </c>
      <c r="N85" s="640" t="s">
        <v>939</v>
      </c>
      <c r="O85" s="640" t="s">
        <v>83</v>
      </c>
      <c r="P85" s="638" t="s">
        <v>1027</v>
      </c>
      <c r="Q85" s="638" t="s">
        <v>141</v>
      </c>
      <c r="R85" s="638"/>
      <c r="S85" s="639" t="s">
        <v>84</v>
      </c>
      <c r="T85" s="638"/>
      <c r="U85" s="647" t="s">
        <v>24</v>
      </c>
    </row>
    <row r="86" spans="1:21" x14ac:dyDescent="0.25">
      <c r="A86" s="637">
        <v>45456</v>
      </c>
      <c r="B86" s="1314" t="s">
        <v>1060</v>
      </c>
      <c r="C86" s="1330"/>
      <c r="D86" s="1316">
        <v>0</v>
      </c>
      <c r="E86" s="1328">
        <v>300000</v>
      </c>
      <c r="F86" s="1317">
        <v>300000</v>
      </c>
      <c r="G86" s="1317">
        <v>921</v>
      </c>
      <c r="H86" s="1318">
        <v>0</v>
      </c>
      <c r="I86" s="1318">
        <v>325.73289902280129</v>
      </c>
      <c r="J86" s="1319" t="s">
        <v>21</v>
      </c>
      <c r="K86" s="1314" t="s">
        <v>166</v>
      </c>
      <c r="L86" s="1319" t="s">
        <v>45</v>
      </c>
      <c r="M86" s="1320" t="s">
        <v>47</v>
      </c>
      <c r="N86" s="640" t="s">
        <v>939</v>
      </c>
      <c r="O86" s="640" t="s">
        <v>83</v>
      </c>
      <c r="P86" s="638" t="s">
        <v>1027</v>
      </c>
      <c r="Q86" s="638" t="s">
        <v>141</v>
      </c>
      <c r="R86" s="638"/>
      <c r="S86" s="639" t="s">
        <v>84</v>
      </c>
      <c r="T86" s="638"/>
      <c r="U86" s="647" t="s">
        <v>24</v>
      </c>
    </row>
    <row r="87" spans="1:21" x14ac:dyDescent="0.25">
      <c r="A87" s="637">
        <v>45456</v>
      </c>
      <c r="B87" s="1314" t="s">
        <v>1061</v>
      </c>
      <c r="C87" s="1330"/>
      <c r="D87" s="1316">
        <v>0</v>
      </c>
      <c r="E87" s="1328">
        <v>200000</v>
      </c>
      <c r="F87" s="1317">
        <v>500000</v>
      </c>
      <c r="G87" s="1317">
        <v>921</v>
      </c>
      <c r="H87" s="1318">
        <v>0</v>
      </c>
      <c r="I87" s="1318">
        <v>217.15526601520088</v>
      </c>
      <c r="J87" s="1319" t="s">
        <v>21</v>
      </c>
      <c r="K87" s="1314" t="s">
        <v>166</v>
      </c>
      <c r="L87" s="1319" t="s">
        <v>45</v>
      </c>
      <c r="M87" s="1320" t="s">
        <v>47</v>
      </c>
      <c r="N87" s="640" t="s">
        <v>939</v>
      </c>
      <c r="O87" s="640" t="s">
        <v>83</v>
      </c>
      <c r="P87" s="638" t="s">
        <v>1027</v>
      </c>
      <c r="Q87" s="638" t="s">
        <v>141</v>
      </c>
      <c r="R87" s="638"/>
      <c r="S87" s="639" t="s">
        <v>84</v>
      </c>
      <c r="T87" s="638"/>
      <c r="U87" s="647" t="s">
        <v>24</v>
      </c>
    </row>
    <row r="88" spans="1:21" x14ac:dyDescent="0.25">
      <c r="A88" s="637">
        <v>45456</v>
      </c>
      <c r="B88" s="1314" t="s">
        <v>76</v>
      </c>
      <c r="C88" s="1316" t="s">
        <v>1062</v>
      </c>
      <c r="D88" s="1327">
        <v>507216.54</v>
      </c>
      <c r="E88" s="1327">
        <v>0</v>
      </c>
      <c r="F88" s="1317">
        <v>-3462452.24</v>
      </c>
      <c r="G88" s="1317">
        <v>938</v>
      </c>
      <c r="H88" s="1318">
        <v>540.74257995735604</v>
      </c>
      <c r="I88" s="1318">
        <v>0</v>
      </c>
      <c r="J88" s="1319" t="s">
        <v>21</v>
      </c>
      <c r="K88" s="1314" t="s">
        <v>22</v>
      </c>
      <c r="L88" s="1319" t="s">
        <v>45</v>
      </c>
      <c r="M88" s="1320" t="s">
        <v>47</v>
      </c>
      <c r="N88" s="640" t="s">
        <v>938</v>
      </c>
      <c r="O88" s="640" t="s">
        <v>136</v>
      </c>
      <c r="P88" s="640" t="s">
        <v>1030</v>
      </c>
      <c r="Q88" s="640" t="s">
        <v>137</v>
      </c>
      <c r="R88" s="639" t="s">
        <v>1031</v>
      </c>
      <c r="S88" s="639" t="s">
        <v>59</v>
      </c>
      <c r="T88" s="638"/>
      <c r="U88" s="647" t="s">
        <v>24</v>
      </c>
    </row>
    <row r="89" spans="1:21" x14ac:dyDescent="0.25">
      <c r="A89" s="637">
        <v>45457</v>
      </c>
      <c r="B89" s="1314" t="s">
        <v>1063</v>
      </c>
      <c r="C89" s="1330"/>
      <c r="D89" s="1327">
        <v>0</v>
      </c>
      <c r="E89" s="1316">
        <v>300000</v>
      </c>
      <c r="F89" s="1317">
        <v>300000</v>
      </c>
      <c r="G89" s="1317">
        <v>921</v>
      </c>
      <c r="H89" s="1318">
        <v>0</v>
      </c>
      <c r="I89" s="1318">
        <v>325.73289902280129</v>
      </c>
      <c r="J89" s="1319" t="s">
        <v>21</v>
      </c>
      <c r="K89" s="1314" t="s">
        <v>166</v>
      </c>
      <c r="L89" s="1319" t="s">
        <v>45</v>
      </c>
      <c r="M89" s="1320" t="s">
        <v>47</v>
      </c>
      <c r="N89" s="640" t="s">
        <v>939</v>
      </c>
      <c r="O89" s="640" t="s">
        <v>83</v>
      </c>
      <c r="P89" s="638" t="s">
        <v>1027</v>
      </c>
      <c r="Q89" s="638" t="s">
        <v>141</v>
      </c>
      <c r="R89" s="638"/>
      <c r="S89" s="639" t="s">
        <v>84</v>
      </c>
      <c r="T89" s="638"/>
      <c r="U89" s="647" t="s">
        <v>24</v>
      </c>
    </row>
    <row r="90" spans="1:21" x14ac:dyDescent="0.25">
      <c r="A90" s="637">
        <v>45457</v>
      </c>
      <c r="B90" s="1314" t="s">
        <v>1064</v>
      </c>
      <c r="C90" s="1330"/>
      <c r="D90" s="1327">
        <v>0</v>
      </c>
      <c r="E90" s="1316">
        <v>300000</v>
      </c>
      <c r="F90" s="1317">
        <v>600000</v>
      </c>
      <c r="G90" s="1317">
        <v>921</v>
      </c>
      <c r="H90" s="1318">
        <v>0</v>
      </c>
      <c r="I90" s="1318">
        <v>325.73289902280129</v>
      </c>
      <c r="J90" s="1319" t="s">
        <v>21</v>
      </c>
      <c r="K90" s="1314" t="s">
        <v>166</v>
      </c>
      <c r="L90" s="1319" t="s">
        <v>45</v>
      </c>
      <c r="M90" s="1320" t="s">
        <v>47</v>
      </c>
      <c r="N90" s="640" t="s">
        <v>939</v>
      </c>
      <c r="O90" s="640" t="s">
        <v>83</v>
      </c>
      <c r="P90" s="638" t="s">
        <v>1027</v>
      </c>
      <c r="Q90" s="638" t="s">
        <v>141</v>
      </c>
      <c r="R90" s="638"/>
      <c r="S90" s="639" t="s">
        <v>84</v>
      </c>
      <c r="T90" s="638"/>
      <c r="U90" s="647" t="s">
        <v>24</v>
      </c>
    </row>
    <row r="91" spans="1:21" x14ac:dyDescent="0.25">
      <c r="A91" s="637">
        <v>45457</v>
      </c>
      <c r="B91" s="1314" t="s">
        <v>1065</v>
      </c>
      <c r="C91" s="1330"/>
      <c r="D91" s="1327">
        <v>0</v>
      </c>
      <c r="E91" s="1316">
        <v>30000</v>
      </c>
      <c r="F91" s="1317">
        <v>630000</v>
      </c>
      <c r="G91" s="1317">
        <v>921</v>
      </c>
      <c r="H91" s="1318">
        <v>0</v>
      </c>
      <c r="I91" s="1318">
        <v>32.573289902280131</v>
      </c>
      <c r="J91" s="1319" t="s">
        <v>21</v>
      </c>
      <c r="K91" s="1314" t="s">
        <v>166</v>
      </c>
      <c r="L91" s="1319" t="s">
        <v>45</v>
      </c>
      <c r="M91" s="1320" t="s">
        <v>47</v>
      </c>
      <c r="N91" s="640" t="s">
        <v>939</v>
      </c>
      <c r="O91" s="640" t="s">
        <v>83</v>
      </c>
      <c r="P91" s="638" t="s">
        <v>1027</v>
      </c>
      <c r="Q91" s="638" t="s">
        <v>141</v>
      </c>
      <c r="R91" s="638"/>
      <c r="S91" s="639" t="s">
        <v>84</v>
      </c>
      <c r="T91" s="638"/>
      <c r="U91" s="647" t="s">
        <v>24</v>
      </c>
    </row>
    <row r="92" spans="1:21" x14ac:dyDescent="0.25">
      <c r="A92" s="644">
        <v>45457</v>
      </c>
      <c r="B92" s="1323" t="s">
        <v>25</v>
      </c>
      <c r="C92" s="1324"/>
      <c r="D92" s="1321">
        <v>0</v>
      </c>
      <c r="E92" s="1321">
        <v>339000</v>
      </c>
      <c r="F92" s="1334">
        <v>0</v>
      </c>
      <c r="G92" s="1334">
        <v>938</v>
      </c>
      <c r="H92" s="1318">
        <v>0</v>
      </c>
      <c r="I92" s="1318">
        <v>361.40724946695099</v>
      </c>
      <c r="J92" s="1325" t="s">
        <v>21</v>
      </c>
      <c r="K92" s="1314" t="s">
        <v>26</v>
      </c>
      <c r="L92" s="1319" t="s">
        <v>26</v>
      </c>
      <c r="M92" s="1326" t="s">
        <v>47</v>
      </c>
      <c r="N92" s="646" t="s">
        <v>939</v>
      </c>
      <c r="O92" s="646" t="s">
        <v>83</v>
      </c>
      <c r="P92" s="646" t="s">
        <v>1027</v>
      </c>
      <c r="Q92" s="641" t="s">
        <v>141</v>
      </c>
      <c r="R92" s="1121"/>
      <c r="S92" s="1121" t="s">
        <v>84</v>
      </c>
      <c r="T92" s="641"/>
      <c r="U92" s="647" t="s">
        <v>24</v>
      </c>
    </row>
    <row r="93" spans="1:21" x14ac:dyDescent="0.25">
      <c r="A93" s="644">
        <v>45457</v>
      </c>
      <c r="B93" s="1323" t="s">
        <v>25</v>
      </c>
      <c r="C93" s="1324"/>
      <c r="D93" s="1321">
        <v>0</v>
      </c>
      <c r="E93" s="1321">
        <v>1261000</v>
      </c>
      <c r="F93" s="1334">
        <v>0</v>
      </c>
      <c r="G93" s="1334">
        <v>938</v>
      </c>
      <c r="H93" s="1318">
        <v>0</v>
      </c>
      <c r="I93" s="1318">
        <v>1344.3496801705758</v>
      </c>
      <c r="J93" s="1325" t="s">
        <v>21</v>
      </c>
      <c r="K93" s="1314" t="s">
        <v>26</v>
      </c>
      <c r="L93" s="1319" t="s">
        <v>26</v>
      </c>
      <c r="M93" s="1326" t="s">
        <v>47</v>
      </c>
      <c r="N93" s="646" t="s">
        <v>939</v>
      </c>
      <c r="O93" s="646" t="s">
        <v>83</v>
      </c>
      <c r="P93" s="646" t="s">
        <v>1027</v>
      </c>
      <c r="Q93" s="641" t="s">
        <v>141</v>
      </c>
      <c r="R93" s="1121"/>
      <c r="S93" s="1121" t="s">
        <v>84</v>
      </c>
      <c r="T93" s="641"/>
      <c r="U93" s="647" t="s">
        <v>24</v>
      </c>
    </row>
    <row r="94" spans="1:21" x14ac:dyDescent="0.25">
      <c r="A94" s="644">
        <v>45457</v>
      </c>
      <c r="B94" s="1323" t="s">
        <v>25</v>
      </c>
      <c r="C94" s="1324"/>
      <c r="D94" s="1321">
        <v>0</v>
      </c>
      <c r="E94" s="1321">
        <v>400000</v>
      </c>
      <c r="F94" s="1334">
        <v>0</v>
      </c>
      <c r="G94" s="1334">
        <v>938</v>
      </c>
      <c r="H94" s="1318">
        <v>0</v>
      </c>
      <c r="I94" s="1318">
        <v>426.43923240938165</v>
      </c>
      <c r="J94" s="1325" t="s">
        <v>21</v>
      </c>
      <c r="K94" s="1314" t="s">
        <v>26</v>
      </c>
      <c r="L94" s="1319" t="s">
        <v>26</v>
      </c>
      <c r="M94" s="1326" t="s">
        <v>47</v>
      </c>
      <c r="N94" s="646" t="s">
        <v>939</v>
      </c>
      <c r="O94" s="646" t="s">
        <v>83</v>
      </c>
      <c r="P94" s="646" t="s">
        <v>1027</v>
      </c>
      <c r="Q94" s="641" t="s">
        <v>141</v>
      </c>
      <c r="R94" s="1121"/>
      <c r="S94" s="1121" t="s">
        <v>84</v>
      </c>
      <c r="T94" s="641"/>
      <c r="U94" s="647" t="s">
        <v>24</v>
      </c>
    </row>
    <row r="95" spans="1:21" x14ac:dyDescent="0.25">
      <c r="A95" s="644">
        <v>45457</v>
      </c>
      <c r="B95" s="1323" t="s">
        <v>25</v>
      </c>
      <c r="C95" s="1324"/>
      <c r="D95" s="1321">
        <v>0</v>
      </c>
      <c r="E95" s="1321">
        <v>1549000</v>
      </c>
      <c r="F95" s="1334">
        <v>0</v>
      </c>
      <c r="G95" s="1334">
        <v>938</v>
      </c>
      <c r="H95" s="1318">
        <v>0</v>
      </c>
      <c r="I95" s="1318">
        <v>1651.3859275053305</v>
      </c>
      <c r="J95" s="1325" t="s">
        <v>21</v>
      </c>
      <c r="K95" s="1314" t="s">
        <v>26</v>
      </c>
      <c r="L95" s="1319" t="s">
        <v>26</v>
      </c>
      <c r="M95" s="1326" t="s">
        <v>47</v>
      </c>
      <c r="N95" s="646" t="s">
        <v>939</v>
      </c>
      <c r="O95" s="646" t="s">
        <v>83</v>
      </c>
      <c r="P95" s="646" t="s">
        <v>1027</v>
      </c>
      <c r="Q95" s="641" t="s">
        <v>141</v>
      </c>
      <c r="R95" s="1121"/>
      <c r="S95" s="1121" t="s">
        <v>84</v>
      </c>
      <c r="T95" s="641"/>
      <c r="U95" s="647" t="s">
        <v>24</v>
      </c>
    </row>
    <row r="96" spans="1:21" x14ac:dyDescent="0.25">
      <c r="A96" s="644">
        <v>45457</v>
      </c>
      <c r="B96" s="1323" t="s">
        <v>25</v>
      </c>
      <c r="C96" s="1324"/>
      <c r="D96" s="1321">
        <v>0</v>
      </c>
      <c r="E96" s="1321">
        <v>600000</v>
      </c>
      <c r="F96" s="1334">
        <v>0</v>
      </c>
      <c r="G96" s="1334">
        <v>938</v>
      </c>
      <c r="H96" s="1318">
        <v>0</v>
      </c>
      <c r="I96" s="1318">
        <v>639.65884861407244</v>
      </c>
      <c r="J96" s="1325" t="s">
        <v>21</v>
      </c>
      <c r="K96" s="1314" t="s">
        <v>26</v>
      </c>
      <c r="L96" s="1319" t="s">
        <v>26</v>
      </c>
      <c r="M96" s="1326" t="s">
        <v>47</v>
      </c>
      <c r="N96" s="646" t="s">
        <v>939</v>
      </c>
      <c r="O96" s="646" t="s">
        <v>83</v>
      </c>
      <c r="P96" s="646" t="s">
        <v>1027</v>
      </c>
      <c r="Q96" s="641" t="s">
        <v>141</v>
      </c>
      <c r="R96" s="1121"/>
      <c r="S96" s="1121" t="s">
        <v>84</v>
      </c>
      <c r="T96" s="641"/>
      <c r="U96" s="647" t="s">
        <v>24</v>
      </c>
    </row>
    <row r="97" spans="1:21" x14ac:dyDescent="0.25">
      <c r="A97" s="644">
        <v>45457</v>
      </c>
      <c r="B97" s="1323" t="s">
        <v>25</v>
      </c>
      <c r="C97" s="1324"/>
      <c r="D97" s="1321">
        <v>0</v>
      </c>
      <c r="E97" s="1321">
        <v>1251759</v>
      </c>
      <c r="F97" s="1334">
        <v>0</v>
      </c>
      <c r="G97" s="1334">
        <v>938</v>
      </c>
      <c r="H97" s="1318">
        <v>0</v>
      </c>
      <c r="I97" s="1318">
        <v>1334.4978678038381</v>
      </c>
      <c r="J97" s="1325" t="s">
        <v>21</v>
      </c>
      <c r="K97" s="1314" t="s">
        <v>26</v>
      </c>
      <c r="L97" s="1319" t="s">
        <v>26</v>
      </c>
      <c r="M97" s="1326" t="s">
        <v>47</v>
      </c>
      <c r="N97" s="646" t="s">
        <v>939</v>
      </c>
      <c r="O97" s="646" t="s">
        <v>83</v>
      </c>
      <c r="P97" s="646" t="s">
        <v>1027</v>
      </c>
      <c r="Q97" s="641" t="s">
        <v>141</v>
      </c>
      <c r="R97" s="1121"/>
      <c r="S97" s="1121" t="s">
        <v>84</v>
      </c>
      <c r="T97" s="641"/>
      <c r="U97" s="647" t="s">
        <v>24</v>
      </c>
    </row>
    <row r="98" spans="1:21" x14ac:dyDescent="0.25">
      <c r="A98" s="644">
        <v>45458</v>
      </c>
      <c r="B98" s="1323" t="s">
        <v>25</v>
      </c>
      <c r="C98" s="1324"/>
      <c r="D98" s="1321">
        <v>0</v>
      </c>
      <c r="E98" s="1321">
        <v>140000</v>
      </c>
      <c r="F98" s="1334">
        <v>0</v>
      </c>
      <c r="G98" s="1334">
        <v>938</v>
      </c>
      <c r="H98" s="1318">
        <v>0</v>
      </c>
      <c r="I98" s="1318">
        <v>149.25373134328359</v>
      </c>
      <c r="J98" s="1325" t="s">
        <v>21</v>
      </c>
      <c r="K98" s="1314" t="s">
        <v>26</v>
      </c>
      <c r="L98" s="1319" t="s">
        <v>26</v>
      </c>
      <c r="M98" s="1326" t="s">
        <v>47</v>
      </c>
      <c r="N98" s="646" t="s">
        <v>939</v>
      </c>
      <c r="O98" s="646" t="s">
        <v>83</v>
      </c>
      <c r="P98" s="646" t="s">
        <v>1027</v>
      </c>
      <c r="Q98" s="641" t="s">
        <v>141</v>
      </c>
      <c r="R98" s="1121"/>
      <c r="S98" s="1121" t="s">
        <v>84</v>
      </c>
      <c r="T98" s="641"/>
      <c r="U98" s="647" t="s">
        <v>24</v>
      </c>
    </row>
    <row r="99" spans="1:21" x14ac:dyDescent="0.25">
      <c r="A99" s="644">
        <v>45458</v>
      </c>
      <c r="B99" s="1323" t="s">
        <v>25</v>
      </c>
      <c r="C99" s="1324"/>
      <c r="D99" s="1321">
        <v>0</v>
      </c>
      <c r="E99" s="1321">
        <v>43000</v>
      </c>
      <c r="F99" s="1334">
        <v>0</v>
      </c>
      <c r="G99" s="1334">
        <v>938</v>
      </c>
      <c r="H99" s="1318">
        <v>0</v>
      </c>
      <c r="I99" s="1318">
        <v>45.842217484008529</v>
      </c>
      <c r="J99" s="1325" t="s">
        <v>21</v>
      </c>
      <c r="K99" s="1314" t="s">
        <v>26</v>
      </c>
      <c r="L99" s="1319" t="s">
        <v>26</v>
      </c>
      <c r="M99" s="1326" t="s">
        <v>47</v>
      </c>
      <c r="N99" s="646" t="s">
        <v>939</v>
      </c>
      <c r="O99" s="646" t="s">
        <v>83</v>
      </c>
      <c r="P99" s="646" t="s">
        <v>1027</v>
      </c>
      <c r="Q99" s="641" t="s">
        <v>141</v>
      </c>
      <c r="R99" s="1121"/>
      <c r="S99" s="1121" t="s">
        <v>84</v>
      </c>
      <c r="T99" s="641"/>
      <c r="U99" s="647" t="s">
        <v>24</v>
      </c>
    </row>
    <row r="100" spans="1:21" x14ac:dyDescent="0.25">
      <c r="A100" s="644">
        <v>45459</v>
      </c>
      <c r="B100" s="1323" t="s">
        <v>25</v>
      </c>
      <c r="C100" s="1324"/>
      <c r="D100" s="1321">
        <v>0</v>
      </c>
      <c r="E100" s="1321">
        <v>189000</v>
      </c>
      <c r="F100" s="1334">
        <v>0</v>
      </c>
      <c r="G100" s="1334">
        <v>938</v>
      </c>
      <c r="H100" s="1318">
        <v>0</v>
      </c>
      <c r="I100" s="1318">
        <v>201.49253731343285</v>
      </c>
      <c r="J100" s="1325"/>
      <c r="K100" s="1314"/>
      <c r="L100" s="1319"/>
      <c r="M100" s="1326" t="s">
        <v>47</v>
      </c>
      <c r="N100" s="646" t="s">
        <v>939</v>
      </c>
      <c r="O100" s="646" t="s">
        <v>83</v>
      </c>
      <c r="P100" s="646" t="s">
        <v>1027</v>
      </c>
      <c r="Q100" s="641" t="s">
        <v>141</v>
      </c>
      <c r="R100" s="1121"/>
      <c r="S100" s="1121" t="s">
        <v>84</v>
      </c>
      <c r="T100" s="641"/>
      <c r="U100" s="647" t="s">
        <v>24</v>
      </c>
    </row>
    <row r="101" spans="1:21" x14ac:dyDescent="0.25">
      <c r="A101" s="644">
        <v>45459</v>
      </c>
      <c r="B101" s="1323" t="s">
        <v>25</v>
      </c>
      <c r="C101" s="1324"/>
      <c r="D101" s="1321">
        <v>0</v>
      </c>
      <c r="E101" s="1321">
        <v>30000</v>
      </c>
      <c r="F101" s="1334">
        <v>0</v>
      </c>
      <c r="G101" s="1334">
        <v>938</v>
      </c>
      <c r="H101" s="1318">
        <v>0</v>
      </c>
      <c r="I101" s="1318">
        <v>31.982942430703623</v>
      </c>
      <c r="J101" s="1325"/>
      <c r="K101" s="1314"/>
      <c r="L101" s="1319"/>
      <c r="M101" s="1326" t="s">
        <v>47</v>
      </c>
      <c r="N101" s="646" t="s">
        <v>939</v>
      </c>
      <c r="O101" s="646" t="s">
        <v>83</v>
      </c>
      <c r="P101" s="646" t="s">
        <v>1027</v>
      </c>
      <c r="Q101" s="641" t="s">
        <v>141</v>
      </c>
      <c r="R101" s="1121"/>
      <c r="S101" s="1121" t="s">
        <v>84</v>
      </c>
      <c r="T101" s="641"/>
      <c r="U101" s="647" t="s">
        <v>24</v>
      </c>
    </row>
    <row r="102" spans="1:21" x14ac:dyDescent="0.25">
      <c r="A102" s="644">
        <v>45459</v>
      </c>
      <c r="B102" s="1323" t="s">
        <v>25</v>
      </c>
      <c r="C102" s="1324"/>
      <c r="D102" s="1321">
        <v>0</v>
      </c>
      <c r="E102" s="1321">
        <v>300000</v>
      </c>
      <c r="F102" s="1334">
        <v>0</v>
      </c>
      <c r="G102" s="1334">
        <v>938</v>
      </c>
      <c r="H102" s="1318">
        <v>0</v>
      </c>
      <c r="I102" s="1318">
        <v>319.82942430703622</v>
      </c>
      <c r="J102" s="1325"/>
      <c r="K102" s="1314"/>
      <c r="L102" s="1319"/>
      <c r="M102" s="1326" t="s">
        <v>47</v>
      </c>
      <c r="N102" s="646" t="s">
        <v>939</v>
      </c>
      <c r="O102" s="646" t="s">
        <v>83</v>
      </c>
      <c r="P102" s="646" t="s">
        <v>1027</v>
      </c>
      <c r="Q102" s="641" t="s">
        <v>141</v>
      </c>
      <c r="R102" s="1121"/>
      <c r="S102" s="1121" t="s">
        <v>84</v>
      </c>
      <c r="T102" s="641"/>
      <c r="U102" s="647" t="s">
        <v>24</v>
      </c>
    </row>
    <row r="103" spans="1:21" x14ac:dyDescent="0.25">
      <c r="A103" s="644">
        <v>45459</v>
      </c>
      <c r="B103" s="1323" t="s">
        <v>25</v>
      </c>
      <c r="C103" s="1324"/>
      <c r="D103" s="1321">
        <v>0</v>
      </c>
      <c r="E103" s="1321">
        <v>70000</v>
      </c>
      <c r="F103" s="1334">
        <v>0</v>
      </c>
      <c r="G103" s="1334">
        <v>938</v>
      </c>
      <c r="H103" s="1318">
        <v>0</v>
      </c>
      <c r="I103" s="1318">
        <v>74.626865671641795</v>
      </c>
      <c r="J103" s="1325"/>
      <c r="K103" s="1314"/>
      <c r="L103" s="1319"/>
      <c r="M103" s="1326" t="s">
        <v>47</v>
      </c>
      <c r="N103" s="646" t="s">
        <v>939</v>
      </c>
      <c r="O103" s="646" t="s">
        <v>83</v>
      </c>
      <c r="P103" s="646" t="s">
        <v>1027</v>
      </c>
      <c r="Q103" s="641" t="s">
        <v>141</v>
      </c>
      <c r="R103" s="1121"/>
      <c r="S103" s="1121" t="s">
        <v>84</v>
      </c>
      <c r="T103" s="641"/>
      <c r="U103" s="647" t="s">
        <v>24</v>
      </c>
    </row>
    <row r="104" spans="1:21" x14ac:dyDescent="0.25">
      <c r="A104" s="637">
        <v>45462</v>
      </c>
      <c r="B104" s="1314" t="s">
        <v>1066</v>
      </c>
      <c r="C104" s="1340"/>
      <c r="D104" s="1316">
        <v>0</v>
      </c>
      <c r="E104" s="1316">
        <v>160000</v>
      </c>
      <c r="F104" s="1341">
        <v>-2993982.6</v>
      </c>
      <c r="G104" s="1341">
        <v>938</v>
      </c>
      <c r="H104" s="1318">
        <v>0</v>
      </c>
      <c r="I104" s="1318">
        <v>170.57569296375266</v>
      </c>
      <c r="J104" s="1319" t="s">
        <v>21</v>
      </c>
      <c r="K104" s="1314" t="s">
        <v>22</v>
      </c>
      <c r="L104" s="1319" t="s">
        <v>45</v>
      </c>
      <c r="M104" s="1320" t="s">
        <v>47</v>
      </c>
      <c r="N104" s="640" t="s">
        <v>939</v>
      </c>
      <c r="O104" s="640" t="s">
        <v>83</v>
      </c>
      <c r="P104" s="640" t="s">
        <v>1027</v>
      </c>
      <c r="Q104" s="640" t="s">
        <v>141</v>
      </c>
      <c r="R104" s="1121"/>
      <c r="S104" s="1121" t="s">
        <v>84</v>
      </c>
      <c r="T104" s="638"/>
      <c r="U104" s="647" t="s">
        <v>24</v>
      </c>
    </row>
    <row r="105" spans="1:21" x14ac:dyDescent="0.25">
      <c r="A105" s="637">
        <v>45467</v>
      </c>
      <c r="B105" s="1314" t="s">
        <v>1005</v>
      </c>
      <c r="C105" s="1314" t="s">
        <v>1067</v>
      </c>
      <c r="D105" s="1316">
        <v>514246.48</v>
      </c>
      <c r="E105" s="1316">
        <v>0</v>
      </c>
      <c r="F105" s="1317">
        <v>-1782782</v>
      </c>
      <c r="G105" s="1317">
        <v>921</v>
      </c>
      <c r="H105" s="1318">
        <v>558.35665580890338</v>
      </c>
      <c r="I105" s="1318">
        <v>0</v>
      </c>
      <c r="J105" s="1319" t="s">
        <v>21</v>
      </c>
      <c r="K105" s="1314" t="s">
        <v>22</v>
      </c>
      <c r="L105" s="1319" t="s">
        <v>27</v>
      </c>
      <c r="M105" s="1320" t="s">
        <v>47</v>
      </c>
      <c r="N105" s="640" t="s">
        <v>938</v>
      </c>
      <c r="O105" s="640" t="s">
        <v>82</v>
      </c>
      <c r="P105" s="638"/>
      <c r="Q105" s="638" t="s">
        <v>970</v>
      </c>
      <c r="R105" s="1515" t="s">
        <v>1068</v>
      </c>
      <c r="S105" s="1515" t="s">
        <v>59</v>
      </c>
      <c r="T105" s="638"/>
      <c r="U105" s="647" t="s">
        <v>24</v>
      </c>
    </row>
    <row r="106" spans="1:21" x14ac:dyDescent="0.25">
      <c r="A106" s="637">
        <v>45467</v>
      </c>
      <c r="B106" s="1314" t="s">
        <v>1005</v>
      </c>
      <c r="C106" s="1314" t="s">
        <v>1069</v>
      </c>
      <c r="D106" s="1316">
        <v>550000</v>
      </c>
      <c r="E106" s="1316">
        <v>0</v>
      </c>
      <c r="F106" s="1317">
        <v>-2332782</v>
      </c>
      <c r="G106" s="1317">
        <v>921</v>
      </c>
      <c r="H106" s="1318">
        <v>597.17698154180243</v>
      </c>
      <c r="I106" s="1318">
        <v>0</v>
      </c>
      <c r="J106" s="1319" t="s">
        <v>21</v>
      </c>
      <c r="K106" s="1314" t="s">
        <v>22</v>
      </c>
      <c r="L106" s="1319" t="s">
        <v>27</v>
      </c>
      <c r="M106" s="1320" t="s">
        <v>47</v>
      </c>
      <c r="N106" s="640" t="s">
        <v>938</v>
      </c>
      <c r="O106" s="640" t="s">
        <v>82</v>
      </c>
      <c r="P106" s="638"/>
      <c r="Q106" s="638" t="s">
        <v>970</v>
      </c>
      <c r="R106" s="1515" t="s">
        <v>1068</v>
      </c>
      <c r="S106" s="1515" t="s">
        <v>59</v>
      </c>
      <c r="T106" s="638"/>
      <c r="U106" s="647" t="s">
        <v>24</v>
      </c>
    </row>
    <row r="107" spans="1:21" x14ac:dyDescent="0.25">
      <c r="A107" s="637">
        <v>45467</v>
      </c>
      <c r="B107" s="1314" t="s">
        <v>1005</v>
      </c>
      <c r="C107" s="1314" t="s">
        <v>1070</v>
      </c>
      <c r="D107" s="1316">
        <v>550000</v>
      </c>
      <c r="E107" s="1316">
        <v>0</v>
      </c>
      <c r="F107" s="1317">
        <v>-2882782</v>
      </c>
      <c r="G107" s="1317">
        <v>921</v>
      </c>
      <c r="H107" s="1318">
        <v>597.17698154180243</v>
      </c>
      <c r="I107" s="1318">
        <v>0</v>
      </c>
      <c r="J107" s="1319" t="s">
        <v>21</v>
      </c>
      <c r="K107" s="1314" t="s">
        <v>22</v>
      </c>
      <c r="L107" s="1319" t="s">
        <v>27</v>
      </c>
      <c r="M107" s="1320" t="s">
        <v>47</v>
      </c>
      <c r="N107" s="640" t="s">
        <v>938</v>
      </c>
      <c r="O107" s="640" t="s">
        <v>82</v>
      </c>
      <c r="P107" s="638"/>
      <c r="Q107" s="638" t="s">
        <v>970</v>
      </c>
      <c r="R107" s="1515" t="s">
        <v>1068</v>
      </c>
      <c r="S107" s="1515" t="s">
        <v>59</v>
      </c>
      <c r="T107" s="638"/>
      <c r="U107" s="647" t="s">
        <v>24</v>
      </c>
    </row>
    <row r="108" spans="1:21" x14ac:dyDescent="0.25">
      <c r="A108" s="637">
        <v>45468</v>
      </c>
      <c r="B108" s="1314" t="s">
        <v>69</v>
      </c>
      <c r="C108" s="1340" t="s">
        <v>1071</v>
      </c>
      <c r="D108" s="1316">
        <v>565800</v>
      </c>
      <c r="E108" s="1316">
        <v>0</v>
      </c>
      <c r="F108" s="1341">
        <v>-3975864.14</v>
      </c>
      <c r="G108" s="1341">
        <v>938</v>
      </c>
      <c r="H108" s="1318">
        <v>603.19829424307034</v>
      </c>
      <c r="I108" s="1318">
        <v>0</v>
      </c>
      <c r="J108" s="1319" t="s">
        <v>21</v>
      </c>
      <c r="K108" s="1314" t="s">
        <v>22</v>
      </c>
      <c r="L108" s="1319" t="s">
        <v>45</v>
      </c>
      <c r="M108" s="1320" t="s">
        <v>47</v>
      </c>
      <c r="N108" s="640" t="s">
        <v>939</v>
      </c>
      <c r="O108" s="640" t="s">
        <v>77</v>
      </c>
      <c r="P108" s="640" t="s">
        <v>171</v>
      </c>
      <c r="Q108" s="640" t="s">
        <v>968</v>
      </c>
      <c r="R108" s="1121" t="s">
        <v>43</v>
      </c>
      <c r="S108" s="1121" t="s">
        <v>44</v>
      </c>
      <c r="T108" s="638"/>
      <c r="U108" s="647" t="s">
        <v>24</v>
      </c>
    </row>
    <row r="109" spans="1:21" x14ac:dyDescent="0.25">
      <c r="A109" s="637">
        <v>45468</v>
      </c>
      <c r="B109" s="1314" t="s">
        <v>1072</v>
      </c>
      <c r="C109" s="1340"/>
      <c r="D109" s="1316">
        <v>0</v>
      </c>
      <c r="E109" s="1316">
        <v>42946610</v>
      </c>
      <c r="F109" s="1341">
        <v>47772696.789999999</v>
      </c>
      <c r="G109" s="1341">
        <v>938</v>
      </c>
      <c r="H109" s="1318">
        <v>0</v>
      </c>
      <c r="I109" s="1318">
        <v>45785.298507462685</v>
      </c>
      <c r="J109" s="1319" t="s">
        <v>21</v>
      </c>
      <c r="K109" s="1314" t="s">
        <v>22</v>
      </c>
      <c r="L109" s="1319" t="s">
        <v>45</v>
      </c>
      <c r="M109" s="1320" t="s">
        <v>47</v>
      </c>
      <c r="N109" s="640" t="s">
        <v>939</v>
      </c>
      <c r="O109" s="640" t="s">
        <v>83</v>
      </c>
      <c r="P109" s="640" t="s">
        <v>1073</v>
      </c>
      <c r="Q109" s="640" t="s">
        <v>141</v>
      </c>
      <c r="R109" s="1121"/>
      <c r="S109" s="1121" t="s">
        <v>84</v>
      </c>
      <c r="T109" s="638"/>
      <c r="U109" s="647" t="s">
        <v>24</v>
      </c>
    </row>
    <row r="110" spans="1:21" x14ac:dyDescent="0.25">
      <c r="A110" s="637">
        <v>45469</v>
      </c>
      <c r="B110" s="1314" t="s">
        <v>96</v>
      </c>
      <c r="C110" s="1340"/>
      <c r="D110" s="1316">
        <v>1925110</v>
      </c>
      <c r="E110" s="1316">
        <v>0</v>
      </c>
      <c r="F110" s="1341">
        <v>37196758.899999999</v>
      </c>
      <c r="G110" s="1341">
        <v>938</v>
      </c>
      <c r="H110" s="1318">
        <v>2052.356076759062</v>
      </c>
      <c r="I110" s="1318">
        <v>0</v>
      </c>
      <c r="J110" s="1319" t="s">
        <v>21</v>
      </c>
      <c r="K110" s="1314" t="s">
        <v>22</v>
      </c>
      <c r="L110" s="1319" t="s">
        <v>45</v>
      </c>
      <c r="M110" s="1320" t="s">
        <v>47</v>
      </c>
      <c r="N110" s="640" t="s">
        <v>938</v>
      </c>
      <c r="O110" s="640" t="s">
        <v>94</v>
      </c>
      <c r="P110" s="640"/>
      <c r="Q110" s="640" t="s">
        <v>1074</v>
      </c>
      <c r="R110" s="1121" t="s">
        <v>1075</v>
      </c>
      <c r="S110" s="1121" t="s">
        <v>59</v>
      </c>
      <c r="T110" s="638"/>
      <c r="U110" s="647" t="s">
        <v>24</v>
      </c>
    </row>
    <row r="111" spans="1:21" x14ac:dyDescent="0.25">
      <c r="A111" s="637">
        <v>45469</v>
      </c>
      <c r="B111" s="1314" t="s">
        <v>96</v>
      </c>
      <c r="C111" s="1340"/>
      <c r="D111" s="1316">
        <v>1361250</v>
      </c>
      <c r="E111" s="1316">
        <v>0</v>
      </c>
      <c r="F111" s="1341">
        <v>39121989.899999999</v>
      </c>
      <c r="G111" s="1341">
        <v>938</v>
      </c>
      <c r="H111" s="1318">
        <v>1451.226012793177</v>
      </c>
      <c r="I111" s="1318">
        <v>0</v>
      </c>
      <c r="J111" s="1319" t="s">
        <v>21</v>
      </c>
      <c r="K111" s="1314" t="s">
        <v>22</v>
      </c>
      <c r="L111" s="1319" t="s">
        <v>45</v>
      </c>
      <c r="M111" s="1320" t="s">
        <v>47</v>
      </c>
      <c r="N111" s="640" t="s">
        <v>938</v>
      </c>
      <c r="O111" s="640" t="s">
        <v>94</v>
      </c>
      <c r="P111" s="640"/>
      <c r="Q111" s="640" t="s">
        <v>1076</v>
      </c>
      <c r="R111" s="1121" t="s">
        <v>1077</v>
      </c>
      <c r="S111" s="1121" t="s">
        <v>59</v>
      </c>
      <c r="T111" s="638"/>
      <c r="U111" s="647" t="s">
        <v>24</v>
      </c>
    </row>
    <row r="112" spans="1:21" x14ac:dyDescent="0.25">
      <c r="A112" s="637">
        <v>45469</v>
      </c>
      <c r="B112" s="1314" t="s">
        <v>96</v>
      </c>
      <c r="C112" s="1340"/>
      <c r="D112" s="1316">
        <v>1005336</v>
      </c>
      <c r="E112" s="1316">
        <v>0</v>
      </c>
      <c r="F112" s="1341">
        <v>42641033.780000001</v>
      </c>
      <c r="G112" s="1341">
        <v>938</v>
      </c>
      <c r="H112" s="1318">
        <v>1071.7867803837953</v>
      </c>
      <c r="I112" s="1318">
        <v>0</v>
      </c>
      <c r="J112" s="1319" t="s">
        <v>21</v>
      </c>
      <c r="K112" s="1314" t="s">
        <v>22</v>
      </c>
      <c r="L112" s="1319" t="s">
        <v>45</v>
      </c>
      <c r="M112" s="1320" t="s">
        <v>47</v>
      </c>
      <c r="N112" s="640" t="s">
        <v>938</v>
      </c>
      <c r="O112" s="640" t="s">
        <v>48</v>
      </c>
      <c r="P112" s="640" t="s">
        <v>939</v>
      </c>
      <c r="Q112" s="640" t="s">
        <v>954</v>
      </c>
      <c r="R112" s="1121" t="s">
        <v>1078</v>
      </c>
      <c r="S112" s="1121" t="s">
        <v>59</v>
      </c>
      <c r="T112" s="638"/>
      <c r="U112" s="647" t="s">
        <v>24</v>
      </c>
    </row>
    <row r="113" spans="1:21" x14ac:dyDescent="0.25">
      <c r="A113" s="637">
        <v>45469</v>
      </c>
      <c r="B113" s="1314" t="s">
        <v>96</v>
      </c>
      <c r="C113" s="1340"/>
      <c r="D113" s="1316">
        <v>3225741</v>
      </c>
      <c r="E113" s="1316">
        <v>0</v>
      </c>
      <c r="F113" s="1341">
        <v>43646490.780000001</v>
      </c>
      <c r="G113" s="1341">
        <v>938</v>
      </c>
      <c r="H113" s="1318">
        <v>3438.9562899786779</v>
      </c>
      <c r="I113" s="1318">
        <v>0</v>
      </c>
      <c r="J113" s="1319" t="s">
        <v>21</v>
      </c>
      <c r="K113" s="1314" t="s">
        <v>22</v>
      </c>
      <c r="L113" s="1319" t="s">
        <v>45</v>
      </c>
      <c r="M113" s="1320" t="s">
        <v>47</v>
      </c>
      <c r="N113" s="640" t="s">
        <v>938</v>
      </c>
      <c r="O113" s="640" t="s">
        <v>48</v>
      </c>
      <c r="P113" s="640" t="s">
        <v>939</v>
      </c>
      <c r="Q113" s="638" t="s">
        <v>945</v>
      </c>
      <c r="R113" s="1121"/>
      <c r="S113" s="1121" t="s">
        <v>59</v>
      </c>
      <c r="T113" s="638"/>
      <c r="U113" s="647" t="s">
        <v>24</v>
      </c>
    </row>
    <row r="114" spans="1:21" x14ac:dyDescent="0.25">
      <c r="A114" s="637">
        <v>45471</v>
      </c>
      <c r="B114" s="1314" t="s">
        <v>1072</v>
      </c>
      <c r="C114" s="1340"/>
      <c r="D114" s="1316">
        <v>0</v>
      </c>
      <c r="E114" s="1316">
        <v>38229432.5</v>
      </c>
      <c r="F114" s="1341">
        <v>65915396.170000002</v>
      </c>
      <c r="G114" s="1341">
        <v>938</v>
      </c>
      <c r="H114" s="1318">
        <v>0</v>
      </c>
      <c r="I114" s="1318">
        <v>40756.324626865673</v>
      </c>
      <c r="J114" s="1319" t="s">
        <v>21</v>
      </c>
      <c r="K114" s="1314" t="s">
        <v>22</v>
      </c>
      <c r="L114" s="1319" t="s">
        <v>45</v>
      </c>
      <c r="M114" s="1320" t="s">
        <v>47</v>
      </c>
      <c r="N114" s="640" t="s">
        <v>939</v>
      </c>
      <c r="O114" s="640" t="s">
        <v>83</v>
      </c>
      <c r="P114" s="640" t="s">
        <v>1079</v>
      </c>
      <c r="Q114" s="640" t="s">
        <v>1080</v>
      </c>
      <c r="R114" s="1121"/>
      <c r="S114" s="1121" t="s">
        <v>84</v>
      </c>
      <c r="T114" s="638"/>
      <c r="U114" s="647" t="s">
        <v>24</v>
      </c>
    </row>
    <row r="115" spans="1:21" x14ac:dyDescent="0.25">
      <c r="A115" s="637">
        <v>45475</v>
      </c>
      <c r="B115" s="1314" t="s">
        <v>69</v>
      </c>
      <c r="C115" s="1315" t="s">
        <v>1081</v>
      </c>
      <c r="D115" s="1316">
        <v>326799.21999999997</v>
      </c>
      <c r="E115" s="1316">
        <v>0</v>
      </c>
      <c r="F115" s="1317">
        <v>44230958.57</v>
      </c>
      <c r="G115" s="1317">
        <v>938</v>
      </c>
      <c r="H115" s="1318">
        <v>348.40002132196162</v>
      </c>
      <c r="I115" s="1318">
        <v>0</v>
      </c>
      <c r="J115" s="1319" t="s">
        <v>21</v>
      </c>
      <c r="K115" s="1320" t="s">
        <v>22</v>
      </c>
      <c r="L115" s="1319" t="s">
        <v>45</v>
      </c>
      <c r="M115" s="1320" t="s">
        <v>47</v>
      </c>
      <c r="N115" s="640" t="s">
        <v>938</v>
      </c>
      <c r="O115" s="642" t="s">
        <v>71</v>
      </c>
      <c r="P115" s="640" t="s">
        <v>50</v>
      </c>
      <c r="Q115" s="638" t="s">
        <v>979</v>
      </c>
      <c r="R115" s="639" t="s">
        <v>1082</v>
      </c>
      <c r="S115" s="639" t="s">
        <v>59</v>
      </c>
      <c r="T115" s="638"/>
      <c r="U115" s="647" t="s">
        <v>24</v>
      </c>
    </row>
    <row r="116" spans="1:21" x14ac:dyDescent="0.25">
      <c r="A116" s="637">
        <v>45481</v>
      </c>
      <c r="B116" s="1314" t="s">
        <v>69</v>
      </c>
      <c r="C116" s="1315" t="s">
        <v>1083</v>
      </c>
      <c r="D116" s="1316">
        <v>824425</v>
      </c>
      <c r="E116" s="1316">
        <v>0</v>
      </c>
      <c r="F116" s="1317">
        <v>1746833.08</v>
      </c>
      <c r="G116" s="1317">
        <v>938</v>
      </c>
      <c r="H116" s="1318">
        <v>878.91791044776119</v>
      </c>
      <c r="I116" s="1318">
        <v>0</v>
      </c>
      <c r="J116" s="1319" t="s">
        <v>21</v>
      </c>
      <c r="K116" s="1320" t="s">
        <v>22</v>
      </c>
      <c r="L116" s="1319" t="s">
        <v>45</v>
      </c>
      <c r="M116" s="1320" t="s">
        <v>47</v>
      </c>
      <c r="N116" s="640" t="s">
        <v>938</v>
      </c>
      <c r="O116" s="642" t="s">
        <v>94</v>
      </c>
      <c r="P116" s="640" t="s">
        <v>1084</v>
      </c>
      <c r="Q116" s="638" t="s">
        <v>1085</v>
      </c>
      <c r="R116" s="639" t="s">
        <v>1086</v>
      </c>
      <c r="S116" s="639" t="s">
        <v>59</v>
      </c>
      <c r="T116" s="638"/>
      <c r="U116" s="647" t="s">
        <v>24</v>
      </c>
    </row>
    <row r="117" spans="1:21" x14ac:dyDescent="0.25">
      <c r="A117" s="637">
        <v>45483</v>
      </c>
      <c r="B117" s="1314" t="s">
        <v>1087</v>
      </c>
      <c r="C117" s="1315"/>
      <c r="D117" s="1316">
        <v>11521937.689999999</v>
      </c>
      <c r="E117" s="1316">
        <v>0</v>
      </c>
      <c r="F117" s="1317">
        <v>1146838.22</v>
      </c>
      <c r="G117" s="1317">
        <v>938</v>
      </c>
      <c r="H117" s="1318">
        <v>12283.515660980809</v>
      </c>
      <c r="I117" s="1318">
        <v>0</v>
      </c>
      <c r="J117" s="1319" t="s">
        <v>21</v>
      </c>
      <c r="K117" s="1320" t="s">
        <v>22</v>
      </c>
      <c r="L117" s="1319" t="s">
        <v>45</v>
      </c>
      <c r="M117" s="1320" t="s">
        <v>47</v>
      </c>
      <c r="N117" s="640" t="s">
        <v>939</v>
      </c>
      <c r="O117" s="646" t="s">
        <v>1151</v>
      </c>
      <c r="P117" s="640" t="s">
        <v>1044</v>
      </c>
      <c r="Q117" s="638" t="s">
        <v>141</v>
      </c>
      <c r="R117" s="639"/>
      <c r="S117" s="639" t="s">
        <v>135</v>
      </c>
      <c r="T117" s="638"/>
      <c r="U117" s="647" t="s">
        <v>24</v>
      </c>
    </row>
    <row r="118" spans="1:21" x14ac:dyDescent="0.25">
      <c r="A118" s="637">
        <v>45490</v>
      </c>
      <c r="B118" s="1314" t="s">
        <v>76</v>
      </c>
      <c r="C118" s="1315" t="s">
        <v>1088</v>
      </c>
      <c r="D118" s="1316">
        <v>498000</v>
      </c>
      <c r="E118" s="1316">
        <v>0</v>
      </c>
      <c r="F118" s="1317">
        <v>-1792844.78</v>
      </c>
      <c r="G118" s="1317">
        <v>938</v>
      </c>
      <c r="H118" s="1318">
        <v>530.91684434968022</v>
      </c>
      <c r="I118" s="1318">
        <v>0</v>
      </c>
      <c r="J118" s="1319" t="s">
        <v>21</v>
      </c>
      <c r="K118" s="1320" t="s">
        <v>22</v>
      </c>
      <c r="L118" s="1319" t="s">
        <v>45</v>
      </c>
      <c r="M118" s="1320" t="s">
        <v>47</v>
      </c>
      <c r="N118" s="640" t="s">
        <v>938</v>
      </c>
      <c r="O118" s="642" t="s">
        <v>82</v>
      </c>
      <c r="P118" s="640"/>
      <c r="Q118" s="638" t="s">
        <v>970</v>
      </c>
      <c r="R118" s="639" t="s">
        <v>1089</v>
      </c>
      <c r="S118" s="639" t="s">
        <v>59</v>
      </c>
      <c r="T118" s="638"/>
      <c r="U118" s="647" t="s">
        <v>24</v>
      </c>
    </row>
    <row r="119" spans="1:21" x14ac:dyDescent="0.25">
      <c r="A119" s="637">
        <v>45492</v>
      </c>
      <c r="B119" s="1314" t="s">
        <v>69</v>
      </c>
      <c r="C119" s="1315" t="s">
        <v>1090</v>
      </c>
      <c r="D119" s="1316">
        <v>1500000</v>
      </c>
      <c r="E119" s="1316">
        <v>0</v>
      </c>
      <c r="F119" s="1317">
        <v>-1556431.64</v>
      </c>
      <c r="G119" s="1317">
        <v>938</v>
      </c>
      <c r="H119" s="1318">
        <v>1599.1471215351812</v>
      </c>
      <c r="I119" s="1318">
        <v>0</v>
      </c>
      <c r="J119" s="1319" t="s">
        <v>21</v>
      </c>
      <c r="K119" s="1320" t="s">
        <v>22</v>
      </c>
      <c r="L119" s="1319" t="s">
        <v>45</v>
      </c>
      <c r="M119" s="1320" t="s">
        <v>47</v>
      </c>
      <c r="N119" s="640" t="s">
        <v>938</v>
      </c>
      <c r="O119" s="642" t="s">
        <v>94</v>
      </c>
      <c r="P119" s="640" t="s">
        <v>1084</v>
      </c>
      <c r="Q119" s="638" t="s">
        <v>1085</v>
      </c>
      <c r="R119" s="639" t="s">
        <v>1086</v>
      </c>
      <c r="S119" s="639" t="s">
        <v>59</v>
      </c>
      <c r="T119" s="638"/>
      <c r="U119" s="647" t="s">
        <v>24</v>
      </c>
    </row>
    <row r="120" spans="1:21" x14ac:dyDescent="0.25">
      <c r="A120" s="637">
        <v>45496</v>
      </c>
      <c r="B120" s="1314" t="s">
        <v>1091</v>
      </c>
      <c r="C120" s="1315"/>
      <c r="D120" s="1316">
        <v>0</v>
      </c>
      <c r="E120" s="1316">
        <v>42223036.299999997</v>
      </c>
      <c r="F120" s="1317">
        <v>42223865.590000004</v>
      </c>
      <c r="G120" s="1317">
        <v>938</v>
      </c>
      <c r="H120" s="1318">
        <v>0</v>
      </c>
      <c r="I120" s="1318">
        <v>45013.897974413645</v>
      </c>
      <c r="J120" s="1319" t="s">
        <v>21</v>
      </c>
      <c r="K120" s="1320" t="s">
        <v>22</v>
      </c>
      <c r="L120" s="1319" t="s">
        <v>45</v>
      </c>
      <c r="M120" s="1320" t="s">
        <v>47</v>
      </c>
      <c r="N120" s="640" t="s">
        <v>939</v>
      </c>
      <c r="O120" s="642" t="s">
        <v>83</v>
      </c>
      <c r="P120" s="640" t="s">
        <v>1092</v>
      </c>
      <c r="Q120" s="638" t="s">
        <v>141</v>
      </c>
      <c r="R120" s="639"/>
      <c r="S120" s="639" t="s">
        <v>84</v>
      </c>
      <c r="T120" s="638"/>
      <c r="U120" s="647" t="s">
        <v>24</v>
      </c>
    </row>
    <row r="121" spans="1:21" x14ac:dyDescent="0.25">
      <c r="A121" s="637">
        <v>45505</v>
      </c>
      <c r="B121" s="1314" t="s">
        <v>69</v>
      </c>
      <c r="C121" s="1315" t="s">
        <v>1093</v>
      </c>
      <c r="D121" s="1316">
        <v>497947.42</v>
      </c>
      <c r="E121" s="1316">
        <v>0</v>
      </c>
      <c r="F121" s="1317">
        <v>-1839881.48</v>
      </c>
      <c r="G121" s="1317">
        <v>964</v>
      </c>
      <c r="H121" s="1318">
        <v>516.54296680497919</v>
      </c>
      <c r="I121" s="1318">
        <v>0</v>
      </c>
      <c r="J121" s="1319" t="s">
        <v>21</v>
      </c>
      <c r="K121" s="1320" t="s">
        <v>22</v>
      </c>
      <c r="L121" s="1319" t="s">
        <v>45</v>
      </c>
      <c r="M121" s="1320" t="s">
        <v>47</v>
      </c>
      <c r="N121" s="640" t="s">
        <v>938</v>
      </c>
      <c r="O121" s="642" t="s">
        <v>82</v>
      </c>
      <c r="P121" s="640"/>
      <c r="Q121" s="638" t="s">
        <v>970</v>
      </c>
      <c r="R121" s="639" t="s">
        <v>1094</v>
      </c>
      <c r="S121" s="639" t="s">
        <v>59</v>
      </c>
      <c r="T121" s="638"/>
      <c r="U121" s="647" t="s">
        <v>24</v>
      </c>
    </row>
    <row r="122" spans="1:21" x14ac:dyDescent="0.25">
      <c r="A122" s="637">
        <v>45505</v>
      </c>
      <c r="B122" s="1314" t="s">
        <v>69</v>
      </c>
      <c r="C122" s="1315" t="s">
        <v>1095</v>
      </c>
      <c r="D122" s="1316">
        <v>326799.21999999997</v>
      </c>
      <c r="E122" s="1316">
        <v>0</v>
      </c>
      <c r="F122" s="1317">
        <v>-2166680.7000000002</v>
      </c>
      <c r="G122" s="1317">
        <v>964</v>
      </c>
      <c r="H122" s="1318">
        <v>339.00334024896262</v>
      </c>
      <c r="I122" s="1318">
        <v>0</v>
      </c>
      <c r="J122" s="1319" t="s">
        <v>21</v>
      </c>
      <c r="K122" s="1320" t="s">
        <v>22</v>
      </c>
      <c r="L122" s="1319" t="s">
        <v>45</v>
      </c>
      <c r="M122" s="1320" t="s">
        <v>47</v>
      </c>
      <c r="N122" s="640" t="s">
        <v>938</v>
      </c>
      <c r="O122" s="642" t="s">
        <v>71</v>
      </c>
      <c r="P122" s="640" t="s">
        <v>50</v>
      </c>
      <c r="Q122" s="638" t="s">
        <v>979</v>
      </c>
      <c r="R122" s="639" t="s">
        <v>1096</v>
      </c>
      <c r="S122" s="639" t="s">
        <v>59</v>
      </c>
      <c r="T122" s="638"/>
      <c r="U122" s="647" t="s">
        <v>24</v>
      </c>
    </row>
    <row r="123" spans="1:21" x14ac:dyDescent="0.25">
      <c r="A123" s="637">
        <v>45506</v>
      </c>
      <c r="B123" s="1314" t="s">
        <v>69</v>
      </c>
      <c r="C123" s="1315" t="s">
        <v>1097</v>
      </c>
      <c r="D123" s="1316">
        <v>580920</v>
      </c>
      <c r="E123" s="1316">
        <v>0</v>
      </c>
      <c r="F123" s="1317">
        <v>-560067.89</v>
      </c>
      <c r="G123" s="1317">
        <v>964</v>
      </c>
      <c r="H123" s="1318">
        <v>602.61410788381738</v>
      </c>
      <c r="I123" s="1318">
        <v>0</v>
      </c>
      <c r="J123" s="1319" t="s">
        <v>21</v>
      </c>
      <c r="K123" s="1320" t="s">
        <v>22</v>
      </c>
      <c r="L123" s="1319" t="s">
        <v>45</v>
      </c>
      <c r="M123" s="1320" t="s">
        <v>47</v>
      </c>
      <c r="N123" s="640" t="s">
        <v>938</v>
      </c>
      <c r="O123" s="642" t="s">
        <v>82</v>
      </c>
      <c r="P123" s="640"/>
      <c r="Q123" s="638" t="s">
        <v>970</v>
      </c>
      <c r="R123" s="639" t="s">
        <v>1098</v>
      </c>
      <c r="S123" s="639" t="s">
        <v>59</v>
      </c>
      <c r="T123" s="638"/>
      <c r="U123" s="647" t="s">
        <v>24</v>
      </c>
    </row>
    <row r="124" spans="1:21" x14ac:dyDescent="0.25">
      <c r="A124" s="637">
        <v>45509</v>
      </c>
      <c r="B124" s="1314" t="s">
        <v>69</v>
      </c>
      <c r="C124" s="1315" t="s">
        <v>1099</v>
      </c>
      <c r="D124" s="1316">
        <v>822527.13</v>
      </c>
      <c r="E124" s="1316">
        <v>0</v>
      </c>
      <c r="F124" s="1317">
        <v>-2657128.54</v>
      </c>
      <c r="G124" s="1317">
        <v>964</v>
      </c>
      <c r="H124" s="1318">
        <v>853.24391078838175</v>
      </c>
      <c r="I124" s="1318">
        <v>0</v>
      </c>
      <c r="J124" s="1319" t="s">
        <v>21</v>
      </c>
      <c r="K124" s="1320" t="s">
        <v>22</v>
      </c>
      <c r="L124" s="1319" t="s">
        <v>45</v>
      </c>
      <c r="M124" s="1320" t="s">
        <v>47</v>
      </c>
      <c r="N124" s="640" t="s">
        <v>1053</v>
      </c>
      <c r="O124" s="642" t="s">
        <v>99</v>
      </c>
      <c r="P124" s="640" t="s">
        <v>1100</v>
      </c>
      <c r="Q124" s="638" t="s">
        <v>1054</v>
      </c>
      <c r="R124" s="638" t="s">
        <v>1055</v>
      </c>
      <c r="S124" s="639" t="s">
        <v>59</v>
      </c>
      <c r="T124" s="638"/>
      <c r="U124" s="647" t="s">
        <v>24</v>
      </c>
    </row>
    <row r="125" spans="1:21" x14ac:dyDescent="0.25">
      <c r="A125" s="637">
        <v>45510</v>
      </c>
      <c r="B125" s="1314" t="s">
        <v>69</v>
      </c>
      <c r="C125" s="1315" t="s">
        <v>1101</v>
      </c>
      <c r="D125" s="1316">
        <v>315720</v>
      </c>
      <c r="E125" s="1316">
        <v>0</v>
      </c>
      <c r="F125" s="1317">
        <v>-2349293.86</v>
      </c>
      <c r="G125" s="1317">
        <v>964</v>
      </c>
      <c r="H125" s="1318">
        <v>327.51037344398338</v>
      </c>
      <c r="I125" s="1318">
        <v>0</v>
      </c>
      <c r="J125" s="1319" t="s">
        <v>21</v>
      </c>
      <c r="K125" s="1320" t="s">
        <v>22</v>
      </c>
      <c r="L125" s="1319" t="s">
        <v>45</v>
      </c>
      <c r="M125" s="1320" t="s">
        <v>47</v>
      </c>
      <c r="N125" s="640" t="s">
        <v>939</v>
      </c>
      <c r="O125" s="642" t="s">
        <v>77</v>
      </c>
      <c r="P125" s="640" t="s">
        <v>1102</v>
      </c>
      <c r="Q125" s="638" t="s">
        <v>1103</v>
      </c>
      <c r="R125" s="639" t="s">
        <v>43</v>
      </c>
      <c r="S125" s="639" t="s">
        <v>44</v>
      </c>
      <c r="T125" s="638"/>
      <c r="U125" s="647" t="s">
        <v>24</v>
      </c>
    </row>
    <row r="126" spans="1:21" x14ac:dyDescent="0.25">
      <c r="A126" s="637">
        <v>45510</v>
      </c>
      <c r="B126" s="1314" t="s">
        <v>69</v>
      </c>
      <c r="C126" s="1315" t="s">
        <v>1104</v>
      </c>
      <c r="D126" s="1316">
        <v>2265120</v>
      </c>
      <c r="E126" s="1316">
        <v>0</v>
      </c>
      <c r="F126" s="1317">
        <v>-4614413.8600000003</v>
      </c>
      <c r="G126" s="1317">
        <v>964</v>
      </c>
      <c r="H126" s="1318">
        <v>2349.7095435684646</v>
      </c>
      <c r="I126" s="1318">
        <v>0</v>
      </c>
      <c r="J126" s="1319" t="s">
        <v>21</v>
      </c>
      <c r="K126" s="1320" t="s">
        <v>22</v>
      </c>
      <c r="L126" s="1319" t="s">
        <v>45</v>
      </c>
      <c r="M126" s="1320" t="s">
        <v>47</v>
      </c>
      <c r="N126" s="640" t="s">
        <v>938</v>
      </c>
      <c r="O126" s="642" t="s">
        <v>94</v>
      </c>
      <c r="P126" s="640"/>
      <c r="Q126" s="638" t="s">
        <v>207</v>
      </c>
      <c r="R126" s="639" t="s">
        <v>1105</v>
      </c>
      <c r="S126" s="639" t="s">
        <v>59</v>
      </c>
      <c r="T126" s="638"/>
      <c r="U126" s="647" t="s">
        <v>24</v>
      </c>
    </row>
    <row r="127" spans="1:21" x14ac:dyDescent="0.25">
      <c r="A127" s="637">
        <v>45524</v>
      </c>
      <c r="B127" s="1314" t="s">
        <v>1087</v>
      </c>
      <c r="C127" s="1315"/>
      <c r="D127" s="1316">
        <v>16000000</v>
      </c>
      <c r="E127" s="1316">
        <v>0</v>
      </c>
      <c r="F127" s="1317">
        <v>527337.69999999995</v>
      </c>
      <c r="G127" s="1317">
        <v>964</v>
      </c>
      <c r="H127" s="1318">
        <v>16597.510373443984</v>
      </c>
      <c r="I127" s="1318">
        <v>0</v>
      </c>
      <c r="J127" s="1319" t="s">
        <v>21</v>
      </c>
      <c r="K127" s="1320" t="s">
        <v>22</v>
      </c>
      <c r="L127" s="1319" t="s">
        <v>45</v>
      </c>
      <c r="M127" s="1320" t="s">
        <v>47</v>
      </c>
      <c r="N127" s="640" t="s">
        <v>939</v>
      </c>
      <c r="O127" s="646" t="s">
        <v>1151</v>
      </c>
      <c r="P127" s="640" t="s">
        <v>1044</v>
      </c>
      <c r="Q127" s="638" t="s">
        <v>141</v>
      </c>
      <c r="R127" s="639"/>
      <c r="S127" s="639" t="s">
        <v>135</v>
      </c>
      <c r="T127" s="638"/>
      <c r="U127" s="647" t="s">
        <v>24</v>
      </c>
    </row>
    <row r="128" spans="1:21" x14ac:dyDescent="0.25">
      <c r="A128" s="637">
        <v>45524</v>
      </c>
      <c r="B128" s="1314" t="s">
        <v>1087</v>
      </c>
      <c r="C128" s="1315"/>
      <c r="D128" s="1316">
        <v>32793500</v>
      </c>
      <c r="E128" s="1316">
        <v>0</v>
      </c>
      <c r="F128" s="1317">
        <v>49928.89</v>
      </c>
      <c r="G128" s="1317">
        <v>964</v>
      </c>
      <c r="H128" s="1318">
        <v>34018.153526970957</v>
      </c>
      <c r="I128" s="1318">
        <v>0</v>
      </c>
      <c r="J128" s="1319" t="s">
        <v>21</v>
      </c>
      <c r="K128" s="1320" t="s">
        <v>22</v>
      </c>
      <c r="L128" s="1319" t="s">
        <v>45</v>
      </c>
      <c r="M128" s="1320" t="s">
        <v>47</v>
      </c>
      <c r="N128" s="640" t="s">
        <v>939</v>
      </c>
      <c r="O128" s="646" t="s">
        <v>1151</v>
      </c>
      <c r="P128" s="640" t="s">
        <v>1044</v>
      </c>
      <c r="Q128" s="638" t="s">
        <v>141</v>
      </c>
      <c r="R128" s="639"/>
      <c r="S128" s="639" t="s">
        <v>135</v>
      </c>
      <c r="T128" s="638"/>
      <c r="U128" s="647" t="s">
        <v>24</v>
      </c>
    </row>
    <row r="129" spans="1:21" x14ac:dyDescent="0.25">
      <c r="A129" s="637">
        <v>45538</v>
      </c>
      <c r="B129" s="1314" t="s">
        <v>1106</v>
      </c>
      <c r="C129" s="1315"/>
      <c r="D129" s="1316">
        <v>9000000</v>
      </c>
      <c r="E129" s="1316">
        <v>0</v>
      </c>
      <c r="F129" s="1317">
        <v>0</v>
      </c>
      <c r="G129" s="1317">
        <v>964</v>
      </c>
      <c r="H129" s="1318">
        <v>9336.0995850622403</v>
      </c>
      <c r="I129" s="1318">
        <v>0</v>
      </c>
      <c r="J129" s="1319" t="s">
        <v>21</v>
      </c>
      <c r="K129" s="1320" t="s">
        <v>22</v>
      </c>
      <c r="L129" s="1319" t="s">
        <v>45</v>
      </c>
      <c r="M129" s="1320" t="s">
        <v>47</v>
      </c>
      <c r="N129" s="640" t="s">
        <v>939</v>
      </c>
      <c r="O129" s="646" t="s">
        <v>1151</v>
      </c>
      <c r="P129" s="640" t="s">
        <v>231</v>
      </c>
      <c r="Q129" s="638" t="s">
        <v>141</v>
      </c>
      <c r="R129" s="639"/>
      <c r="S129" s="639" t="s">
        <v>135</v>
      </c>
      <c r="T129" s="638"/>
      <c r="U129" s="647" t="s">
        <v>24</v>
      </c>
    </row>
    <row r="130" spans="1:21" x14ac:dyDescent="0.25">
      <c r="A130" s="637">
        <v>45540</v>
      </c>
      <c r="B130" s="1314" t="s">
        <v>69</v>
      </c>
      <c r="C130" s="1315" t="s">
        <v>1107</v>
      </c>
      <c r="D130" s="1316">
        <v>900851.94</v>
      </c>
      <c r="E130" s="1316">
        <v>0</v>
      </c>
      <c r="F130" s="1317">
        <v>4279775.8099999996</v>
      </c>
      <c r="G130" s="1317">
        <v>964</v>
      </c>
      <c r="H130" s="1318">
        <v>934.49371369294602</v>
      </c>
      <c r="I130" s="1318">
        <v>0</v>
      </c>
      <c r="J130" s="1319" t="s">
        <v>21</v>
      </c>
      <c r="K130" s="1320" t="s">
        <v>22</v>
      </c>
      <c r="L130" s="1319" t="s">
        <v>45</v>
      </c>
      <c r="M130" s="1320" t="s">
        <v>47</v>
      </c>
      <c r="N130" s="640" t="s">
        <v>938</v>
      </c>
      <c r="O130" s="642" t="s">
        <v>48</v>
      </c>
      <c r="P130" s="640" t="s">
        <v>939</v>
      </c>
      <c r="Q130" s="638" t="s">
        <v>1108</v>
      </c>
      <c r="R130" s="639" t="s">
        <v>1109</v>
      </c>
      <c r="S130" s="639" t="s">
        <v>59</v>
      </c>
      <c r="T130" s="638"/>
      <c r="U130" s="647" t="s">
        <v>24</v>
      </c>
    </row>
    <row r="131" spans="1:21" x14ac:dyDescent="0.25">
      <c r="A131" s="637">
        <v>45541</v>
      </c>
      <c r="B131" s="1314" t="s">
        <v>69</v>
      </c>
      <c r="C131" s="1315" t="s">
        <v>1110</v>
      </c>
      <c r="D131" s="1316">
        <v>327000</v>
      </c>
      <c r="E131" s="1316">
        <v>0</v>
      </c>
      <c r="F131" s="1317">
        <v>2359780.9700000002</v>
      </c>
      <c r="G131" s="1317">
        <v>964</v>
      </c>
      <c r="H131" s="1318">
        <v>339.21161825726142</v>
      </c>
      <c r="I131" s="1318">
        <v>0</v>
      </c>
      <c r="J131" s="1319" t="s">
        <v>21</v>
      </c>
      <c r="K131" s="1320" t="s">
        <v>22</v>
      </c>
      <c r="L131" s="1319" t="s">
        <v>45</v>
      </c>
      <c r="M131" s="1320" t="s">
        <v>47</v>
      </c>
      <c r="N131" s="640" t="s">
        <v>938</v>
      </c>
      <c r="O131" s="642" t="s">
        <v>71</v>
      </c>
      <c r="P131" s="640" t="s">
        <v>50</v>
      </c>
      <c r="Q131" s="638" t="s">
        <v>979</v>
      </c>
      <c r="R131" s="639" t="s">
        <v>1111</v>
      </c>
      <c r="S131" s="639" t="s">
        <v>59</v>
      </c>
      <c r="T131" s="638"/>
      <c r="U131" s="647" t="s">
        <v>24</v>
      </c>
    </row>
    <row r="132" spans="1:21" x14ac:dyDescent="0.25">
      <c r="A132" s="637">
        <v>45541</v>
      </c>
      <c r="B132" s="1314" t="s">
        <v>69</v>
      </c>
      <c r="C132" s="1315" t="s">
        <v>1112</v>
      </c>
      <c r="D132" s="1316">
        <v>1264300</v>
      </c>
      <c r="E132" s="1316">
        <v>0</v>
      </c>
      <c r="F132" s="1317">
        <v>1095480.97</v>
      </c>
      <c r="G132" s="1317">
        <v>964</v>
      </c>
      <c r="H132" s="1318">
        <v>1311.5145228215767</v>
      </c>
      <c r="I132" s="1318">
        <v>0</v>
      </c>
      <c r="J132" s="1319" t="s">
        <v>21</v>
      </c>
      <c r="K132" s="1320" t="s">
        <v>22</v>
      </c>
      <c r="L132" s="1319" t="s">
        <v>45</v>
      </c>
      <c r="M132" s="1320" t="s">
        <v>47</v>
      </c>
      <c r="N132" s="640" t="s">
        <v>938</v>
      </c>
      <c r="O132" s="642" t="s">
        <v>48</v>
      </c>
      <c r="P132" s="640" t="s">
        <v>939</v>
      </c>
      <c r="Q132" s="638" t="s">
        <v>945</v>
      </c>
      <c r="R132" s="639" t="s">
        <v>1113</v>
      </c>
      <c r="S132" s="639" t="s">
        <v>59</v>
      </c>
      <c r="T132" s="638"/>
      <c r="U132" s="647" t="s">
        <v>24</v>
      </c>
    </row>
    <row r="133" spans="1:21" x14ac:dyDescent="0.25">
      <c r="A133" s="637">
        <v>45547</v>
      </c>
      <c r="B133" s="1314" t="s">
        <v>69</v>
      </c>
      <c r="C133" s="1315" t="s">
        <v>1114</v>
      </c>
      <c r="D133" s="1316">
        <v>754360</v>
      </c>
      <c r="E133" s="1316">
        <v>0</v>
      </c>
      <c r="F133" s="1317">
        <v>-4767131.68</v>
      </c>
      <c r="G133" s="1317">
        <v>964</v>
      </c>
      <c r="H133" s="1318">
        <v>782.53112033195021</v>
      </c>
      <c r="I133" s="1318">
        <v>0</v>
      </c>
      <c r="J133" s="1319" t="s">
        <v>21</v>
      </c>
      <c r="K133" s="1320" t="s">
        <v>22</v>
      </c>
      <c r="L133" s="1319" t="s">
        <v>45</v>
      </c>
      <c r="M133" s="1320" t="s">
        <v>47</v>
      </c>
      <c r="N133" s="640" t="s">
        <v>938</v>
      </c>
      <c r="O133" s="642" t="s">
        <v>94</v>
      </c>
      <c r="P133" s="640"/>
      <c r="Q133" s="638" t="s">
        <v>1115</v>
      </c>
      <c r="R133" s="639" t="s">
        <v>1116</v>
      </c>
      <c r="S133" s="639" t="s">
        <v>59</v>
      </c>
      <c r="T133" s="638"/>
      <c r="U133" s="647" t="s">
        <v>24</v>
      </c>
    </row>
    <row r="134" spans="1:21" x14ac:dyDescent="0.25">
      <c r="A134" s="1342">
        <v>45568</v>
      </c>
      <c r="B134" s="1314" t="s">
        <v>49</v>
      </c>
      <c r="C134" s="1315"/>
      <c r="D134" s="1316">
        <v>34000</v>
      </c>
      <c r="E134" s="1316">
        <v>0</v>
      </c>
      <c r="F134" s="1317">
        <v>14817530.960000001</v>
      </c>
      <c r="G134" s="1317">
        <v>965</v>
      </c>
      <c r="H134" s="1318">
        <v>35.233160621761655</v>
      </c>
      <c r="I134" s="1318">
        <v>0</v>
      </c>
      <c r="J134" s="1319" t="s">
        <v>21</v>
      </c>
      <c r="K134" s="1320" t="s">
        <v>22</v>
      </c>
      <c r="L134" s="1319" t="s">
        <v>27</v>
      </c>
      <c r="M134" s="1320" t="s">
        <v>47</v>
      </c>
      <c r="N134" s="640" t="s">
        <v>938</v>
      </c>
      <c r="O134" s="642" t="s">
        <v>62</v>
      </c>
      <c r="P134" s="640"/>
      <c r="Q134" s="638" t="s">
        <v>951</v>
      </c>
      <c r="R134" s="639"/>
      <c r="S134" s="639" t="s">
        <v>59</v>
      </c>
      <c r="T134" s="638"/>
      <c r="U134" s="647" t="s">
        <v>24</v>
      </c>
    </row>
    <row r="135" spans="1:21" x14ac:dyDescent="0.25">
      <c r="A135" s="1342">
        <v>45573</v>
      </c>
      <c r="B135" s="1314" t="s">
        <v>69</v>
      </c>
      <c r="C135" s="1315" t="s">
        <v>1117</v>
      </c>
      <c r="D135" s="1316">
        <v>349000</v>
      </c>
      <c r="E135" s="1316">
        <v>0</v>
      </c>
      <c r="F135" s="1317">
        <v>-3575567.23</v>
      </c>
      <c r="G135" s="1317">
        <v>990</v>
      </c>
      <c r="H135" s="1318">
        <v>352.52525252525254</v>
      </c>
      <c r="I135" s="1318">
        <v>0</v>
      </c>
      <c r="J135" s="1319" t="s">
        <v>21</v>
      </c>
      <c r="K135" s="1320" t="s">
        <v>22</v>
      </c>
      <c r="L135" s="1319" t="s">
        <v>45</v>
      </c>
      <c r="M135" s="1320" t="s">
        <v>47</v>
      </c>
      <c r="N135" s="640" t="s">
        <v>938</v>
      </c>
      <c r="O135" s="642" t="s">
        <v>71</v>
      </c>
      <c r="P135" s="640" t="s">
        <v>50</v>
      </c>
      <c r="Q135" s="638" t="s">
        <v>979</v>
      </c>
      <c r="R135" s="639" t="s">
        <v>1118</v>
      </c>
      <c r="S135" s="639" t="s">
        <v>59</v>
      </c>
      <c r="T135" s="638"/>
      <c r="U135" s="647" t="s">
        <v>24</v>
      </c>
    </row>
    <row r="136" spans="1:21" x14ac:dyDescent="0.25">
      <c r="A136" s="1342">
        <v>45588</v>
      </c>
      <c r="B136" s="1314" t="s">
        <v>69</v>
      </c>
      <c r="C136" s="1315" t="s">
        <v>1119</v>
      </c>
      <c r="D136" s="1316">
        <v>315035</v>
      </c>
      <c r="E136" s="1316">
        <v>0</v>
      </c>
      <c r="F136" s="1317">
        <v>-3441387.29</v>
      </c>
      <c r="G136" s="1317">
        <v>999</v>
      </c>
      <c r="H136" s="1318">
        <v>315.35035035035037</v>
      </c>
      <c r="I136" s="1318">
        <v>0</v>
      </c>
      <c r="J136" s="1319" t="s">
        <v>21</v>
      </c>
      <c r="K136" s="1320" t="s">
        <v>22</v>
      </c>
      <c r="L136" s="1319" t="s">
        <v>45</v>
      </c>
      <c r="M136" s="1320" t="s">
        <v>47</v>
      </c>
      <c r="N136" s="640" t="s">
        <v>938</v>
      </c>
      <c r="O136" s="642" t="s">
        <v>48</v>
      </c>
      <c r="P136" s="640" t="s">
        <v>939</v>
      </c>
      <c r="Q136" s="638" t="s">
        <v>954</v>
      </c>
      <c r="R136" s="639" t="s">
        <v>1120</v>
      </c>
      <c r="S136" s="639" t="s">
        <v>59</v>
      </c>
      <c r="T136" s="638"/>
      <c r="U136" s="647" t="s">
        <v>24</v>
      </c>
    </row>
    <row r="137" spans="1:21" x14ac:dyDescent="0.25">
      <c r="A137" s="1342">
        <v>45590</v>
      </c>
      <c r="B137" s="1314" t="s">
        <v>69</v>
      </c>
      <c r="C137" s="1315" t="s">
        <v>1121</v>
      </c>
      <c r="D137" s="1316">
        <v>96800</v>
      </c>
      <c r="E137" s="1316">
        <v>0</v>
      </c>
      <c r="F137" s="1317">
        <v>6382649.96</v>
      </c>
      <c r="G137" s="1317">
        <v>1000</v>
      </c>
      <c r="H137" s="1318">
        <v>96.8</v>
      </c>
      <c r="I137" s="1318">
        <v>0</v>
      </c>
      <c r="J137" s="1319" t="s">
        <v>21</v>
      </c>
      <c r="K137" s="1320" t="s">
        <v>22</v>
      </c>
      <c r="L137" s="1319" t="s">
        <v>45</v>
      </c>
      <c r="M137" s="1320" t="s">
        <v>47</v>
      </c>
      <c r="N137" s="640" t="s">
        <v>938</v>
      </c>
      <c r="O137" s="642" t="s">
        <v>271</v>
      </c>
      <c r="P137" s="640" t="s">
        <v>1122</v>
      </c>
      <c r="Q137" s="638" t="s">
        <v>1123</v>
      </c>
      <c r="R137" s="639" t="s">
        <v>1124</v>
      </c>
      <c r="S137" s="639" t="s">
        <v>59</v>
      </c>
      <c r="T137" s="638"/>
      <c r="U137" s="647" t="s">
        <v>24</v>
      </c>
    </row>
    <row r="138" spans="1:21" x14ac:dyDescent="0.25">
      <c r="A138" s="1342">
        <v>45593</v>
      </c>
      <c r="B138" s="1314" t="s">
        <v>76</v>
      </c>
      <c r="C138" s="1315" t="s">
        <v>1125</v>
      </c>
      <c r="D138" s="1316">
        <v>276846</v>
      </c>
      <c r="E138" s="1316">
        <v>0</v>
      </c>
      <c r="F138" s="1317">
        <v>4103922.82</v>
      </c>
      <c r="G138" s="1317">
        <v>1000</v>
      </c>
      <c r="H138" s="1318">
        <v>276.846</v>
      </c>
      <c r="I138" s="1343">
        <v>0</v>
      </c>
      <c r="J138" s="1319" t="s">
        <v>21</v>
      </c>
      <c r="K138" s="1320" t="s">
        <v>22</v>
      </c>
      <c r="L138" s="1319" t="s">
        <v>45</v>
      </c>
      <c r="M138" s="1320" t="s">
        <v>47</v>
      </c>
      <c r="N138" s="640" t="s">
        <v>938</v>
      </c>
      <c r="O138" s="642" t="s">
        <v>82</v>
      </c>
      <c r="P138" s="640"/>
      <c r="Q138" s="638" t="s">
        <v>970</v>
      </c>
      <c r="R138" s="639"/>
      <c r="S138" s="639" t="s">
        <v>59</v>
      </c>
      <c r="T138" s="638"/>
      <c r="U138" s="639" t="s">
        <v>24</v>
      </c>
    </row>
    <row r="139" spans="1:21" x14ac:dyDescent="0.25">
      <c r="A139" s="1342">
        <v>45595</v>
      </c>
      <c r="B139" s="1314" t="s">
        <v>69</v>
      </c>
      <c r="C139" s="1315" t="s">
        <v>1126</v>
      </c>
      <c r="D139" s="1316">
        <v>335825</v>
      </c>
      <c r="E139" s="1316">
        <v>0</v>
      </c>
      <c r="F139" s="1317">
        <v>1706234.92</v>
      </c>
      <c r="G139" s="1317">
        <v>1000</v>
      </c>
      <c r="H139" s="1318">
        <v>335.82499999999999</v>
      </c>
      <c r="I139" s="1343">
        <v>0</v>
      </c>
      <c r="J139" s="1319" t="s">
        <v>21</v>
      </c>
      <c r="K139" s="1320" t="s">
        <v>22</v>
      </c>
      <c r="L139" s="1319" t="s">
        <v>45</v>
      </c>
      <c r="M139" s="1320" t="s">
        <v>47</v>
      </c>
      <c r="N139" s="640" t="s">
        <v>938</v>
      </c>
      <c r="O139" s="640" t="s">
        <v>48</v>
      </c>
      <c r="P139" s="640" t="s">
        <v>939</v>
      </c>
      <c r="Q139" s="638" t="s">
        <v>954</v>
      </c>
      <c r="R139" s="639" t="s">
        <v>1127</v>
      </c>
      <c r="S139" s="639" t="s">
        <v>59</v>
      </c>
      <c r="T139" s="638"/>
      <c r="U139" s="639" t="s">
        <v>24</v>
      </c>
    </row>
    <row r="140" spans="1:21" x14ac:dyDescent="0.25">
      <c r="A140" s="637">
        <v>45597</v>
      </c>
      <c r="B140" s="1314" t="s">
        <v>1128</v>
      </c>
      <c r="C140" s="1315"/>
      <c r="D140" s="1316">
        <v>55006</v>
      </c>
      <c r="E140" s="1316">
        <v>0</v>
      </c>
      <c r="F140" s="1317">
        <v>20722517.649999999</v>
      </c>
      <c r="G140" s="1317">
        <v>1000</v>
      </c>
      <c r="H140" s="1343">
        <v>55.006</v>
      </c>
      <c r="I140" s="1343">
        <v>0</v>
      </c>
      <c r="J140" s="1319" t="s">
        <v>21</v>
      </c>
      <c r="K140" s="1320" t="s">
        <v>22</v>
      </c>
      <c r="L140" s="1319" t="s">
        <v>45</v>
      </c>
      <c r="M140" s="1320" t="s">
        <v>47</v>
      </c>
      <c r="N140" s="640" t="s">
        <v>938</v>
      </c>
      <c r="O140" s="640" t="s">
        <v>48</v>
      </c>
      <c r="P140" s="640" t="s">
        <v>939</v>
      </c>
      <c r="Q140" s="638" t="s">
        <v>1129</v>
      </c>
      <c r="R140" s="639" t="s">
        <v>43</v>
      </c>
      <c r="S140" s="639" t="s">
        <v>44</v>
      </c>
      <c r="T140" s="638" t="s">
        <v>1130</v>
      </c>
      <c r="U140" s="639" t="s">
        <v>24</v>
      </c>
    </row>
    <row r="141" spans="1:21" x14ac:dyDescent="0.25">
      <c r="A141" s="637">
        <v>45600</v>
      </c>
      <c r="B141" s="1314" t="s">
        <v>76</v>
      </c>
      <c r="C141" s="1315" t="s">
        <v>1131</v>
      </c>
      <c r="D141" s="1316">
        <v>349000</v>
      </c>
      <c r="E141" s="1316">
        <v>0</v>
      </c>
      <c r="F141" s="1317">
        <v>7318697.3300000001</v>
      </c>
      <c r="G141" s="1317">
        <v>1000</v>
      </c>
      <c r="H141" s="1343">
        <v>349</v>
      </c>
      <c r="I141" s="1343">
        <v>0</v>
      </c>
      <c r="J141" s="1319" t="s">
        <v>21</v>
      </c>
      <c r="K141" s="1320" t="s">
        <v>22</v>
      </c>
      <c r="L141" s="1319" t="s">
        <v>45</v>
      </c>
      <c r="M141" s="1320" t="s">
        <v>47</v>
      </c>
      <c r="N141" s="640" t="s">
        <v>938</v>
      </c>
      <c r="O141" s="640" t="s">
        <v>71</v>
      </c>
      <c r="P141" s="640" t="s">
        <v>50</v>
      </c>
      <c r="Q141" s="638" t="s">
        <v>979</v>
      </c>
      <c r="R141" s="639" t="s">
        <v>1132</v>
      </c>
      <c r="S141" s="639" t="s">
        <v>59</v>
      </c>
      <c r="T141" s="638"/>
      <c r="U141" s="639" t="s">
        <v>24</v>
      </c>
    </row>
    <row r="142" spans="1:21" x14ac:dyDescent="0.25">
      <c r="A142" s="637">
        <v>45615</v>
      </c>
      <c r="B142" s="1314" t="s">
        <v>69</v>
      </c>
      <c r="C142" s="1315" t="s">
        <v>1133</v>
      </c>
      <c r="D142" s="1316">
        <v>646800</v>
      </c>
      <c r="E142" s="1316">
        <v>0</v>
      </c>
      <c r="F142" s="1317">
        <v>4468868.41</v>
      </c>
      <c r="G142" s="1317">
        <v>1000</v>
      </c>
      <c r="H142" s="1343">
        <v>646.79999999999995</v>
      </c>
      <c r="I142" s="1343">
        <v>0</v>
      </c>
      <c r="J142" s="1319" t="s">
        <v>21</v>
      </c>
      <c r="K142" s="1320" t="s">
        <v>22</v>
      </c>
      <c r="L142" s="1319" t="s">
        <v>45</v>
      </c>
      <c r="M142" s="1320" t="s">
        <v>47</v>
      </c>
      <c r="N142" s="640" t="s">
        <v>938</v>
      </c>
      <c r="O142" s="640" t="s">
        <v>48</v>
      </c>
      <c r="P142" s="640" t="s">
        <v>939</v>
      </c>
      <c r="Q142" s="638" t="s">
        <v>1134</v>
      </c>
      <c r="R142" s="639" t="s">
        <v>1135</v>
      </c>
      <c r="S142" s="639" t="s">
        <v>59</v>
      </c>
      <c r="T142" s="638"/>
      <c r="U142" s="639" t="s">
        <v>24</v>
      </c>
    </row>
    <row r="143" spans="1:21" x14ac:dyDescent="0.25">
      <c r="A143" s="637">
        <v>45615</v>
      </c>
      <c r="B143" s="1314" t="s">
        <v>69</v>
      </c>
      <c r="C143" s="1315" t="s">
        <v>1136</v>
      </c>
      <c r="D143" s="1316">
        <v>460373.76000000001</v>
      </c>
      <c r="E143" s="1316">
        <v>0</v>
      </c>
      <c r="F143" s="1317">
        <v>4008494.65</v>
      </c>
      <c r="G143" s="1317">
        <v>1000</v>
      </c>
      <c r="H143" s="1343">
        <v>460.37376</v>
      </c>
      <c r="I143" s="1343">
        <v>0</v>
      </c>
      <c r="J143" s="1319" t="s">
        <v>21</v>
      </c>
      <c r="K143" s="1320" t="s">
        <v>22</v>
      </c>
      <c r="L143" s="1319" t="s">
        <v>45</v>
      </c>
      <c r="M143" s="1320" t="s">
        <v>47</v>
      </c>
      <c r="N143" s="640" t="s">
        <v>938</v>
      </c>
      <c r="O143" s="640" t="s">
        <v>48</v>
      </c>
      <c r="P143" s="640" t="s">
        <v>939</v>
      </c>
      <c r="Q143" s="638" t="s">
        <v>1134</v>
      </c>
      <c r="R143" s="639" t="s">
        <v>1137</v>
      </c>
      <c r="S143" s="639" t="s">
        <v>59</v>
      </c>
      <c r="T143" s="638"/>
      <c r="U143" s="639" t="s">
        <v>24</v>
      </c>
    </row>
    <row r="144" spans="1:21" x14ac:dyDescent="0.25">
      <c r="A144" s="637">
        <v>45629</v>
      </c>
      <c r="B144" s="1314" t="s">
        <v>69</v>
      </c>
      <c r="C144" s="1315" t="s">
        <v>1138</v>
      </c>
      <c r="D144" s="1316">
        <v>2483473.98</v>
      </c>
      <c r="E144" s="1316">
        <v>0</v>
      </c>
      <c r="F144" s="1317">
        <v>-4273345.43</v>
      </c>
      <c r="G144" s="1317">
        <v>1000</v>
      </c>
      <c r="H144" s="1343">
        <v>2483.4739799999998</v>
      </c>
      <c r="I144" s="1343">
        <v>0</v>
      </c>
      <c r="J144" s="1319" t="s">
        <v>21</v>
      </c>
      <c r="K144" s="1320" t="s">
        <v>22</v>
      </c>
      <c r="L144" s="1319" t="s">
        <v>45</v>
      </c>
      <c r="M144" s="1320" t="s">
        <v>47</v>
      </c>
      <c r="N144" s="640" t="s">
        <v>938</v>
      </c>
      <c r="O144" s="640" t="s">
        <v>48</v>
      </c>
      <c r="P144" s="640" t="s">
        <v>939</v>
      </c>
      <c r="Q144" s="638" t="s">
        <v>1108</v>
      </c>
      <c r="R144" s="639"/>
      <c r="S144" s="639" t="s">
        <v>59</v>
      </c>
      <c r="T144" s="638"/>
      <c r="U144" s="639" t="s">
        <v>24</v>
      </c>
    </row>
    <row r="145" spans="1:21" x14ac:dyDescent="0.25">
      <c r="A145" s="637">
        <v>45629</v>
      </c>
      <c r="B145" s="1314" t="s">
        <v>69</v>
      </c>
      <c r="C145" s="1315" t="s">
        <v>1139</v>
      </c>
      <c r="D145" s="1316">
        <v>1232465.3600000001</v>
      </c>
      <c r="E145" s="1316">
        <v>0</v>
      </c>
      <c r="F145" s="1317">
        <v>-16139314.99</v>
      </c>
      <c r="G145" s="1317">
        <v>1000</v>
      </c>
      <c r="H145" s="1343">
        <v>1232.4653600000001</v>
      </c>
      <c r="I145" s="1343">
        <v>0</v>
      </c>
      <c r="J145" s="1319" t="s">
        <v>21</v>
      </c>
      <c r="K145" s="1320" t="s">
        <v>22</v>
      </c>
      <c r="L145" s="1319" t="s">
        <v>45</v>
      </c>
      <c r="M145" s="1320" t="s">
        <v>47</v>
      </c>
      <c r="N145" s="640" t="s">
        <v>938</v>
      </c>
      <c r="O145" s="640" t="s">
        <v>48</v>
      </c>
      <c r="P145" s="640" t="s">
        <v>939</v>
      </c>
      <c r="Q145" s="638" t="s">
        <v>954</v>
      </c>
      <c r="R145" s="639"/>
      <c r="S145" s="639" t="s">
        <v>59</v>
      </c>
      <c r="T145" s="638"/>
      <c r="U145" s="639" t="s">
        <v>24</v>
      </c>
    </row>
    <row r="146" spans="1:21" x14ac:dyDescent="0.25">
      <c r="A146" s="1516">
        <v>45630</v>
      </c>
      <c r="B146" s="1314" t="s">
        <v>69</v>
      </c>
      <c r="C146" s="1315" t="s">
        <v>1140</v>
      </c>
      <c r="D146" s="1316">
        <v>277000</v>
      </c>
      <c r="E146" s="1316">
        <v>0</v>
      </c>
      <c r="F146" s="1317">
        <v>-2878118.5</v>
      </c>
      <c r="G146" s="1317">
        <v>1000</v>
      </c>
      <c r="H146" s="1343">
        <v>277</v>
      </c>
      <c r="I146" s="1343">
        <v>0</v>
      </c>
      <c r="J146" s="1319" t="s">
        <v>21</v>
      </c>
      <c r="K146" s="1320" t="s">
        <v>22</v>
      </c>
      <c r="L146" s="1319" t="s">
        <v>45</v>
      </c>
      <c r="M146" s="1320" t="s">
        <v>47</v>
      </c>
      <c r="N146" s="640" t="s">
        <v>938</v>
      </c>
      <c r="O146" s="640" t="s">
        <v>1141</v>
      </c>
      <c r="P146" s="640" t="s">
        <v>939</v>
      </c>
      <c r="Q146" s="638" t="s">
        <v>970</v>
      </c>
      <c r="R146" s="639"/>
      <c r="S146" s="639" t="s">
        <v>59</v>
      </c>
      <c r="T146" s="638"/>
      <c r="U146" s="639" t="s">
        <v>24</v>
      </c>
    </row>
    <row r="147" spans="1:21" x14ac:dyDescent="0.25">
      <c r="A147" s="1516">
        <v>45636</v>
      </c>
      <c r="B147" s="1314" t="s">
        <v>76</v>
      </c>
      <c r="C147" s="1315" t="s">
        <v>1142</v>
      </c>
      <c r="D147" s="1316">
        <v>349000</v>
      </c>
      <c r="E147" s="1316">
        <v>0</v>
      </c>
      <c r="F147" s="1317">
        <v>-5659906.0800000001</v>
      </c>
      <c r="G147" s="1317">
        <v>1000</v>
      </c>
      <c r="H147" s="1343">
        <v>349</v>
      </c>
      <c r="I147" s="1343">
        <v>0</v>
      </c>
      <c r="J147" s="1319" t="s">
        <v>21</v>
      </c>
      <c r="K147" s="1320" t="s">
        <v>22</v>
      </c>
      <c r="L147" s="1319" t="s">
        <v>45</v>
      </c>
      <c r="M147" s="1320" t="s">
        <v>47</v>
      </c>
      <c r="N147" s="640" t="s">
        <v>938</v>
      </c>
      <c r="O147" s="640" t="s">
        <v>71</v>
      </c>
      <c r="P147" s="640"/>
      <c r="Q147" s="638" t="s">
        <v>979</v>
      </c>
      <c r="R147" s="639" t="s">
        <v>1143</v>
      </c>
      <c r="S147" s="639" t="s">
        <v>59</v>
      </c>
      <c r="T147" s="638"/>
      <c r="U147" s="639" t="s">
        <v>24</v>
      </c>
    </row>
    <row r="148" spans="1:21" x14ac:dyDescent="0.25">
      <c r="A148" s="1516">
        <v>45636</v>
      </c>
      <c r="B148" s="1314" t="s">
        <v>76</v>
      </c>
      <c r="C148" s="1315" t="s">
        <v>1144</v>
      </c>
      <c r="D148" s="1316">
        <v>328116</v>
      </c>
      <c r="E148" s="1316">
        <v>0</v>
      </c>
      <c r="F148" s="1317">
        <v>-5988022.0800000001</v>
      </c>
      <c r="G148" s="1317">
        <v>1000</v>
      </c>
      <c r="H148" s="1343">
        <v>328.11599999999999</v>
      </c>
      <c r="I148" s="1343">
        <v>0</v>
      </c>
      <c r="J148" s="1319" t="s">
        <v>21</v>
      </c>
      <c r="K148" s="1320" t="s">
        <v>22</v>
      </c>
      <c r="L148" s="1319" t="s">
        <v>45</v>
      </c>
      <c r="M148" s="1320" t="s">
        <v>47</v>
      </c>
      <c r="N148" s="640" t="s">
        <v>938</v>
      </c>
      <c r="O148" s="640" t="s">
        <v>1141</v>
      </c>
      <c r="P148" s="640"/>
      <c r="Q148" s="638" t="s">
        <v>970</v>
      </c>
      <c r="R148" s="639" t="s">
        <v>1145</v>
      </c>
      <c r="S148" s="639" t="s">
        <v>59</v>
      </c>
      <c r="T148" s="638"/>
      <c r="U148" s="639" t="s">
        <v>24</v>
      </c>
    </row>
    <row r="149" spans="1:21" x14ac:dyDescent="0.25">
      <c r="A149" s="1516">
        <v>45639</v>
      </c>
      <c r="B149" s="1314" t="s">
        <v>69</v>
      </c>
      <c r="C149" s="1315" t="s">
        <v>1146</v>
      </c>
      <c r="D149" s="1316">
        <v>2130000</v>
      </c>
      <c r="E149" s="1316">
        <v>0</v>
      </c>
      <c r="F149" s="1317">
        <v>-8128357.4900000002</v>
      </c>
      <c r="G149" s="1317">
        <v>1000</v>
      </c>
      <c r="H149" s="1343">
        <v>2130</v>
      </c>
      <c r="I149" s="1343">
        <v>0</v>
      </c>
      <c r="J149" s="1319" t="s">
        <v>21</v>
      </c>
      <c r="K149" s="1320" t="s">
        <v>22</v>
      </c>
      <c r="L149" s="1319" t="s">
        <v>45</v>
      </c>
      <c r="M149" s="1320" t="s">
        <v>47</v>
      </c>
      <c r="N149" s="640" t="s">
        <v>938</v>
      </c>
      <c r="O149" s="640" t="s">
        <v>48</v>
      </c>
      <c r="P149" s="640"/>
      <c r="Q149" s="638" t="s">
        <v>954</v>
      </c>
      <c r="R149" s="639" t="s">
        <v>1147</v>
      </c>
      <c r="S149" s="639" t="s">
        <v>59</v>
      </c>
      <c r="T149" s="638"/>
      <c r="U149" s="1517" t="s">
        <v>24</v>
      </c>
    </row>
  </sheetData>
  <sheetProtection sheet="1" objects="1" scenarios="1"/>
  <conditionalFormatting sqref="A3:A14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6C7D4-A46C-4CA9-894C-14FDBF0EE118}">
  <dimension ref="A1:G37"/>
  <sheetViews>
    <sheetView topLeftCell="A19" workbookViewId="0">
      <selection activeCell="C24" sqref="C24"/>
    </sheetView>
  </sheetViews>
  <sheetFormatPr baseColWidth="10" defaultRowHeight="15" x14ac:dyDescent="0.25"/>
  <cols>
    <col min="1" max="1" width="25.7109375" customWidth="1"/>
    <col min="2" max="2" width="16.42578125" customWidth="1"/>
    <col min="3" max="3" width="17.140625" customWidth="1"/>
    <col min="4" max="4" width="18.85546875" bestFit="1" customWidth="1"/>
    <col min="5" max="5" width="19.85546875" bestFit="1" customWidth="1"/>
    <col min="6" max="6" width="13.85546875" bestFit="1" customWidth="1"/>
    <col min="7" max="7" width="14.85546875" bestFit="1" customWidth="1"/>
  </cols>
  <sheetData>
    <row r="1" spans="1:7" ht="15.75" x14ac:dyDescent="0.25">
      <c r="A1" s="1451" t="s">
        <v>1153</v>
      </c>
      <c r="B1" s="1141"/>
      <c r="C1" s="1141"/>
      <c r="D1" s="1141"/>
      <c r="E1" s="1141"/>
      <c r="F1" s="1141"/>
      <c r="G1" s="1141"/>
    </row>
    <row r="2" spans="1:7" x14ac:dyDescent="0.25">
      <c r="A2" s="1144" t="s">
        <v>47</v>
      </c>
      <c r="B2" s="1141"/>
      <c r="C2" s="1141"/>
      <c r="D2" s="1141"/>
      <c r="E2" s="1141"/>
      <c r="F2" s="1141"/>
      <c r="G2" s="1141"/>
    </row>
    <row r="3" spans="1:7" x14ac:dyDescent="0.25">
      <c r="A3" s="1573" t="s">
        <v>1150</v>
      </c>
      <c r="B3" s="1573">
        <v>276</v>
      </c>
      <c r="C3" s="36"/>
      <c r="D3" s="1573" t="s">
        <v>1148</v>
      </c>
      <c r="E3" s="1573">
        <v>128128</v>
      </c>
      <c r="F3" s="1573" t="s">
        <v>933</v>
      </c>
      <c r="G3" s="1182">
        <v>459.2</v>
      </c>
    </row>
    <row r="4" spans="1:7" x14ac:dyDescent="0.25">
      <c r="A4" s="36"/>
      <c r="B4" s="1574" t="s">
        <v>3</v>
      </c>
      <c r="C4" s="1574" t="s">
        <v>4</v>
      </c>
      <c r="D4" s="1575" t="s">
        <v>546</v>
      </c>
      <c r="E4" s="1575" t="s">
        <v>547</v>
      </c>
      <c r="F4" s="1575" t="s">
        <v>934</v>
      </c>
      <c r="G4" s="1575" t="s">
        <v>935</v>
      </c>
    </row>
    <row r="5" spans="1:7" x14ac:dyDescent="0.25">
      <c r="A5" s="1576"/>
      <c r="B5" s="1577">
        <f>SUM(B6:B22)</f>
        <v>189946694.65340424</v>
      </c>
      <c r="C5" s="1577">
        <f t="shared" ref="C5:G5" si="0">SUM(C6:C22)</f>
        <v>280474204.08999997</v>
      </c>
      <c r="D5" s="1578">
        <f t="shared" si="0"/>
        <v>205816.22811749781</v>
      </c>
      <c r="E5" s="1578">
        <f t="shared" si="0"/>
        <v>306303.22582136479</v>
      </c>
      <c r="F5" s="1578">
        <f>SUM(F6:F22)</f>
        <v>1.6063329492187328</v>
      </c>
      <c r="G5" s="1578">
        <f t="shared" si="0"/>
        <v>2.3906033483810312</v>
      </c>
    </row>
    <row r="6" spans="1:7" x14ac:dyDescent="0.25">
      <c r="A6" s="36" t="s">
        <v>71</v>
      </c>
      <c r="B6" s="1353">
        <v>3380528.44</v>
      </c>
      <c r="C6" s="1353">
        <v>0</v>
      </c>
      <c r="D6" s="1356">
        <v>3622.5711147054399</v>
      </c>
      <c r="E6" s="1356">
        <v>0</v>
      </c>
      <c r="F6" s="1356">
        <f>D6/$E$3</f>
        <v>2.8273063769866384E-2</v>
      </c>
      <c r="G6" s="1356">
        <f>E6/$E$3</f>
        <v>0</v>
      </c>
    </row>
    <row r="7" spans="1:7" x14ac:dyDescent="0.25">
      <c r="A7" s="36" t="s">
        <v>48</v>
      </c>
      <c r="B7" s="1353">
        <v>22907124.16</v>
      </c>
      <c r="C7" s="1353">
        <v>0</v>
      </c>
      <c r="D7" s="1356">
        <v>24636.798112092081</v>
      </c>
      <c r="E7" s="1356">
        <v>0</v>
      </c>
      <c r="F7" s="1356">
        <f t="shared" ref="F7:F22" si="1">D7/$E$3</f>
        <v>0.1922827025481712</v>
      </c>
      <c r="G7" s="1356">
        <f t="shared" ref="G7:G22" si="2">E7/$E$3</f>
        <v>0</v>
      </c>
    </row>
    <row r="8" spans="1:7" x14ac:dyDescent="0.25">
      <c r="A8" s="36" t="s">
        <v>126</v>
      </c>
      <c r="B8" s="1353">
        <v>25000</v>
      </c>
      <c r="C8" s="1353">
        <v>0</v>
      </c>
      <c r="D8" s="1356">
        <v>28.376844494892168</v>
      </c>
      <c r="E8" s="1356">
        <v>0</v>
      </c>
      <c r="F8" s="1356">
        <f t="shared" si="1"/>
        <v>2.2147262499135371E-4</v>
      </c>
      <c r="G8" s="1356">
        <f t="shared" si="2"/>
        <v>0</v>
      </c>
    </row>
    <row r="9" spans="1:7" x14ac:dyDescent="0.25">
      <c r="A9" s="36" t="s">
        <v>94</v>
      </c>
      <c r="B9" s="1353">
        <v>9174765</v>
      </c>
      <c r="C9" s="1353">
        <v>0</v>
      </c>
      <c r="D9" s="1356">
        <v>9746.2919666202652</v>
      </c>
      <c r="E9" s="1356">
        <v>0</v>
      </c>
      <c r="F9" s="1356">
        <f t="shared" si="1"/>
        <v>7.6066839150070745E-2</v>
      </c>
      <c r="G9" s="1356">
        <f t="shared" si="2"/>
        <v>0</v>
      </c>
    </row>
    <row r="10" spans="1:7" x14ac:dyDescent="0.25">
      <c r="A10" s="36" t="s">
        <v>82</v>
      </c>
      <c r="B10" s="1353">
        <v>4458001.4000000004</v>
      </c>
      <c r="C10" s="1353">
        <v>0</v>
      </c>
      <c r="D10" s="1356">
        <v>4809.5784745871515</v>
      </c>
      <c r="E10" s="1356">
        <v>0</v>
      </c>
      <c r="F10" s="1356">
        <f t="shared" si="1"/>
        <v>3.7537294538173949E-2</v>
      </c>
      <c r="G10" s="1356">
        <f t="shared" si="2"/>
        <v>0</v>
      </c>
    </row>
    <row r="11" spans="1:7" x14ac:dyDescent="0.25">
      <c r="A11" s="36" t="s">
        <v>62</v>
      </c>
      <c r="B11" s="1353">
        <v>114900</v>
      </c>
      <c r="C11" s="1353">
        <v>0</v>
      </c>
      <c r="D11" s="1356">
        <v>126.83551420710232</v>
      </c>
      <c r="E11" s="1356">
        <v>0</v>
      </c>
      <c r="F11" s="1356">
        <f t="shared" si="1"/>
        <v>9.8991254220078613E-4</v>
      </c>
      <c r="G11" s="1356">
        <f t="shared" si="2"/>
        <v>0</v>
      </c>
    </row>
    <row r="12" spans="1:7" x14ac:dyDescent="0.25">
      <c r="A12" s="36" t="s">
        <v>271</v>
      </c>
      <c r="B12" s="1353">
        <v>96800</v>
      </c>
      <c r="C12" s="1353">
        <v>0</v>
      </c>
      <c r="D12" s="1356">
        <v>96.8</v>
      </c>
      <c r="E12" s="1356">
        <v>0</v>
      </c>
      <c r="F12" s="1356">
        <f t="shared" si="1"/>
        <v>7.5549450549450552E-4</v>
      </c>
      <c r="G12" s="1356">
        <f t="shared" si="2"/>
        <v>0</v>
      </c>
    </row>
    <row r="13" spans="1:7" x14ac:dyDescent="0.25">
      <c r="A13" s="36" t="s">
        <v>136</v>
      </c>
      <c r="B13" s="1353">
        <v>1014432.54</v>
      </c>
      <c r="C13" s="1353">
        <v>0</v>
      </c>
      <c r="D13" s="1356">
        <v>1103.6904156954247</v>
      </c>
      <c r="E13" s="1356">
        <v>0</v>
      </c>
      <c r="F13" s="1356">
        <f t="shared" si="1"/>
        <v>8.6139674052152903E-3</v>
      </c>
      <c r="G13" s="1356">
        <f t="shared" si="2"/>
        <v>0</v>
      </c>
    </row>
    <row r="14" spans="1:7" x14ac:dyDescent="0.25">
      <c r="A14" s="36" t="s">
        <v>135</v>
      </c>
      <c r="B14" s="1353">
        <f>D14*1000</f>
        <v>105297424.42340425</v>
      </c>
      <c r="C14" s="1353">
        <v>843694.27</v>
      </c>
      <c r="D14" s="1356">
        <v>105297.42442340424</v>
      </c>
      <c r="E14" s="1356">
        <v>0</v>
      </c>
      <c r="F14" s="1356">
        <f t="shared" si="1"/>
        <v>0.82181431399385174</v>
      </c>
      <c r="G14" s="1356">
        <f t="shared" si="2"/>
        <v>0</v>
      </c>
    </row>
    <row r="15" spans="1:7" x14ac:dyDescent="0.25">
      <c r="A15" s="36" t="s">
        <v>77</v>
      </c>
      <c r="B15" s="1353">
        <v>1370134.77</v>
      </c>
      <c r="C15" s="1353">
        <v>0</v>
      </c>
      <c r="D15" s="1356">
        <v>1475.7029042178135</v>
      </c>
      <c r="E15" s="1356">
        <v>0</v>
      </c>
      <c r="F15" s="1356">
        <f t="shared" si="1"/>
        <v>1.1517411527673995E-2</v>
      </c>
      <c r="G15" s="1356">
        <f t="shared" si="2"/>
        <v>0</v>
      </c>
    </row>
    <row r="16" spans="1:7" x14ac:dyDescent="0.25">
      <c r="A16" s="36" t="s">
        <v>92</v>
      </c>
      <c r="B16" s="1353">
        <v>4606</v>
      </c>
      <c r="C16" s="1353">
        <v>0</v>
      </c>
      <c r="D16" s="1356">
        <v>5.3495934959349594</v>
      </c>
      <c r="E16" s="1356">
        <v>0</v>
      </c>
      <c r="F16" s="1356">
        <f t="shared" si="1"/>
        <v>4.1751947239752118E-5</v>
      </c>
      <c r="G16" s="1356">
        <f t="shared" si="2"/>
        <v>0</v>
      </c>
    </row>
    <row r="17" spans="1:7" x14ac:dyDescent="0.25">
      <c r="A17" s="36" t="s">
        <v>83</v>
      </c>
      <c r="B17" s="1353">
        <v>0</v>
      </c>
      <c r="C17" s="1353">
        <v>279630509.81999999</v>
      </c>
      <c r="D17" s="1356">
        <v>0</v>
      </c>
      <c r="E17" s="1356">
        <v>306303.22582136479</v>
      </c>
      <c r="F17" s="1356">
        <f t="shared" si="1"/>
        <v>0</v>
      </c>
      <c r="G17" s="1356">
        <f t="shared" si="2"/>
        <v>2.3906033483810312</v>
      </c>
    </row>
    <row r="18" spans="1:7" x14ac:dyDescent="0.25">
      <c r="A18" s="36" t="s">
        <v>99</v>
      </c>
      <c r="B18" s="1353">
        <v>822527.13</v>
      </c>
      <c r="C18" s="1353">
        <v>0</v>
      </c>
      <c r="D18" s="1356">
        <v>853.24391078838175</v>
      </c>
      <c r="E18" s="1356">
        <v>0</v>
      </c>
      <c r="F18" s="1356">
        <f t="shared" si="1"/>
        <v>6.6593087442899422E-3</v>
      </c>
      <c r="G18" s="1356">
        <f t="shared" si="2"/>
        <v>0</v>
      </c>
    </row>
    <row r="19" spans="1:7" x14ac:dyDescent="0.25">
      <c r="A19" s="36" t="s">
        <v>33</v>
      </c>
      <c r="B19" s="1353">
        <v>820000</v>
      </c>
      <c r="C19" s="1353">
        <v>0</v>
      </c>
      <c r="D19" s="1356">
        <v>874.20042643923239</v>
      </c>
      <c r="E19" s="1356">
        <v>0</v>
      </c>
      <c r="F19" s="1356">
        <f t="shared" si="1"/>
        <v>6.8228679635929101E-3</v>
      </c>
      <c r="G19" s="1356">
        <f t="shared" si="2"/>
        <v>0</v>
      </c>
    </row>
    <row r="20" spans="1:7" x14ac:dyDescent="0.25">
      <c r="A20" s="1372" t="s">
        <v>1152</v>
      </c>
      <c r="B20" s="1353">
        <v>31993065</v>
      </c>
      <c r="C20" s="1353">
        <v>0</v>
      </c>
      <c r="D20" s="1356">
        <v>43657.771926315792</v>
      </c>
      <c r="E20" s="1356">
        <v>0</v>
      </c>
      <c r="F20" s="1356">
        <f t="shared" si="1"/>
        <v>0.34073560756677534</v>
      </c>
      <c r="G20" s="1356">
        <f t="shared" si="2"/>
        <v>0</v>
      </c>
    </row>
    <row r="21" spans="1:7" x14ac:dyDescent="0.25">
      <c r="A21" s="36" t="s">
        <v>535</v>
      </c>
      <c r="B21" s="1353">
        <v>3345180.79</v>
      </c>
      <c r="C21" s="1353">
        <v>0</v>
      </c>
      <c r="D21" s="1356">
        <v>3832.1137544622802</v>
      </c>
      <c r="E21" s="1356">
        <v>0</v>
      </c>
      <c r="F21" s="1356">
        <f t="shared" si="1"/>
        <v>2.9908480226510055E-2</v>
      </c>
      <c r="G21" s="1356">
        <f t="shared" si="2"/>
        <v>0</v>
      </c>
    </row>
    <row r="22" spans="1:7" x14ac:dyDescent="0.25">
      <c r="A22" s="36" t="s">
        <v>40</v>
      </c>
      <c r="B22" s="1353">
        <v>5122205</v>
      </c>
      <c r="C22" s="1353">
        <v>0</v>
      </c>
      <c r="D22" s="1356">
        <v>5649.4787359717802</v>
      </c>
      <c r="E22" s="1356">
        <v>0</v>
      </c>
      <c r="F22" s="1356">
        <f t="shared" si="1"/>
        <v>4.4092460164614919E-2</v>
      </c>
      <c r="G22" s="1356">
        <f t="shared" si="2"/>
        <v>0</v>
      </c>
    </row>
    <row r="23" spans="1:7" x14ac:dyDescent="0.25">
      <c r="A23" s="36"/>
      <c r="B23" s="1357"/>
      <c r="C23" s="1357"/>
      <c r="D23" s="1356"/>
      <c r="E23" s="1356"/>
      <c r="F23" s="1356"/>
      <c r="G23" s="1356"/>
    </row>
    <row r="24" spans="1:7" x14ac:dyDescent="0.25">
      <c r="A24" s="205" t="s">
        <v>5</v>
      </c>
      <c r="B24" s="1363"/>
      <c r="C24" s="1363">
        <f>C5-B5</f>
        <v>90527509.436595738</v>
      </c>
      <c r="D24" s="1364"/>
      <c r="E24" s="1364">
        <f>E5-D5</f>
        <v>100486.99770386697</v>
      </c>
      <c r="F24" s="1364"/>
      <c r="G24" s="1364">
        <f>G5-F5</f>
        <v>0.78427039916229835</v>
      </c>
    </row>
    <row r="25" spans="1:7" x14ac:dyDescent="0.25">
      <c r="A25" s="36"/>
      <c r="B25" s="36"/>
      <c r="C25" s="36"/>
      <c r="D25" s="36"/>
      <c r="E25" s="36"/>
      <c r="F25" s="36"/>
      <c r="G25" s="36"/>
    </row>
    <row r="26" spans="1:7" x14ac:dyDescent="0.25">
      <c r="A26" s="1182" t="s">
        <v>1149</v>
      </c>
      <c r="B26" s="1355">
        <f>B5/E3</f>
        <v>1482.4760759038168</v>
      </c>
      <c r="C26" s="1355">
        <f>C5/E3</f>
        <v>2189.0157037493755</v>
      </c>
      <c r="D26" s="36"/>
      <c r="E26" s="36"/>
      <c r="F26" s="36"/>
      <c r="G26" s="36"/>
    </row>
    <row r="27" spans="1:7" x14ac:dyDescent="0.25">
      <c r="A27" s="1182" t="s">
        <v>1157</v>
      </c>
      <c r="B27" s="36"/>
      <c r="C27" s="1594">
        <f>C26/B26</f>
        <v>1.4765942866327908</v>
      </c>
      <c r="D27" s="36"/>
      <c r="E27" s="36" t="s">
        <v>1158</v>
      </c>
      <c r="F27" s="36"/>
      <c r="G27" s="1356"/>
    </row>
    <row r="28" spans="1:7" x14ac:dyDescent="0.25">
      <c r="A28" s="36"/>
      <c r="B28" s="36"/>
      <c r="C28" s="36"/>
      <c r="D28" s="36"/>
      <c r="E28" s="1355"/>
      <c r="F28" s="36"/>
      <c r="G28" s="36"/>
    </row>
    <row r="29" spans="1:7" x14ac:dyDescent="0.25">
      <c r="A29" s="1182" t="s">
        <v>1156</v>
      </c>
      <c r="B29" s="36"/>
      <c r="C29" s="1594">
        <f>G5/F5</f>
        <v>1.4882365138209619</v>
      </c>
      <c r="D29" s="36"/>
      <c r="E29" s="36"/>
      <c r="F29" s="36"/>
      <c r="G29" s="36"/>
    </row>
    <row r="30" spans="1:7" x14ac:dyDescent="0.25">
      <c r="A30" s="36"/>
      <c r="B30" s="36"/>
      <c r="C30" s="36"/>
      <c r="D30" s="36"/>
      <c r="E30" s="36"/>
      <c r="F30" s="36"/>
      <c r="G30" s="36"/>
    </row>
    <row r="31" spans="1:7" x14ac:dyDescent="0.25">
      <c r="A31" s="36" t="s">
        <v>1162</v>
      </c>
      <c r="B31" s="36">
        <f>G3*0.58</f>
        <v>266.33599999999996</v>
      </c>
      <c r="C31" s="36" t="s">
        <v>1161</v>
      </c>
      <c r="D31" s="36"/>
      <c r="E31" s="36"/>
      <c r="F31" s="36"/>
      <c r="G31" s="36"/>
    </row>
    <row r="32" spans="1:7" x14ac:dyDescent="0.25">
      <c r="A32" s="36" t="s">
        <v>1160</v>
      </c>
      <c r="B32" s="1357">
        <f>4850</f>
        <v>4850</v>
      </c>
      <c r="C32" s="36">
        <v>0.57999999999999996</v>
      </c>
      <c r="D32" s="36"/>
      <c r="E32" s="36"/>
      <c r="F32" s="36"/>
      <c r="G32" s="36"/>
    </row>
    <row r="33" spans="1:7" x14ac:dyDescent="0.25">
      <c r="A33" s="36"/>
      <c r="B33" s="1591">
        <f>B32*C32</f>
        <v>2813</v>
      </c>
      <c r="C33" s="36"/>
      <c r="D33" s="36"/>
      <c r="E33" s="36"/>
      <c r="F33" s="36"/>
      <c r="G33" s="36"/>
    </row>
    <row r="34" spans="1:7" x14ac:dyDescent="0.25">
      <c r="A34" s="36" t="s">
        <v>1163</v>
      </c>
      <c r="B34" s="1592">
        <v>0.72</v>
      </c>
      <c r="C34" s="36"/>
      <c r="D34" s="36"/>
      <c r="E34" s="36"/>
      <c r="F34" s="36"/>
      <c r="G34" s="36"/>
    </row>
    <row r="35" spans="1:7" x14ac:dyDescent="0.25">
      <c r="B35">
        <f>B31*B34</f>
        <v>191.76191999999998</v>
      </c>
      <c r="C35" t="s">
        <v>1164</v>
      </c>
    </row>
    <row r="37" spans="1:7" x14ac:dyDescent="0.25">
      <c r="B37" s="23"/>
      <c r="D37" s="23"/>
    </row>
  </sheetData>
  <pageMargins left="0.25" right="0.25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C8682-B4A0-462E-AA91-C825A1CB89AA}">
  <sheetPr>
    <pageSetUpPr fitToPage="1"/>
  </sheetPr>
  <dimension ref="A1:AU59"/>
  <sheetViews>
    <sheetView showGridLines="0" topLeftCell="A3" zoomScale="106" zoomScaleNormal="106" workbookViewId="0">
      <selection activeCell="J22" sqref="J22"/>
    </sheetView>
  </sheetViews>
  <sheetFormatPr baseColWidth="10" defaultColWidth="11.42578125" defaultRowHeight="11.25" customHeight="1" x14ac:dyDescent="0.25"/>
  <cols>
    <col min="1" max="1" width="15.7109375" style="418" bestFit="1" customWidth="1"/>
    <col min="2" max="2" width="23.7109375" style="418" customWidth="1"/>
    <col min="3" max="3" width="8.7109375" style="418" bestFit="1" customWidth="1"/>
    <col min="4" max="4" width="12.5703125" style="418" customWidth="1"/>
    <col min="5" max="5" width="13" style="418" hidden="1" customWidth="1"/>
    <col min="6" max="6" width="14.140625" style="34" hidden="1" customWidth="1"/>
    <col min="7" max="7" width="9.5703125" style="419" hidden="1" customWidth="1"/>
    <col min="8" max="8" width="11.42578125" style="419" bestFit="1" customWidth="1"/>
    <col min="9" max="9" width="12.7109375" style="419" customWidth="1"/>
    <col min="10" max="10" width="19.85546875" style="418" customWidth="1"/>
    <col min="11" max="11" width="16.42578125" style="418" hidden="1" customWidth="1"/>
    <col min="12" max="12" width="7.5703125" style="418" hidden="1" customWidth="1"/>
    <col min="13" max="13" width="16.85546875" style="418" hidden="1" customWidth="1"/>
    <col min="14" max="14" width="16.28515625" style="418" hidden="1" customWidth="1"/>
    <col min="15" max="15" width="6.5703125" style="418" hidden="1" customWidth="1"/>
    <col min="16" max="16" width="16.85546875" style="418" hidden="1" customWidth="1"/>
    <col min="17" max="17" width="16.28515625" style="418" hidden="1" customWidth="1"/>
    <col min="18" max="18" width="8.140625" style="419" hidden="1" customWidth="1"/>
    <col min="19" max="19" width="16.85546875" style="418" hidden="1" customWidth="1"/>
    <col min="20" max="20" width="16.28515625" style="418" hidden="1" customWidth="1"/>
    <col min="21" max="21" width="8.85546875" style="419" hidden="1" customWidth="1"/>
    <col min="22" max="22" width="16.85546875" style="418" hidden="1" customWidth="1"/>
    <col min="23" max="23" width="16.28515625" style="418" hidden="1" customWidth="1"/>
    <col min="24" max="24" width="7.5703125" style="418" hidden="1" customWidth="1"/>
    <col min="25" max="25" width="16.85546875" style="418" hidden="1" customWidth="1"/>
    <col min="26" max="26" width="16.28515625" style="418" hidden="1" customWidth="1"/>
    <col min="27" max="27" width="8.85546875" style="419" hidden="1" customWidth="1"/>
    <col min="28" max="28" width="16.85546875" style="418" hidden="1" customWidth="1"/>
    <col min="29" max="29" width="16.28515625" style="418" hidden="1" customWidth="1"/>
    <col min="30" max="30" width="7.5703125" style="418" hidden="1" customWidth="1"/>
    <col min="31" max="31" width="16.85546875" style="418" hidden="1" customWidth="1"/>
    <col min="32" max="32" width="16.28515625" style="418" hidden="1" customWidth="1"/>
    <col min="33" max="33" width="13.28515625" style="418" bestFit="1" customWidth="1"/>
    <col min="34" max="16384" width="11.42578125" style="418"/>
  </cols>
  <sheetData>
    <row r="1" spans="1:35" ht="22.5" customHeight="1" x14ac:dyDescent="0.25">
      <c r="A1" s="1472" t="s">
        <v>928</v>
      </c>
      <c r="J1" s="1595"/>
      <c r="K1" s="1595"/>
      <c r="M1" s="1595"/>
      <c r="N1" s="1595"/>
      <c r="V1" s="1595"/>
      <c r="W1" s="1595"/>
      <c r="Y1" s="1595"/>
      <c r="Z1" s="1595"/>
      <c r="AB1" s="1595" t="s">
        <v>558</v>
      </c>
      <c r="AC1" s="1595"/>
      <c r="AE1" s="1595"/>
      <c r="AF1" s="1595"/>
      <c r="AI1" s="418" t="s">
        <v>559</v>
      </c>
    </row>
    <row r="2" spans="1:35" s="419" customFormat="1" ht="11.25" customHeight="1" x14ac:dyDescent="0.2">
      <c r="A2" s="421" t="s">
        <v>560</v>
      </c>
      <c r="B2" s="422" t="s">
        <v>929</v>
      </c>
      <c r="C2" s="422"/>
      <c r="D2" s="423"/>
      <c r="E2" s="424"/>
      <c r="F2" s="425"/>
      <c r="G2" s="426"/>
      <c r="H2" s="426"/>
      <c r="I2" s="426"/>
      <c r="J2" s="1473">
        <v>23</v>
      </c>
      <c r="K2" s="649">
        <f>+J2</f>
        <v>23</v>
      </c>
      <c r="L2" s="426"/>
      <c r="M2" s="426"/>
      <c r="N2" s="649">
        <f>+M2</f>
        <v>0</v>
      </c>
      <c r="O2" s="426"/>
      <c r="P2" s="426"/>
      <c r="Q2" s="649">
        <f>+P2</f>
        <v>0</v>
      </c>
      <c r="R2" s="426"/>
      <c r="S2" s="426"/>
      <c r="T2" s="649">
        <f>+S2</f>
        <v>0</v>
      </c>
      <c r="U2" s="426"/>
      <c r="V2" s="426"/>
      <c r="W2" s="649">
        <f>+V2</f>
        <v>0</v>
      </c>
      <c r="X2" s="426"/>
      <c r="Y2" s="426"/>
      <c r="Z2" s="649">
        <f>+Y2</f>
        <v>0</v>
      </c>
      <c r="AA2" s="426"/>
      <c r="AB2" s="426">
        <v>300</v>
      </c>
      <c r="AC2" s="649">
        <f>+AB2</f>
        <v>300</v>
      </c>
      <c r="AD2" s="426"/>
      <c r="AE2" s="426">
        <v>305</v>
      </c>
      <c r="AF2" s="649">
        <f>+AE2</f>
        <v>305</v>
      </c>
    </row>
    <row r="3" spans="1:35" s="419" customFormat="1" ht="12" customHeight="1" x14ac:dyDescent="0.2">
      <c r="A3" s="428" t="s">
        <v>561</v>
      </c>
      <c r="B3" s="429"/>
      <c r="C3" s="429"/>
      <c r="D3" s="430"/>
      <c r="E3" s="431"/>
      <c r="F3" s="432"/>
      <c r="G3" s="433"/>
      <c r="H3" s="433"/>
      <c r="I3" s="433"/>
      <c r="J3" s="650" t="s">
        <v>562</v>
      </c>
      <c r="K3" s="651" t="s">
        <v>563</v>
      </c>
      <c r="L3" s="433"/>
      <c r="M3" s="433" t="s">
        <v>562</v>
      </c>
      <c r="N3" s="651" t="s">
        <v>563</v>
      </c>
      <c r="O3" s="433"/>
      <c r="P3" s="433" t="s">
        <v>562</v>
      </c>
      <c r="Q3" s="651" t="s">
        <v>563</v>
      </c>
      <c r="R3" s="433"/>
      <c r="S3" s="433" t="s">
        <v>562</v>
      </c>
      <c r="T3" s="651" t="s">
        <v>563</v>
      </c>
      <c r="U3" s="433"/>
      <c r="V3" s="433" t="s">
        <v>562</v>
      </c>
      <c r="W3" s="651" t="s">
        <v>563</v>
      </c>
      <c r="X3" s="433"/>
      <c r="Y3" s="433" t="s">
        <v>562</v>
      </c>
      <c r="Z3" s="651" t="s">
        <v>563</v>
      </c>
      <c r="AA3" s="433"/>
      <c r="AB3" s="433" t="s">
        <v>562</v>
      </c>
      <c r="AC3" s="651" t="s">
        <v>563</v>
      </c>
      <c r="AD3" s="433"/>
      <c r="AE3" s="433" t="s">
        <v>562</v>
      </c>
      <c r="AF3" s="651" t="s">
        <v>563</v>
      </c>
    </row>
    <row r="4" spans="1:35" s="441" customFormat="1" ht="12" customHeight="1" x14ac:dyDescent="0.2">
      <c r="A4" s="435" t="s">
        <v>564</v>
      </c>
      <c r="B4" s="436">
        <f ca="1">+TODAY()</f>
        <v>45763</v>
      </c>
      <c r="C4" s="436"/>
      <c r="D4" s="435"/>
      <c r="E4" s="437"/>
      <c r="F4" s="438" t="s">
        <v>565</v>
      </c>
      <c r="G4" s="435" t="s">
        <v>34</v>
      </c>
      <c r="H4" s="435"/>
      <c r="I4" s="435"/>
      <c r="J4" s="652" t="s">
        <v>111</v>
      </c>
      <c r="K4" s="440" t="str">
        <f>+J4</f>
        <v>MAIZ</v>
      </c>
      <c r="L4" s="435"/>
      <c r="M4" s="440" t="s">
        <v>567</v>
      </c>
      <c r="N4" s="652" t="str">
        <f>+M4</f>
        <v>Maiz 1º</v>
      </c>
      <c r="O4" s="435"/>
      <c r="P4" s="440" t="s">
        <v>568</v>
      </c>
      <c r="Q4" s="652" t="str">
        <f>+P4</f>
        <v>Soja 1a / maiz</v>
      </c>
      <c r="R4" s="435"/>
      <c r="S4" s="440" t="s">
        <v>569</v>
      </c>
      <c r="T4" s="440" t="str">
        <f>+S4</f>
        <v>Soja 1a STS</v>
      </c>
      <c r="U4" s="435"/>
      <c r="V4" s="440" t="s">
        <v>570</v>
      </c>
      <c r="W4" s="440" t="str">
        <f>+V4</f>
        <v>Soja 1a</v>
      </c>
      <c r="X4" s="435"/>
      <c r="Y4" s="440" t="s">
        <v>567</v>
      </c>
      <c r="Z4" s="652" t="str">
        <f>+Y4</f>
        <v>Maiz 1º</v>
      </c>
      <c r="AA4" s="435"/>
      <c r="AB4" s="440" t="s">
        <v>570</v>
      </c>
      <c r="AC4" s="440" t="str">
        <f>+AB4</f>
        <v>Soja 1a</v>
      </c>
      <c r="AD4" s="435"/>
      <c r="AE4" s="440" t="s">
        <v>567</v>
      </c>
      <c r="AF4" s="652" t="str">
        <f>+AE4</f>
        <v>Maiz 1º</v>
      </c>
    </row>
    <row r="5" spans="1:35" s="441" customFormat="1" ht="12" customHeight="1" x14ac:dyDescent="0.2">
      <c r="A5" s="435"/>
      <c r="B5" s="436"/>
      <c r="C5" s="436"/>
      <c r="D5" s="442"/>
      <c r="F5" s="443"/>
      <c r="G5" s="442" t="s">
        <v>571</v>
      </c>
      <c r="H5" s="442"/>
      <c r="I5" s="442"/>
      <c r="J5" s="653">
        <v>7</v>
      </c>
      <c r="K5" s="654">
        <f>+J5</f>
        <v>7</v>
      </c>
      <c r="L5" s="453"/>
      <c r="M5" s="453">
        <v>6.5</v>
      </c>
      <c r="N5" s="654">
        <f>+M5</f>
        <v>6.5</v>
      </c>
      <c r="O5" s="453"/>
      <c r="P5" s="453">
        <v>3.5</v>
      </c>
      <c r="Q5" s="654">
        <f>+P5</f>
        <v>3.5</v>
      </c>
      <c r="R5" s="442"/>
      <c r="S5" s="453">
        <v>3.7</v>
      </c>
      <c r="T5" s="654">
        <f>+S5</f>
        <v>3.7</v>
      </c>
      <c r="U5" s="442"/>
      <c r="V5" s="453">
        <v>3.1</v>
      </c>
      <c r="W5" s="654">
        <f>+V5</f>
        <v>3.1</v>
      </c>
      <c r="X5" s="453"/>
      <c r="Y5" s="453">
        <v>8.3000000000000007</v>
      </c>
      <c r="Z5" s="654">
        <f>+Y5</f>
        <v>8.3000000000000007</v>
      </c>
      <c r="AA5" s="442"/>
      <c r="AB5" s="453">
        <v>3.7</v>
      </c>
      <c r="AC5" s="654">
        <f>+AB5</f>
        <v>3.7</v>
      </c>
      <c r="AD5" s="453"/>
      <c r="AE5" s="453">
        <v>8.3000000000000007</v>
      </c>
      <c r="AF5" s="654">
        <f>+AE5</f>
        <v>8.3000000000000007</v>
      </c>
    </row>
    <row r="6" spans="1:35" ht="11.25" customHeight="1" x14ac:dyDescent="0.25">
      <c r="A6" s="446" t="s">
        <v>572</v>
      </c>
      <c r="B6" s="447">
        <v>806</v>
      </c>
      <c r="C6" s="448" t="s">
        <v>34</v>
      </c>
      <c r="D6" s="449" t="s">
        <v>571</v>
      </c>
      <c r="E6" s="450"/>
      <c r="F6" s="425" t="s">
        <v>561</v>
      </c>
      <c r="G6" s="451"/>
      <c r="H6" s="451"/>
      <c r="I6" s="563"/>
      <c r="J6" s="655">
        <v>7</v>
      </c>
      <c r="K6" s="453">
        <f>J6</f>
        <v>7</v>
      </c>
      <c r="L6" s="453"/>
      <c r="M6" s="453">
        <f>M5</f>
        <v>6.5</v>
      </c>
      <c r="N6" s="655">
        <f>N5</f>
        <v>6.5</v>
      </c>
      <c r="O6" s="453"/>
      <c r="P6" s="453">
        <f>P5</f>
        <v>3.5</v>
      </c>
      <c r="Q6" s="655">
        <f>Q5</f>
        <v>3.5</v>
      </c>
      <c r="R6" s="451"/>
      <c r="S6" s="453">
        <f>S5</f>
        <v>3.7</v>
      </c>
      <c r="T6" s="453">
        <f>T5</f>
        <v>3.7</v>
      </c>
      <c r="U6" s="451">
        <v>0.7</v>
      </c>
      <c r="V6" s="453">
        <f>V5*U6</f>
        <v>2.17</v>
      </c>
      <c r="W6" s="453">
        <f>V6</f>
        <v>2.17</v>
      </c>
      <c r="X6" s="453">
        <v>0.7</v>
      </c>
      <c r="Y6" s="453">
        <f>Y5*X6</f>
        <v>5.8100000000000005</v>
      </c>
      <c r="Z6" s="655">
        <f>Y6</f>
        <v>5.8100000000000005</v>
      </c>
      <c r="AA6" s="451"/>
      <c r="AB6" s="453">
        <f>AB5</f>
        <v>3.7</v>
      </c>
      <c r="AC6" s="453">
        <f>AC5</f>
        <v>3.7</v>
      </c>
      <c r="AD6" s="453">
        <v>0.7</v>
      </c>
      <c r="AE6" s="453">
        <f>AE5*AD6</f>
        <v>5.8100000000000005</v>
      </c>
      <c r="AF6" s="655">
        <f>AE6</f>
        <v>5.8100000000000005</v>
      </c>
    </row>
    <row r="7" spans="1:35" ht="11.25" customHeight="1" x14ac:dyDescent="0.25">
      <c r="A7" s="454"/>
      <c r="B7" s="419"/>
      <c r="C7" s="455"/>
      <c r="D7" s="454" t="s">
        <v>573</v>
      </c>
      <c r="F7" s="443" t="s">
        <v>574</v>
      </c>
      <c r="G7" s="456"/>
      <c r="H7" s="456"/>
      <c r="I7" s="456"/>
      <c r="J7" s="656">
        <v>170</v>
      </c>
      <c r="K7" s="657">
        <f>+J7</f>
        <v>170</v>
      </c>
      <c r="L7" s="658"/>
      <c r="M7" s="456">
        <v>120</v>
      </c>
      <c r="N7" s="657">
        <f>+M7</f>
        <v>120</v>
      </c>
      <c r="O7" s="658"/>
      <c r="P7" s="456">
        <v>230</v>
      </c>
      <c r="Q7" s="657">
        <f>+P7</f>
        <v>230</v>
      </c>
      <c r="R7" s="456"/>
      <c r="S7" s="456">
        <v>230</v>
      </c>
      <c r="T7" s="657">
        <f>+S7</f>
        <v>230</v>
      </c>
      <c r="U7" s="456"/>
      <c r="V7" s="456">
        <v>220</v>
      </c>
      <c r="W7" s="657">
        <f>+V7</f>
        <v>220</v>
      </c>
      <c r="X7" s="658"/>
      <c r="Y7" s="456">
        <v>120</v>
      </c>
      <c r="Z7" s="657">
        <f>+Y7</f>
        <v>120</v>
      </c>
      <c r="AA7" s="456"/>
      <c r="AB7" s="456">
        <v>230</v>
      </c>
      <c r="AC7" s="657">
        <f>+AB7</f>
        <v>230</v>
      </c>
      <c r="AD7" s="658"/>
      <c r="AE7" s="456">
        <v>120</v>
      </c>
      <c r="AF7" s="657">
        <f>+AE7</f>
        <v>120</v>
      </c>
    </row>
    <row r="8" spans="1:35" ht="11.25" customHeight="1" x14ac:dyDescent="0.25">
      <c r="A8" s="454"/>
      <c r="B8" s="419"/>
      <c r="C8" s="455"/>
      <c r="D8" s="454" t="s">
        <v>573</v>
      </c>
      <c r="F8" s="443" t="s">
        <v>575</v>
      </c>
      <c r="G8" s="460"/>
      <c r="H8" s="460"/>
      <c r="I8" s="460"/>
      <c r="J8" s="1474">
        <f>J7*B6</f>
        <v>137020</v>
      </c>
      <c r="K8" s="660">
        <f>K7*B6</f>
        <v>137020</v>
      </c>
      <c r="L8" s="661"/>
      <c r="M8" s="456">
        <f>M7*B6</f>
        <v>96720</v>
      </c>
      <c r="N8" s="660">
        <f>N7*B6</f>
        <v>96720</v>
      </c>
      <c r="O8" s="662"/>
      <c r="P8" s="462">
        <f>P7*B6</f>
        <v>185380</v>
      </c>
      <c r="Q8" s="660">
        <f>Q7*B6</f>
        <v>185380</v>
      </c>
      <c r="R8" s="460"/>
      <c r="S8" s="462">
        <f>S7*B6</f>
        <v>185380</v>
      </c>
      <c r="T8" s="660">
        <f>T7*B6</f>
        <v>185380</v>
      </c>
      <c r="U8" s="460"/>
      <c r="V8" s="462">
        <f>V7*B6</f>
        <v>177320</v>
      </c>
      <c r="W8" s="660">
        <f>W7*B6</f>
        <v>177320</v>
      </c>
      <c r="X8" s="661"/>
      <c r="Y8" s="456">
        <f>Y7*B6</f>
        <v>96720</v>
      </c>
      <c r="Z8" s="660">
        <f>Z7*B6</f>
        <v>96720</v>
      </c>
      <c r="AA8" s="460"/>
      <c r="AB8" s="462">
        <f>AB7*U6</f>
        <v>161</v>
      </c>
      <c r="AC8" s="660">
        <f>AC7*U6</f>
        <v>161</v>
      </c>
      <c r="AD8" s="661"/>
      <c r="AE8" s="456">
        <f>AE7*B6</f>
        <v>96720</v>
      </c>
      <c r="AF8" s="660">
        <f>AF7*B6</f>
        <v>96720</v>
      </c>
    </row>
    <row r="9" spans="1:35" ht="11.25" customHeight="1" x14ac:dyDescent="0.25">
      <c r="A9" s="454"/>
      <c r="B9" s="419"/>
      <c r="C9" s="455"/>
      <c r="D9" s="454"/>
      <c r="F9" s="443"/>
      <c r="G9" s="460"/>
      <c r="H9" s="460"/>
      <c r="I9" s="460"/>
      <c r="J9" s="671"/>
      <c r="K9" s="662"/>
      <c r="L9" s="661"/>
      <c r="M9" s="456"/>
      <c r="N9" s="660"/>
      <c r="O9" s="661"/>
      <c r="P9" s="456"/>
      <c r="Q9" s="662"/>
      <c r="R9" s="460"/>
      <c r="S9" s="456"/>
      <c r="T9" s="662"/>
      <c r="U9" s="460"/>
      <c r="V9" s="456"/>
      <c r="W9" s="662"/>
      <c r="X9" s="661"/>
      <c r="Y9" s="456"/>
      <c r="Z9" s="660"/>
      <c r="AA9" s="460"/>
      <c r="AB9" s="456"/>
      <c r="AC9" s="662"/>
      <c r="AD9" s="661"/>
      <c r="AE9" s="456"/>
      <c r="AF9" s="660"/>
    </row>
    <row r="10" spans="1:35" ht="11.25" customHeight="1" x14ac:dyDescent="0.25">
      <c r="A10" s="463" t="s">
        <v>576</v>
      </c>
      <c r="B10" s="464"/>
      <c r="C10" s="465"/>
      <c r="D10" s="463" t="s">
        <v>577</v>
      </c>
      <c r="E10" s="464"/>
      <c r="F10" s="432" t="s">
        <v>575</v>
      </c>
      <c r="G10" s="466"/>
      <c r="H10" s="466"/>
      <c r="I10" s="466"/>
      <c r="J10" s="468">
        <f>+J7*J5</f>
        <v>1190</v>
      </c>
      <c r="K10" s="664">
        <f>+K8*K6</f>
        <v>959140</v>
      </c>
      <c r="L10" s="580"/>
      <c r="M10" s="468">
        <f>+M7*M6</f>
        <v>780</v>
      </c>
      <c r="N10" s="664">
        <f>+N8*N6</f>
        <v>628680</v>
      </c>
      <c r="O10" s="580"/>
      <c r="P10" s="468">
        <f>+P7*P6</f>
        <v>805</v>
      </c>
      <c r="Q10" s="664">
        <f>+Q8*Q6</f>
        <v>648830</v>
      </c>
      <c r="R10" s="466"/>
      <c r="S10" s="468">
        <f>+S7*S6</f>
        <v>851</v>
      </c>
      <c r="T10" s="664">
        <f>+T8*T6</f>
        <v>685906</v>
      </c>
      <c r="U10" s="466"/>
      <c r="V10" s="468">
        <f>+V7*V6</f>
        <v>477.4</v>
      </c>
      <c r="W10" s="664">
        <f>+W8*W6</f>
        <v>384784.39999999997</v>
      </c>
      <c r="X10" s="580"/>
      <c r="Y10" s="468">
        <f>+Y7*Y6</f>
        <v>697.2</v>
      </c>
      <c r="Z10" s="664">
        <f>+Z8*Z6</f>
        <v>561943.20000000007</v>
      </c>
      <c r="AA10" s="466"/>
      <c r="AB10" s="468">
        <f>+AB7*AB6</f>
        <v>851</v>
      </c>
      <c r="AC10" s="664">
        <f>+AC8*AC6</f>
        <v>595.70000000000005</v>
      </c>
      <c r="AD10" s="580"/>
      <c r="AE10" s="468">
        <f>+AE7*AE6</f>
        <v>697.2</v>
      </c>
      <c r="AF10" s="664">
        <f>+AF8*AF6</f>
        <v>561943.20000000007</v>
      </c>
    </row>
    <row r="11" spans="1:35" ht="11.25" customHeight="1" x14ac:dyDescent="0.25">
      <c r="A11" s="449"/>
      <c r="B11" s="450"/>
      <c r="C11" s="469">
        <v>0.105</v>
      </c>
      <c r="D11" s="449"/>
      <c r="E11" s="450"/>
      <c r="F11" s="470" t="s">
        <v>578</v>
      </c>
      <c r="G11" s="471"/>
      <c r="H11" s="471"/>
      <c r="I11" s="471"/>
      <c r="J11" s="473"/>
      <c r="K11" s="665">
        <f>+K10*1.105</f>
        <v>1059849.7</v>
      </c>
      <c r="L11" s="666"/>
      <c r="M11" s="473"/>
      <c r="N11" s="665">
        <f>+N10*1.105</f>
        <v>694691.4</v>
      </c>
      <c r="O11" s="666"/>
      <c r="P11" s="473"/>
      <c r="Q11" s="665">
        <f>+Q10*1.105</f>
        <v>716957.15</v>
      </c>
      <c r="R11" s="471"/>
      <c r="S11" s="473"/>
      <c r="T11" s="665">
        <f>+T10*1.105</f>
        <v>757926.13</v>
      </c>
      <c r="U11" s="471"/>
      <c r="V11" s="473"/>
      <c r="W11" s="665">
        <f>+W10*1.105</f>
        <v>425186.76199999993</v>
      </c>
      <c r="X11" s="666"/>
      <c r="Y11" s="473"/>
      <c r="Z11" s="665">
        <f>+Z10*1.105</f>
        <v>620947.23600000003</v>
      </c>
      <c r="AA11" s="471"/>
      <c r="AB11" s="473"/>
      <c r="AC11" s="665">
        <f>+AC10*1.105</f>
        <v>658.24850000000004</v>
      </c>
      <c r="AD11" s="666"/>
      <c r="AE11" s="473"/>
      <c r="AF11" s="665">
        <f>+AF10*1.105</f>
        <v>620947.23600000003</v>
      </c>
      <c r="AI11"/>
    </row>
    <row r="12" spans="1:35" ht="23.45" customHeight="1" x14ac:dyDescent="0.25">
      <c r="A12" s="449" t="s">
        <v>579</v>
      </c>
      <c r="B12" s="667" t="s">
        <v>580</v>
      </c>
      <c r="C12" s="469"/>
      <c r="D12" s="474">
        <v>40</v>
      </c>
      <c r="E12" s="450">
        <f>D12*B6</f>
        <v>32240</v>
      </c>
      <c r="F12" s="475"/>
      <c r="G12" s="476"/>
      <c r="H12" s="476"/>
      <c r="I12" s="476"/>
      <c r="J12" s="478">
        <f>+D12*J6</f>
        <v>280</v>
      </c>
      <c r="K12" s="668">
        <f>+J12*1.21*B6</f>
        <v>273072.8</v>
      </c>
      <c r="L12" s="669"/>
      <c r="M12" s="478">
        <f>D12*M5</f>
        <v>260</v>
      </c>
      <c r="N12" s="668">
        <f>+M12*1.21*B6</f>
        <v>253567.59999999998</v>
      </c>
      <c r="O12" s="669"/>
      <c r="P12" s="478">
        <f>P5*D12</f>
        <v>140</v>
      </c>
      <c r="Q12" s="668">
        <f>+P12*1.21*B6</f>
        <v>136536.4</v>
      </c>
      <c r="R12" s="476"/>
      <c r="S12" s="478">
        <f>D12*S5</f>
        <v>148</v>
      </c>
      <c r="T12" s="668">
        <f>+S12*1.21*B6</f>
        <v>144338.47999999998</v>
      </c>
      <c r="U12" s="476"/>
      <c r="V12" s="478">
        <f>D12*V6</f>
        <v>86.8</v>
      </c>
      <c r="W12" s="668">
        <f>+V12*1.21*B6</f>
        <v>84652.567999999999</v>
      </c>
      <c r="X12" s="669"/>
      <c r="Y12" s="478">
        <f>D12*Y6</f>
        <v>232.40000000000003</v>
      </c>
      <c r="Z12" s="668">
        <f>+Y12*1.21*B6</f>
        <v>226650.424</v>
      </c>
      <c r="AA12" s="476"/>
      <c r="AB12" s="478">
        <f>W12*AB5</f>
        <v>313214.50160000002</v>
      </c>
      <c r="AC12" s="668">
        <f>+AB12*1.21*U6</f>
        <v>265292.68285519996</v>
      </c>
      <c r="AD12" s="669"/>
      <c r="AE12" s="478">
        <f>D12*AE6</f>
        <v>232.40000000000003</v>
      </c>
      <c r="AF12" s="668">
        <f>+AE12*1.21*B6</f>
        <v>226650.424</v>
      </c>
      <c r="AI12"/>
    </row>
    <row r="13" spans="1:35" ht="11.25" customHeight="1" x14ac:dyDescent="0.25">
      <c r="A13" s="454"/>
      <c r="B13" s="670" t="s">
        <v>581</v>
      </c>
      <c r="C13" s="479"/>
      <c r="D13" s="480">
        <v>35</v>
      </c>
      <c r="E13" s="418">
        <f>+D13*B6</f>
        <v>28210</v>
      </c>
      <c r="F13" s="481">
        <f>+E13*1.21</f>
        <v>34134.1</v>
      </c>
      <c r="G13" s="460"/>
      <c r="H13" s="460"/>
      <c r="I13" s="460"/>
      <c r="J13" s="663"/>
      <c r="K13" s="660"/>
      <c r="L13" s="661"/>
      <c r="M13" s="456"/>
      <c r="N13" s="660"/>
      <c r="O13" s="661"/>
      <c r="P13" s="456"/>
      <c r="Q13" s="660"/>
      <c r="R13" s="460"/>
      <c r="S13" s="456"/>
      <c r="T13" s="660"/>
      <c r="U13" s="460"/>
      <c r="V13" s="456"/>
      <c r="W13" s="660"/>
      <c r="X13" s="661"/>
      <c r="Y13" s="456"/>
      <c r="Z13" s="660"/>
      <c r="AA13" s="460"/>
      <c r="AB13" s="456"/>
      <c r="AC13" s="660"/>
      <c r="AD13" s="661"/>
      <c r="AE13" s="456"/>
      <c r="AF13" s="660"/>
      <c r="AI13"/>
    </row>
    <row r="14" spans="1:35" ht="11.25" customHeight="1" x14ac:dyDescent="0.25">
      <c r="A14" s="454"/>
      <c r="B14" s="441" t="s">
        <v>582</v>
      </c>
      <c r="C14" s="479"/>
      <c r="D14" s="454"/>
      <c r="F14" s="482">
        <v>6.0000000000000001E-3</v>
      </c>
      <c r="G14" s="460"/>
      <c r="H14" s="460"/>
      <c r="I14" s="460"/>
      <c r="J14" s="663"/>
      <c r="K14" s="660">
        <f t="shared" ref="K14:K19" si="0">+$K$10*F14</f>
        <v>5754.84</v>
      </c>
      <c r="L14" s="661"/>
      <c r="M14" s="456"/>
      <c r="N14" s="660">
        <f t="shared" ref="N14:N19" si="1">+$N$10*F14</f>
        <v>3772.08</v>
      </c>
      <c r="O14" s="661"/>
      <c r="P14" s="456"/>
      <c r="Q14" s="660">
        <f t="shared" ref="Q14:Q19" si="2">+$Q$10*F14</f>
        <v>3892.98</v>
      </c>
      <c r="R14" s="460"/>
      <c r="S14" s="456"/>
      <c r="T14" s="660">
        <f t="shared" ref="T14:T19" si="3">+$K$10*F14</f>
        <v>5754.84</v>
      </c>
      <c r="U14" s="460"/>
      <c r="V14" s="456"/>
      <c r="W14" s="660">
        <f t="shared" ref="W14:W19" si="4">+$K$10*F14</f>
        <v>5754.84</v>
      </c>
      <c r="X14" s="661"/>
      <c r="Y14" s="456"/>
      <c r="Z14" s="660">
        <f t="shared" ref="Z14:Z19" si="5">+$N$10*F14</f>
        <v>3772.08</v>
      </c>
      <c r="AA14" s="460"/>
      <c r="AB14" s="456"/>
      <c r="AC14" s="660">
        <f t="shared" ref="AC14:AC19" si="6">+$K$10*Y14</f>
        <v>0</v>
      </c>
      <c r="AD14" s="661"/>
      <c r="AE14" s="456"/>
      <c r="AF14" s="660">
        <f t="shared" ref="AF14:AF19" si="7">+$N$10*F14</f>
        <v>3772.08</v>
      </c>
      <c r="AI14"/>
    </row>
    <row r="15" spans="1:35" ht="11.25" customHeight="1" x14ac:dyDescent="0.25">
      <c r="A15" s="454"/>
      <c r="B15" s="441" t="s">
        <v>583</v>
      </c>
      <c r="C15" s="479"/>
      <c r="D15" s="454"/>
      <c r="F15" s="483">
        <v>1.4999999999999999E-2</v>
      </c>
      <c r="G15" s="460"/>
      <c r="H15" s="460"/>
      <c r="I15" s="460"/>
      <c r="J15" s="663"/>
      <c r="K15" s="660">
        <f t="shared" si="0"/>
        <v>14387.1</v>
      </c>
      <c r="L15" s="661"/>
      <c r="M15" s="456"/>
      <c r="N15" s="660">
        <f t="shared" si="1"/>
        <v>9430.1999999999989</v>
      </c>
      <c r="O15" s="661"/>
      <c r="P15" s="456"/>
      <c r="Q15" s="660">
        <f t="shared" si="2"/>
        <v>9732.4499999999989</v>
      </c>
      <c r="R15" s="460"/>
      <c r="S15" s="456"/>
      <c r="T15" s="660">
        <f t="shared" si="3"/>
        <v>14387.1</v>
      </c>
      <c r="U15" s="460"/>
      <c r="V15" s="456"/>
      <c r="W15" s="660">
        <f t="shared" si="4"/>
        <v>14387.1</v>
      </c>
      <c r="X15" s="661"/>
      <c r="Y15" s="456"/>
      <c r="Z15" s="660">
        <f t="shared" si="5"/>
        <v>9430.1999999999989</v>
      </c>
      <c r="AA15" s="460"/>
      <c r="AB15" s="456"/>
      <c r="AC15" s="660">
        <f t="shared" si="6"/>
        <v>0</v>
      </c>
      <c r="AD15" s="661"/>
      <c r="AE15" s="456"/>
      <c r="AF15" s="660">
        <f t="shared" si="7"/>
        <v>9430.1999999999989</v>
      </c>
      <c r="AI15"/>
    </row>
    <row r="16" spans="1:35" ht="11.25" customHeight="1" x14ac:dyDescent="0.25">
      <c r="A16" s="454"/>
      <c r="B16" s="441" t="s">
        <v>584</v>
      </c>
      <c r="C16" s="479"/>
      <c r="D16" s="454"/>
      <c r="F16" s="483">
        <v>1.6299999999999999E-2</v>
      </c>
      <c r="G16" s="460"/>
      <c r="H16" s="460"/>
      <c r="I16" s="460"/>
      <c r="J16" s="663"/>
      <c r="K16" s="660">
        <f t="shared" si="0"/>
        <v>15633.981999999998</v>
      </c>
      <c r="L16" s="661"/>
      <c r="M16" s="456"/>
      <c r="N16" s="660">
        <f t="shared" si="1"/>
        <v>10247.483999999999</v>
      </c>
      <c r="O16" s="661"/>
      <c r="P16" s="456"/>
      <c r="Q16" s="660">
        <f t="shared" si="2"/>
        <v>10575.928999999998</v>
      </c>
      <c r="R16" s="460"/>
      <c r="S16" s="456"/>
      <c r="T16" s="660">
        <f t="shared" si="3"/>
        <v>15633.981999999998</v>
      </c>
      <c r="U16" s="460"/>
      <c r="V16" s="456"/>
      <c r="W16" s="660">
        <f t="shared" si="4"/>
        <v>15633.981999999998</v>
      </c>
      <c r="X16" s="661"/>
      <c r="Y16" s="456"/>
      <c r="Z16" s="660">
        <f t="shared" si="5"/>
        <v>10247.483999999999</v>
      </c>
      <c r="AA16" s="460"/>
      <c r="AB16" s="456"/>
      <c r="AC16" s="660">
        <f t="shared" si="6"/>
        <v>0</v>
      </c>
      <c r="AD16" s="661"/>
      <c r="AE16" s="456"/>
      <c r="AF16" s="660">
        <f t="shared" si="7"/>
        <v>10247.483999999999</v>
      </c>
    </row>
    <row r="17" spans="1:47" ht="11.25" customHeight="1" x14ac:dyDescent="0.25">
      <c r="A17" s="454"/>
      <c r="B17" s="441" t="s">
        <v>585</v>
      </c>
      <c r="C17" s="479"/>
      <c r="D17" s="454"/>
      <c r="F17" s="483">
        <v>0.08</v>
      </c>
      <c r="G17" s="460"/>
      <c r="H17" s="460"/>
      <c r="I17" s="460"/>
      <c r="J17" s="663"/>
      <c r="K17" s="660">
        <f t="shared" si="0"/>
        <v>76731.199999999997</v>
      </c>
      <c r="L17" s="661"/>
      <c r="M17" s="456"/>
      <c r="N17" s="660">
        <f t="shared" si="1"/>
        <v>50294.400000000001</v>
      </c>
      <c r="O17" s="661"/>
      <c r="P17" s="456"/>
      <c r="Q17" s="660">
        <f t="shared" si="2"/>
        <v>51906.400000000001</v>
      </c>
      <c r="R17" s="460"/>
      <c r="S17" s="456"/>
      <c r="T17" s="660">
        <f t="shared" si="3"/>
        <v>76731.199999999997</v>
      </c>
      <c r="U17" s="460"/>
      <c r="V17" s="456"/>
      <c r="W17" s="660">
        <f t="shared" si="4"/>
        <v>76731.199999999997</v>
      </c>
      <c r="X17" s="661"/>
      <c r="Y17" s="456"/>
      <c r="Z17" s="660">
        <f t="shared" si="5"/>
        <v>50294.400000000001</v>
      </c>
      <c r="AA17" s="460"/>
      <c r="AB17" s="456"/>
      <c r="AC17" s="660">
        <f t="shared" si="6"/>
        <v>0</v>
      </c>
      <c r="AD17" s="661"/>
      <c r="AE17" s="456"/>
      <c r="AF17" s="660">
        <f t="shared" si="7"/>
        <v>50294.400000000001</v>
      </c>
    </row>
    <row r="18" spans="1:47" ht="11.25" customHeight="1" x14ac:dyDescent="0.25">
      <c r="A18" s="454"/>
      <c r="B18" s="418" t="s">
        <v>586</v>
      </c>
      <c r="C18" s="479"/>
      <c r="D18" s="454"/>
      <c r="F18" s="483">
        <v>0</v>
      </c>
      <c r="G18" s="460"/>
      <c r="H18" s="460"/>
      <c r="I18" s="460"/>
      <c r="J18" s="663"/>
      <c r="K18" s="660">
        <f t="shared" si="0"/>
        <v>0</v>
      </c>
      <c r="L18" s="661"/>
      <c r="M18" s="456"/>
      <c r="N18" s="660">
        <f t="shared" si="1"/>
        <v>0</v>
      </c>
      <c r="O18" s="661"/>
      <c r="P18" s="456"/>
      <c r="Q18" s="660">
        <f t="shared" si="2"/>
        <v>0</v>
      </c>
      <c r="R18" s="460"/>
      <c r="S18" s="456"/>
      <c r="T18" s="660">
        <f t="shared" si="3"/>
        <v>0</v>
      </c>
      <c r="U18" s="460"/>
      <c r="V18" s="456"/>
      <c r="W18" s="660">
        <f t="shared" si="4"/>
        <v>0</v>
      </c>
      <c r="X18" s="661"/>
      <c r="Y18" s="456"/>
      <c r="Z18" s="660">
        <f t="shared" si="5"/>
        <v>0</v>
      </c>
      <c r="AA18" s="460"/>
      <c r="AB18" s="456"/>
      <c r="AC18" s="660">
        <f t="shared" si="6"/>
        <v>0</v>
      </c>
      <c r="AD18" s="661"/>
      <c r="AE18" s="456"/>
      <c r="AF18" s="660">
        <f t="shared" si="7"/>
        <v>0</v>
      </c>
    </row>
    <row r="19" spans="1:47" ht="11.45" customHeight="1" x14ac:dyDescent="0.25">
      <c r="A19" s="454"/>
      <c r="B19" s="418" t="s">
        <v>587</v>
      </c>
      <c r="C19" s="479"/>
      <c r="D19" s="454"/>
      <c r="F19" s="482">
        <v>0.01</v>
      </c>
      <c r="G19" s="460"/>
      <c r="H19" s="460"/>
      <c r="I19" s="460"/>
      <c r="J19" s="671">
        <f>+F19*J10</f>
        <v>11.9</v>
      </c>
      <c r="K19" s="660">
        <f t="shared" si="0"/>
        <v>9591.4</v>
      </c>
      <c r="L19" s="661"/>
      <c r="M19" s="456">
        <f>+F19*M10</f>
        <v>7.8</v>
      </c>
      <c r="N19" s="660">
        <f t="shared" si="1"/>
        <v>6286.8</v>
      </c>
      <c r="O19" s="661"/>
      <c r="P19" s="456">
        <f>+F19*P10</f>
        <v>8.0500000000000007</v>
      </c>
      <c r="Q19" s="660">
        <f t="shared" si="2"/>
        <v>6488.3</v>
      </c>
      <c r="R19" s="460"/>
      <c r="S19" s="456">
        <f>+F19*S10</f>
        <v>8.51</v>
      </c>
      <c r="T19" s="660">
        <f t="shared" si="3"/>
        <v>9591.4</v>
      </c>
      <c r="U19" s="460"/>
      <c r="V19" s="456">
        <f>+F19*V10</f>
        <v>4.774</v>
      </c>
      <c r="W19" s="660">
        <f t="shared" si="4"/>
        <v>9591.4</v>
      </c>
      <c r="X19" s="661"/>
      <c r="Y19" s="456">
        <f>+F19*Y10</f>
        <v>6.9720000000000004</v>
      </c>
      <c r="Z19" s="660">
        <f t="shared" si="5"/>
        <v>6286.8</v>
      </c>
      <c r="AA19" s="460"/>
      <c r="AB19" s="456">
        <f>+Y19*AB10</f>
        <v>5933.1720000000005</v>
      </c>
      <c r="AC19" s="660">
        <f t="shared" si="6"/>
        <v>6687124.0800000001</v>
      </c>
      <c r="AD19" s="661"/>
      <c r="AE19" s="456">
        <f>+F19*AE10</f>
        <v>6.9720000000000004</v>
      </c>
      <c r="AF19" s="660">
        <f t="shared" si="7"/>
        <v>6286.8</v>
      </c>
    </row>
    <row r="20" spans="1:47" ht="14.45" customHeight="1" x14ac:dyDescent="0.25">
      <c r="A20" s="484" t="s">
        <v>588</v>
      </c>
      <c r="B20" s="464"/>
      <c r="C20" s="485"/>
      <c r="D20" s="463"/>
      <c r="E20" s="464"/>
      <c r="F20" s="486"/>
      <c r="G20" s="487"/>
      <c r="H20" s="487"/>
      <c r="I20" s="564"/>
      <c r="J20" s="489">
        <f>SUM(J12:J19)</f>
        <v>291.89999999999998</v>
      </c>
      <c r="K20" s="672">
        <f>SUM(K12:K19)</f>
        <v>395171.32200000004</v>
      </c>
      <c r="L20" s="673"/>
      <c r="M20" s="489">
        <f>SUM(M12:M19)</f>
        <v>267.8</v>
      </c>
      <c r="N20" s="672">
        <f>SUM(N12:N19)</f>
        <v>333598.56399999995</v>
      </c>
      <c r="O20" s="673"/>
      <c r="P20" s="489">
        <f>SUM(P12:P19)</f>
        <v>148.05000000000001</v>
      </c>
      <c r="Q20" s="672">
        <f>SUM(Q12:Q19)</f>
        <v>219132.459</v>
      </c>
      <c r="R20" s="487"/>
      <c r="S20" s="489">
        <f>SUM(S12:S19)</f>
        <v>156.51</v>
      </c>
      <c r="T20" s="672">
        <f>SUM(T12:T19)</f>
        <v>266437.00199999998</v>
      </c>
      <c r="U20" s="487"/>
      <c r="V20" s="489">
        <f>SUM(V12:V19)</f>
        <v>91.573999999999998</v>
      </c>
      <c r="W20" s="672">
        <f>SUM(W12:W19)</f>
        <v>206751.09</v>
      </c>
      <c r="X20" s="673"/>
      <c r="Y20" s="489">
        <f>SUM(Y12:Y19)</f>
        <v>239.37200000000004</v>
      </c>
      <c r="Z20" s="672">
        <f>SUM(Z12:Z19)</f>
        <v>306681.38799999998</v>
      </c>
      <c r="AA20" s="487"/>
      <c r="AB20" s="489">
        <f>SUM(AB12:AB19)</f>
        <v>319147.67360000004</v>
      </c>
      <c r="AC20" s="672">
        <f>SUM(AC12:AC19)</f>
        <v>6952416.7628552001</v>
      </c>
      <c r="AD20" s="673"/>
      <c r="AE20" s="489">
        <f>SUM(AE12:AE19)</f>
        <v>239.37200000000004</v>
      </c>
      <c r="AF20" s="674">
        <f>SUM(AF12:AF19)</f>
        <v>306681.38799999998</v>
      </c>
      <c r="AG20" s="491"/>
      <c r="AH20" s="491"/>
      <c r="AI20" s="491"/>
      <c r="AJ20" s="491"/>
      <c r="AK20" s="491"/>
      <c r="AL20" s="491"/>
      <c r="AM20" s="491"/>
      <c r="AN20" s="491"/>
      <c r="AO20" s="491"/>
      <c r="AP20" s="491"/>
      <c r="AQ20" s="491"/>
      <c r="AR20" s="491"/>
      <c r="AS20" s="491"/>
      <c r="AT20" s="491"/>
      <c r="AU20" s="491"/>
    </row>
    <row r="21" spans="1:47" ht="35.450000000000003" customHeight="1" x14ac:dyDescent="0.25">
      <c r="A21" s="1475" t="s">
        <v>589</v>
      </c>
      <c r="B21" s="1476"/>
      <c r="C21" s="1476" t="s">
        <v>565</v>
      </c>
      <c r="D21" s="1477" t="s">
        <v>590</v>
      </c>
      <c r="E21" s="1478" t="s">
        <v>591</v>
      </c>
      <c r="F21" s="1479" t="s">
        <v>592</v>
      </c>
      <c r="G21" s="497"/>
      <c r="H21" s="498" t="s">
        <v>593</v>
      </c>
      <c r="I21" s="498" t="s">
        <v>594</v>
      </c>
      <c r="J21" s="1480">
        <f>+J10-J20</f>
        <v>898.1</v>
      </c>
      <c r="K21" s="676">
        <f>+K11-K20</f>
        <v>664678.37799999991</v>
      </c>
      <c r="L21" s="677" t="s">
        <v>595</v>
      </c>
      <c r="M21" s="678">
        <f>+M10-M20</f>
        <v>512.20000000000005</v>
      </c>
      <c r="N21" s="676">
        <f>+N11-N20</f>
        <v>361092.83600000007</v>
      </c>
      <c r="O21" s="677" t="s">
        <v>595</v>
      </c>
      <c r="P21" s="679">
        <f>+P10-P20</f>
        <v>656.95</v>
      </c>
      <c r="Q21" s="676">
        <f>+Q11-Q20</f>
        <v>497824.69099999999</v>
      </c>
      <c r="R21" s="677" t="s">
        <v>595</v>
      </c>
      <c r="S21" s="679">
        <f>+S10-S20</f>
        <v>694.49</v>
      </c>
      <c r="T21" s="676">
        <f>+T11-T20</f>
        <v>491489.12800000003</v>
      </c>
      <c r="U21" s="677" t="s">
        <v>595</v>
      </c>
      <c r="V21" s="679">
        <f>+V10-V20</f>
        <v>385.82599999999996</v>
      </c>
      <c r="W21" s="676">
        <f>+W11-W20</f>
        <v>218435.67199999993</v>
      </c>
      <c r="X21" s="677" t="s">
        <v>595</v>
      </c>
      <c r="Y21" s="678">
        <f>+Y10-Y20</f>
        <v>457.82799999999997</v>
      </c>
      <c r="Z21" s="676">
        <f>+Z11-Z20</f>
        <v>314265.84800000006</v>
      </c>
      <c r="AA21" s="677" t="s">
        <v>595</v>
      </c>
      <c r="AB21" s="679">
        <f>+AB10-AB20</f>
        <v>-318296.67360000004</v>
      </c>
      <c r="AC21" s="676">
        <f>+AC11-AC20</f>
        <v>-6951758.5143552003</v>
      </c>
      <c r="AD21" s="677" t="s">
        <v>595</v>
      </c>
      <c r="AE21" s="678">
        <f>+AE10-AE20</f>
        <v>457.82799999999997</v>
      </c>
      <c r="AF21" s="680">
        <f>+AF11-AF20</f>
        <v>314265.84800000006</v>
      </c>
      <c r="AG21" s="491"/>
      <c r="AH21" s="491"/>
      <c r="AI21" s="491"/>
      <c r="AJ21" s="491"/>
      <c r="AK21" s="491"/>
      <c r="AL21" s="491"/>
      <c r="AM21" s="491"/>
      <c r="AN21" s="491"/>
      <c r="AO21" s="491"/>
      <c r="AP21" s="491"/>
      <c r="AQ21" s="491"/>
      <c r="AR21" s="491"/>
      <c r="AS21" s="491"/>
      <c r="AT21" s="491"/>
      <c r="AU21" s="491"/>
    </row>
    <row r="22" spans="1:47" ht="15" customHeight="1" x14ac:dyDescent="0.25">
      <c r="A22" s="681" t="s">
        <v>596</v>
      </c>
      <c r="B22" s="682" t="s">
        <v>597</v>
      </c>
      <c r="C22" s="682" t="s">
        <v>565</v>
      </c>
      <c r="D22" s="683">
        <v>25</v>
      </c>
      <c r="E22" s="682">
        <f t="shared" ref="E22:E41" si="8">+D22*$B$6</f>
        <v>20150</v>
      </c>
      <c r="F22" s="684">
        <f>+D22*$B$6*1.105</f>
        <v>22265.75</v>
      </c>
      <c r="G22" s="685">
        <v>0</v>
      </c>
      <c r="H22" s="685">
        <v>1</v>
      </c>
      <c r="I22" s="686">
        <v>1</v>
      </c>
      <c r="J22" s="1481">
        <f>+I22*D22</f>
        <v>25</v>
      </c>
      <c r="K22" s="687">
        <f>+J22*(1+G22)*$B$6</f>
        <v>20150</v>
      </c>
      <c r="L22" s="688">
        <v>1</v>
      </c>
      <c r="M22" s="689">
        <f>L22*D22</f>
        <v>25</v>
      </c>
      <c r="N22" s="690">
        <f>+M22*(1+G22)*$B$6</f>
        <v>20150</v>
      </c>
      <c r="O22" s="688"/>
      <c r="P22" s="689">
        <f>O22*D22</f>
        <v>0</v>
      </c>
      <c r="Q22" s="690">
        <f>+P22*(1+G22)*$B$6</f>
        <v>0</v>
      </c>
      <c r="R22" s="691"/>
      <c r="S22" s="689">
        <f>R22*D22</f>
        <v>0</v>
      </c>
      <c r="T22" s="690">
        <f>+S22*(1+G22)*$B$6</f>
        <v>0</v>
      </c>
      <c r="U22" s="691">
        <v>1</v>
      </c>
      <c r="V22" s="689">
        <f>U22*D22</f>
        <v>25</v>
      </c>
      <c r="W22" s="690">
        <f>+V22*(1+G22)*$B$6</f>
        <v>20150</v>
      </c>
      <c r="X22" s="688">
        <v>1</v>
      </c>
      <c r="Y22" s="689">
        <f>X22*D22</f>
        <v>25</v>
      </c>
      <c r="Z22" s="690">
        <f>+Y22*(1+G22)*$B$6</f>
        <v>20150</v>
      </c>
      <c r="AA22" s="691">
        <v>1</v>
      </c>
      <c r="AB22" s="689">
        <f>AA22*W22</f>
        <v>20150</v>
      </c>
      <c r="AC22" s="690">
        <f>+AB22*(1+Z22)*$B$6</f>
        <v>327270375900</v>
      </c>
      <c r="AD22" s="688">
        <v>1</v>
      </c>
      <c r="AE22" s="689">
        <f>AD22*D22</f>
        <v>25</v>
      </c>
      <c r="AF22" s="692">
        <f>+AE22*(1+G22)*$B$6</f>
        <v>20150</v>
      </c>
      <c r="AI22" s="491"/>
      <c r="AJ22" s="491"/>
      <c r="AK22" s="491"/>
      <c r="AL22" s="491"/>
      <c r="AM22" s="491"/>
      <c r="AN22" s="491"/>
      <c r="AO22" s="491"/>
      <c r="AP22" s="491"/>
      <c r="AQ22" s="491"/>
      <c r="AR22" s="491"/>
      <c r="AS22" s="491"/>
      <c r="AT22" s="491"/>
      <c r="AU22" s="491"/>
    </row>
    <row r="23" spans="1:47" ht="15" customHeight="1" x14ac:dyDescent="0.25">
      <c r="A23" s="681" t="s">
        <v>596</v>
      </c>
      <c r="B23" s="682" t="s">
        <v>598</v>
      </c>
      <c r="C23" s="682" t="s">
        <v>565</v>
      </c>
      <c r="D23" s="683">
        <v>6.5</v>
      </c>
      <c r="E23" s="682">
        <f t="shared" si="8"/>
        <v>5239</v>
      </c>
      <c r="F23" s="684">
        <f>+D23*$B$6*1.105</f>
        <v>5789.0950000000003</v>
      </c>
      <c r="G23" s="685">
        <v>0.105</v>
      </c>
      <c r="H23" s="685">
        <v>6</v>
      </c>
      <c r="I23" s="686">
        <v>3</v>
      </c>
      <c r="J23" s="1482">
        <f>I23*D23</f>
        <v>19.5</v>
      </c>
      <c r="K23" s="687">
        <f>+J23*(1+G23)*$B$6</f>
        <v>17367.285</v>
      </c>
      <c r="L23" s="688">
        <v>3</v>
      </c>
      <c r="M23" s="689">
        <f>L23*D23</f>
        <v>19.5</v>
      </c>
      <c r="N23" s="690">
        <f>+M23*(1+G23)*$B$6</f>
        <v>17367.285</v>
      </c>
      <c r="O23" s="688"/>
      <c r="P23" s="689">
        <f>O23*D23</f>
        <v>0</v>
      </c>
      <c r="Q23" s="690">
        <f>+P23*(1+G23)*$B$6</f>
        <v>0</v>
      </c>
      <c r="R23" s="691"/>
      <c r="S23" s="689">
        <f>R23*D23</f>
        <v>0</v>
      </c>
      <c r="T23" s="690">
        <f>+S23*(1+G23)*$B$6</f>
        <v>0</v>
      </c>
      <c r="U23" s="691">
        <v>5.5</v>
      </c>
      <c r="V23" s="689">
        <f>U23*D23</f>
        <v>35.75</v>
      </c>
      <c r="W23" s="690">
        <f>+V23*(1+G23)*$B$6</f>
        <v>31840.022499999995</v>
      </c>
      <c r="X23" s="688">
        <v>4</v>
      </c>
      <c r="Y23" s="689">
        <f>X23*D23</f>
        <v>26</v>
      </c>
      <c r="Z23" s="690">
        <f>+Y23*(1+G23)*$B$6</f>
        <v>23156.38</v>
      </c>
      <c r="AA23" s="691">
        <v>6</v>
      </c>
      <c r="AB23" s="689">
        <f>AA23*W23</f>
        <v>191040.13499999998</v>
      </c>
      <c r="AC23" s="690">
        <f>+AB23*(1+Z23)*$B$6</f>
        <v>3565735135165.7173</v>
      </c>
      <c r="AD23" s="688">
        <v>4</v>
      </c>
      <c r="AE23" s="689">
        <f>AD23*D23</f>
        <v>26</v>
      </c>
      <c r="AF23" s="692">
        <f>+AE23*(1+G23)*$B$6</f>
        <v>23156.38</v>
      </c>
      <c r="AG23" s="693"/>
      <c r="AH23" s="694"/>
      <c r="AI23" s="501"/>
      <c r="AJ23" s="501"/>
      <c r="AK23" s="501"/>
      <c r="AL23" s="501"/>
      <c r="AM23" s="501"/>
      <c r="AN23" s="501"/>
      <c r="AO23" s="501"/>
      <c r="AP23" s="501"/>
      <c r="AQ23" s="501"/>
      <c r="AR23" s="501"/>
      <c r="AS23" s="501"/>
      <c r="AT23" s="501"/>
      <c r="AU23" s="501"/>
    </row>
    <row r="24" spans="1:47" ht="15" customHeight="1" x14ac:dyDescent="0.25">
      <c r="A24" s="681" t="s">
        <v>596</v>
      </c>
      <c r="B24" s="682" t="s">
        <v>599</v>
      </c>
      <c r="C24" s="682" t="s">
        <v>565</v>
      </c>
      <c r="D24" s="683">
        <v>11</v>
      </c>
      <c r="E24" s="682">
        <f t="shared" si="8"/>
        <v>8866</v>
      </c>
      <c r="F24" s="684">
        <f t="shared" ref="F24:F41" si="9">+D24*$B$6*1.21</f>
        <v>10727.86</v>
      </c>
      <c r="G24" s="685"/>
      <c r="H24" s="685">
        <v>1</v>
      </c>
      <c r="I24" s="686">
        <v>0</v>
      </c>
      <c r="J24" s="1482">
        <f>+I24*D24</f>
        <v>0</v>
      </c>
      <c r="K24" s="687"/>
      <c r="L24" s="688"/>
      <c r="M24" s="689"/>
      <c r="N24" s="690"/>
      <c r="O24" s="688"/>
      <c r="P24" s="689"/>
      <c r="Q24" s="690"/>
      <c r="R24" s="691"/>
      <c r="S24" s="689"/>
      <c r="T24" s="690"/>
      <c r="U24" s="691"/>
      <c r="V24" s="689"/>
      <c r="W24" s="690"/>
      <c r="X24" s="688"/>
      <c r="Y24" s="689"/>
      <c r="Z24" s="690"/>
      <c r="AA24" s="691"/>
      <c r="AB24" s="689"/>
      <c r="AC24" s="690"/>
      <c r="AD24" s="688"/>
      <c r="AE24" s="689"/>
      <c r="AF24" s="692"/>
      <c r="AI24" s="491"/>
      <c r="AJ24" s="491"/>
      <c r="AK24" s="491"/>
      <c r="AL24" s="491"/>
      <c r="AM24" s="491"/>
      <c r="AN24" s="491"/>
      <c r="AO24" s="491"/>
      <c r="AP24" s="491"/>
      <c r="AQ24" s="491"/>
      <c r="AR24" s="491"/>
      <c r="AS24" s="491"/>
      <c r="AT24" s="491"/>
      <c r="AU24" s="491"/>
    </row>
    <row r="25" spans="1:47" ht="15" customHeight="1" x14ac:dyDescent="0.25">
      <c r="A25" s="695" t="s">
        <v>600</v>
      </c>
      <c r="B25" s="696" t="s">
        <v>930</v>
      </c>
      <c r="C25" s="696" t="s">
        <v>602</v>
      </c>
      <c r="D25" s="697">
        <v>170</v>
      </c>
      <c r="E25" s="696">
        <f>+D25*$B$6</f>
        <v>137020</v>
      </c>
      <c r="F25" s="698">
        <f>+D25*$B$6*1.21</f>
        <v>165794.19999999998</v>
      </c>
      <c r="G25" s="699">
        <v>0.21</v>
      </c>
      <c r="H25" s="699">
        <v>62</v>
      </c>
      <c r="I25" s="700">
        <v>0.7</v>
      </c>
      <c r="J25" s="1483">
        <f t="shared" ref="J25:J41" si="10">I25*D25</f>
        <v>118.99999999999999</v>
      </c>
      <c r="K25" s="687">
        <f>+J25*(1+G25)*$B$6</f>
        <v>116055.93999999999</v>
      </c>
      <c r="L25" s="688"/>
      <c r="M25" s="689"/>
      <c r="N25" s="690"/>
      <c r="O25" s="688"/>
      <c r="P25" s="689">
        <f>O25*D25</f>
        <v>0</v>
      </c>
      <c r="Q25" s="690">
        <f>+P25*(1+G25)*$B$6</f>
        <v>0</v>
      </c>
      <c r="R25" s="691"/>
      <c r="S25" s="689">
        <f t="shared" ref="S25:S34" si="11">R25*D25</f>
        <v>0</v>
      </c>
      <c r="T25" s="690">
        <f>+S25*(1+G25)*$B$6</f>
        <v>0</v>
      </c>
      <c r="U25" s="691">
        <v>65</v>
      </c>
      <c r="V25" s="689">
        <f>U25*D25</f>
        <v>11050</v>
      </c>
      <c r="W25" s="690">
        <f>+V25*(1+G25)*$B$6</f>
        <v>10776623</v>
      </c>
      <c r="X25" s="688"/>
      <c r="Y25" s="689"/>
      <c r="Z25" s="690"/>
      <c r="AA25" s="691">
        <v>65</v>
      </c>
      <c r="AB25" s="689">
        <f>AA25*W25</f>
        <v>700480495</v>
      </c>
      <c r="AC25" s="690">
        <f>+AB25*(1+Z25)*$B$6</f>
        <v>564587278970</v>
      </c>
      <c r="AD25" s="688"/>
      <c r="AE25" s="689"/>
      <c r="AF25" s="692"/>
      <c r="AG25" s="702"/>
      <c r="AH25" s="703"/>
      <c r="AI25" s="509"/>
      <c r="AJ25" s="509"/>
      <c r="AK25" s="509"/>
      <c r="AL25" s="509"/>
      <c r="AM25" s="509"/>
      <c r="AN25" s="509"/>
      <c r="AO25" s="509"/>
      <c r="AP25" s="509"/>
      <c r="AQ25" s="509"/>
      <c r="AR25" s="509"/>
      <c r="AS25" s="509"/>
      <c r="AT25" s="509"/>
      <c r="AU25" s="509"/>
    </row>
    <row r="26" spans="1:47" ht="15" customHeight="1" x14ac:dyDescent="0.25">
      <c r="A26" s="718" t="s">
        <v>389</v>
      </c>
      <c r="B26" s="1484" t="s">
        <v>390</v>
      </c>
      <c r="C26" s="720" t="s">
        <v>603</v>
      </c>
      <c r="D26" s="1485"/>
      <c r="E26" s="720">
        <f>+D26*$B$6</f>
        <v>0</v>
      </c>
      <c r="F26" s="737">
        <f>+D26*$B$6*1.21</f>
        <v>0</v>
      </c>
      <c r="G26" s="740">
        <v>0.21</v>
      </c>
      <c r="H26" s="740">
        <v>1.5</v>
      </c>
      <c r="I26" s="741"/>
      <c r="J26" s="1486">
        <f t="shared" si="10"/>
        <v>0</v>
      </c>
      <c r="K26" s="713">
        <f>+J26*(1+G26)*$B$6</f>
        <v>0</v>
      </c>
      <c r="L26" s="714"/>
      <c r="M26" s="508"/>
      <c r="N26" s="715"/>
      <c r="O26" s="714"/>
      <c r="P26" s="508"/>
      <c r="Q26" s="715"/>
      <c r="R26" s="716"/>
      <c r="S26" s="508">
        <f t="shared" si="11"/>
        <v>0</v>
      </c>
      <c r="T26" s="715">
        <f>+S26*(1+G26)*$B$6</f>
        <v>0</v>
      </c>
      <c r="U26" s="716">
        <v>1</v>
      </c>
      <c r="V26" s="508">
        <f>U26*D26</f>
        <v>0</v>
      </c>
      <c r="W26" s="715">
        <f>+V26*(1+G26)*$B$6</f>
        <v>0</v>
      </c>
      <c r="X26" s="714"/>
      <c r="Y26" s="508"/>
      <c r="Z26" s="715"/>
      <c r="AA26" s="716">
        <v>1</v>
      </c>
      <c r="AB26" s="508">
        <f>AA26*W26</f>
        <v>0</v>
      </c>
      <c r="AC26" s="715">
        <f>+AB26*(1+Z26)*$B$6</f>
        <v>0</v>
      </c>
      <c r="AD26" s="714"/>
      <c r="AE26" s="508"/>
      <c r="AF26" s="717"/>
      <c r="AG26" s="1487">
        <f>J26*$B$6*$J$2</f>
        <v>0</v>
      </c>
      <c r="AH26" s="491"/>
      <c r="AI26" s="491"/>
      <c r="AJ26" s="491"/>
      <c r="AK26" s="491"/>
      <c r="AL26" s="491"/>
      <c r="AM26" s="491"/>
      <c r="AN26" s="491"/>
      <c r="AO26" s="491"/>
      <c r="AP26" s="491"/>
      <c r="AQ26" s="491"/>
      <c r="AR26" s="491"/>
      <c r="AS26" s="491"/>
      <c r="AT26" s="491"/>
      <c r="AU26" s="491"/>
    </row>
    <row r="27" spans="1:47" ht="15" customHeight="1" x14ac:dyDescent="0.25">
      <c r="A27" s="718" t="s">
        <v>389</v>
      </c>
      <c r="B27" s="727" t="s">
        <v>485</v>
      </c>
      <c r="C27" s="720" t="s">
        <v>896</v>
      </c>
      <c r="D27" s="1485">
        <v>1.3</v>
      </c>
      <c r="E27" s="720">
        <f>+D27*$B$6</f>
        <v>1047.8</v>
      </c>
      <c r="F27" s="737">
        <f>+D27*$B$6*1.21</f>
        <v>1267.838</v>
      </c>
      <c r="G27" s="740">
        <v>0.21</v>
      </c>
      <c r="H27" s="740">
        <v>0.3</v>
      </c>
      <c r="I27" s="741">
        <v>0.1</v>
      </c>
      <c r="J27" s="1486">
        <f t="shared" si="10"/>
        <v>0.13</v>
      </c>
      <c r="K27" s="713">
        <f>+J27*(1+G27)*$B$6</f>
        <v>126.7838</v>
      </c>
      <c r="L27" s="714"/>
      <c r="M27" s="508"/>
      <c r="N27" s="715"/>
      <c r="O27" s="714"/>
      <c r="P27" s="508"/>
      <c r="Q27" s="715"/>
      <c r="R27" s="716"/>
      <c r="S27" s="508">
        <f t="shared" si="11"/>
        <v>0</v>
      </c>
      <c r="T27" s="715">
        <f>+S27*(1+G27)*$B$6</f>
        <v>0</v>
      </c>
      <c r="U27" s="716"/>
      <c r="V27" s="508"/>
      <c r="W27" s="715"/>
      <c r="X27" s="714"/>
      <c r="Y27" s="508"/>
      <c r="Z27" s="715"/>
      <c r="AA27" s="716"/>
      <c r="AB27" s="508"/>
      <c r="AC27" s="715"/>
      <c r="AD27" s="714"/>
      <c r="AE27" s="508"/>
      <c r="AF27" s="717"/>
      <c r="AG27" s="1487">
        <f t="shared" ref="AG27:AG41" si="12">J27*$B$6*$J$2</f>
        <v>2409.94</v>
      </c>
      <c r="AH27" s="491"/>
      <c r="AI27" s="491"/>
      <c r="AJ27" s="491"/>
      <c r="AK27" s="491"/>
      <c r="AL27" s="491"/>
      <c r="AM27" s="491"/>
      <c r="AN27" s="491"/>
      <c r="AO27" s="491"/>
      <c r="AP27" s="491"/>
      <c r="AQ27" s="491"/>
      <c r="AR27" s="491"/>
      <c r="AS27" s="491"/>
      <c r="AT27" s="491"/>
      <c r="AU27" s="491"/>
    </row>
    <row r="28" spans="1:47" ht="15.75" customHeight="1" x14ac:dyDescent="0.25">
      <c r="A28" s="704"/>
      <c r="B28" s="705" t="s">
        <v>487</v>
      </c>
      <c r="C28" s="1488" t="s">
        <v>608</v>
      </c>
      <c r="D28" s="1489">
        <v>18</v>
      </c>
      <c r="E28" s="1488"/>
      <c r="F28" s="706"/>
      <c r="G28" s="710"/>
      <c r="H28" s="710"/>
      <c r="I28" s="711">
        <v>7.4999999999999997E-2</v>
      </c>
      <c r="J28" s="1490">
        <f t="shared" si="10"/>
        <v>1.3499999999999999</v>
      </c>
      <c r="K28" s="713"/>
      <c r="L28" s="714"/>
      <c r="M28" s="508"/>
      <c r="N28" s="715"/>
      <c r="O28" s="714"/>
      <c r="P28" s="508"/>
      <c r="Q28" s="715"/>
      <c r="R28" s="716"/>
      <c r="S28" s="508"/>
      <c r="T28" s="715"/>
      <c r="U28" s="716"/>
      <c r="V28" s="508"/>
      <c r="W28" s="715"/>
      <c r="X28" s="714"/>
      <c r="Y28" s="508"/>
      <c r="Z28" s="715"/>
      <c r="AA28" s="716"/>
      <c r="AB28" s="508"/>
      <c r="AC28" s="715"/>
      <c r="AD28" s="714"/>
      <c r="AE28" s="508"/>
      <c r="AF28" s="717"/>
      <c r="AG28" s="1487">
        <f t="shared" si="12"/>
        <v>25026.3</v>
      </c>
      <c r="AH28" s="491"/>
      <c r="AI28" s="491"/>
      <c r="AJ28" s="491"/>
      <c r="AK28" s="491"/>
      <c r="AL28" s="491"/>
      <c r="AM28" s="491"/>
      <c r="AN28" s="491"/>
      <c r="AO28" s="491"/>
      <c r="AP28" s="491"/>
      <c r="AQ28" s="491"/>
      <c r="AR28" s="491"/>
      <c r="AS28" s="491"/>
      <c r="AT28" s="491"/>
      <c r="AU28" s="491"/>
    </row>
    <row r="29" spans="1:47" ht="15.75" customHeight="1" x14ac:dyDescent="0.25">
      <c r="A29" s="718" t="s">
        <v>604</v>
      </c>
      <c r="B29" s="749" t="s">
        <v>719</v>
      </c>
      <c r="C29" s="720" t="s">
        <v>606</v>
      </c>
      <c r="D29" s="1485"/>
      <c r="E29" s="720">
        <f>+D29*$B$6</f>
        <v>0</v>
      </c>
      <c r="F29" s="737">
        <f>+D29*$B$6*1.21</f>
        <v>0</v>
      </c>
      <c r="G29" s="740">
        <v>0.21</v>
      </c>
      <c r="H29" s="740">
        <v>0</v>
      </c>
      <c r="I29" s="741"/>
      <c r="J29" s="1486">
        <f t="shared" si="10"/>
        <v>0</v>
      </c>
      <c r="K29" s="713">
        <f>+J29*(1+G29)*$B$6</f>
        <v>0</v>
      </c>
      <c r="L29" s="714">
        <v>0.8</v>
      </c>
      <c r="M29" s="508">
        <f>L29*D29</f>
        <v>0</v>
      </c>
      <c r="N29" s="715">
        <f>+M29*(1+G29)*$B$6</f>
        <v>0</v>
      </c>
      <c r="O29" s="714"/>
      <c r="P29" s="508">
        <f>O29*D29</f>
        <v>0</v>
      </c>
      <c r="Q29" s="715">
        <f>+P29*(1+G29)*$B$6</f>
        <v>0</v>
      </c>
      <c r="R29" s="716"/>
      <c r="S29" s="508">
        <f>R29*D29</f>
        <v>0</v>
      </c>
      <c r="T29" s="715">
        <f>+S29*(1+G29)*$B$6</f>
        <v>0</v>
      </c>
      <c r="U29" s="716">
        <v>2</v>
      </c>
      <c r="V29" s="508">
        <f>U29*D29</f>
        <v>0</v>
      </c>
      <c r="W29" s="715">
        <f>+V29*(1+G29)*$B$6</f>
        <v>0</v>
      </c>
      <c r="X29" s="714">
        <v>2</v>
      </c>
      <c r="Y29" s="508">
        <f>X29*D29</f>
        <v>0</v>
      </c>
      <c r="Z29" s="715">
        <f>+Y29*(1+G29)*$B$6</f>
        <v>0</v>
      </c>
      <c r="AA29" s="716">
        <v>2</v>
      </c>
      <c r="AB29" s="508">
        <f>AA29*W29</f>
        <v>0</v>
      </c>
      <c r="AC29" s="715">
        <f>+AB29*(1+Z29)*$B$6</f>
        <v>0</v>
      </c>
      <c r="AD29" s="714">
        <v>2</v>
      </c>
      <c r="AE29" s="508">
        <f>AD29*D29</f>
        <v>0</v>
      </c>
      <c r="AF29" s="715">
        <f>+AE29*(1+G29)*$B$6</f>
        <v>0</v>
      </c>
      <c r="AG29" s="1487">
        <f t="shared" si="12"/>
        <v>0</v>
      </c>
    </row>
    <row r="30" spans="1:47" ht="15.75" customHeight="1" x14ac:dyDescent="0.25">
      <c r="A30" s="718" t="s">
        <v>604</v>
      </c>
      <c r="B30" s="719" t="s">
        <v>393</v>
      </c>
      <c r="C30" s="720" t="s">
        <v>606</v>
      </c>
      <c r="D30" s="1485">
        <v>11.4</v>
      </c>
      <c r="E30" s="720">
        <f>+D30*$B$6</f>
        <v>9188.4</v>
      </c>
      <c r="F30" s="737">
        <f>+D30*$B$6*1.21</f>
        <v>11117.964</v>
      </c>
      <c r="G30" s="740">
        <v>0.21</v>
      </c>
      <c r="H30" s="740">
        <v>1.5</v>
      </c>
      <c r="I30" s="741">
        <v>3.2</v>
      </c>
      <c r="J30" s="1486">
        <f t="shared" si="10"/>
        <v>36.480000000000004</v>
      </c>
      <c r="K30" s="713">
        <f>+J30*(1+G30)*$B$6</f>
        <v>35577.484800000006</v>
      </c>
      <c r="L30" s="714"/>
      <c r="M30" s="508"/>
      <c r="N30" s="715"/>
      <c r="O30" s="714"/>
      <c r="P30" s="508">
        <f>O30*D30</f>
        <v>0</v>
      </c>
      <c r="Q30" s="715">
        <f>+P30*(1+G30)*$B$6</f>
        <v>0</v>
      </c>
      <c r="R30" s="716"/>
      <c r="S30" s="508">
        <f>R30*D30</f>
        <v>0</v>
      </c>
      <c r="T30" s="715">
        <f>+S30*(1+G30)*$B$6</f>
        <v>0</v>
      </c>
      <c r="U30" s="523">
        <v>0.75</v>
      </c>
      <c r="V30" s="508">
        <f>U30*D30</f>
        <v>8.5500000000000007</v>
      </c>
      <c r="W30" s="715">
        <f>+V30*(1+G30)*$B$6</f>
        <v>8338.4730000000018</v>
      </c>
      <c r="X30" s="714"/>
      <c r="Y30" s="508"/>
      <c r="Z30" s="715"/>
      <c r="AA30" s="716">
        <v>1</v>
      </c>
      <c r="AB30" s="508">
        <f>AA30*W30</f>
        <v>8338.4730000000018</v>
      </c>
      <c r="AC30" s="715">
        <f>+AB30*(1+Z30)*$B$6</f>
        <v>6720809.2380000018</v>
      </c>
      <c r="AD30" s="714"/>
      <c r="AE30" s="508"/>
      <c r="AF30" s="715"/>
      <c r="AG30" s="1487">
        <f t="shared" si="12"/>
        <v>676266.24000000011</v>
      </c>
    </row>
    <row r="31" spans="1:47" ht="15.75" customHeight="1" x14ac:dyDescent="0.25">
      <c r="A31" s="718" t="s">
        <v>604</v>
      </c>
      <c r="B31" s="1491" t="s">
        <v>605</v>
      </c>
      <c r="C31" s="720" t="s">
        <v>606</v>
      </c>
      <c r="D31" s="1485"/>
      <c r="E31" s="720">
        <f t="shared" si="8"/>
        <v>0</v>
      </c>
      <c r="F31" s="737">
        <f t="shared" si="9"/>
        <v>0</v>
      </c>
      <c r="G31" s="740"/>
      <c r="H31" s="740">
        <v>1</v>
      </c>
      <c r="I31" s="741"/>
      <c r="J31" s="1486">
        <f t="shared" si="10"/>
        <v>0</v>
      </c>
      <c r="K31" s="713"/>
      <c r="L31" s="714"/>
      <c r="M31" s="508"/>
      <c r="N31" s="715"/>
      <c r="O31" s="714"/>
      <c r="P31" s="508"/>
      <c r="Q31" s="715"/>
      <c r="R31" s="716"/>
      <c r="S31" s="508">
        <f t="shared" si="11"/>
        <v>0</v>
      </c>
      <c r="T31" s="715"/>
      <c r="U31" s="523"/>
      <c r="V31" s="508"/>
      <c r="W31" s="715"/>
      <c r="X31" s="714"/>
      <c r="Y31" s="508"/>
      <c r="Z31" s="715"/>
      <c r="AA31" s="716"/>
      <c r="AB31" s="508"/>
      <c r="AC31" s="715"/>
      <c r="AD31" s="714"/>
      <c r="AE31" s="508"/>
      <c r="AF31" s="715"/>
      <c r="AG31" s="1487">
        <f t="shared" si="12"/>
        <v>0</v>
      </c>
    </row>
    <row r="32" spans="1:47" ht="15.75" customHeight="1" x14ac:dyDescent="0.25">
      <c r="A32" s="728" t="s">
        <v>604</v>
      </c>
      <c r="B32" s="1492" t="s">
        <v>395</v>
      </c>
      <c r="C32" s="730" t="s">
        <v>602</v>
      </c>
      <c r="D32" s="1493"/>
      <c r="E32" s="730">
        <f t="shared" si="8"/>
        <v>0</v>
      </c>
      <c r="F32" s="743">
        <f t="shared" si="9"/>
        <v>0</v>
      </c>
      <c r="G32" s="746">
        <v>0.21</v>
      </c>
      <c r="H32" s="746">
        <v>0.8</v>
      </c>
      <c r="I32" s="747"/>
      <c r="J32" s="1486">
        <f t="shared" si="10"/>
        <v>0</v>
      </c>
      <c r="K32" s="713">
        <f>+J32*(1+G32)*$B$6</f>
        <v>0</v>
      </c>
      <c r="L32" s="714"/>
      <c r="M32" s="508"/>
      <c r="N32" s="715"/>
      <c r="O32" s="714"/>
      <c r="P32" s="508"/>
      <c r="Q32" s="715"/>
      <c r="R32" s="716"/>
      <c r="S32" s="508">
        <f t="shared" si="11"/>
        <v>0</v>
      </c>
      <c r="T32" s="715"/>
      <c r="U32" s="523"/>
      <c r="V32" s="508"/>
      <c r="W32" s="715"/>
      <c r="X32" s="714"/>
      <c r="Y32" s="508"/>
      <c r="Z32" s="715"/>
      <c r="AA32" s="716"/>
      <c r="AB32" s="508"/>
      <c r="AC32" s="715"/>
      <c r="AD32" s="714"/>
      <c r="AE32" s="508"/>
      <c r="AF32" s="715"/>
      <c r="AG32" s="1487">
        <f t="shared" si="12"/>
        <v>0</v>
      </c>
    </row>
    <row r="33" spans="1:33" ht="15.75" customHeight="1" x14ac:dyDescent="0.25">
      <c r="A33" s="704" t="s">
        <v>604</v>
      </c>
      <c r="B33" s="705" t="s">
        <v>931</v>
      </c>
      <c r="C33" s="1488" t="s">
        <v>602</v>
      </c>
      <c r="D33" s="1489">
        <v>1</v>
      </c>
      <c r="E33" s="1488">
        <f t="shared" si="8"/>
        <v>806</v>
      </c>
      <c r="F33" s="706">
        <f t="shared" si="9"/>
        <v>975.26</v>
      </c>
      <c r="G33" s="710">
        <v>0.21</v>
      </c>
      <c r="H33" s="710">
        <v>0</v>
      </c>
      <c r="I33" s="711">
        <v>2.5</v>
      </c>
      <c r="J33" s="1486">
        <f t="shared" si="10"/>
        <v>2.5</v>
      </c>
      <c r="K33" s="713">
        <f>+J33*(1+G33)*$B$6</f>
        <v>2438.15</v>
      </c>
      <c r="L33" s="714"/>
      <c r="M33" s="508"/>
      <c r="N33" s="715"/>
      <c r="O33" s="714"/>
      <c r="P33" s="508"/>
      <c r="Q33" s="715"/>
      <c r="R33" s="716"/>
      <c r="S33" s="508">
        <f t="shared" si="11"/>
        <v>0</v>
      </c>
      <c r="T33" s="715"/>
      <c r="U33" s="523"/>
      <c r="V33" s="508"/>
      <c r="W33" s="715"/>
      <c r="X33" s="714"/>
      <c r="Y33" s="508"/>
      <c r="Z33" s="715"/>
      <c r="AA33" s="716"/>
      <c r="AB33" s="508"/>
      <c r="AC33" s="715"/>
      <c r="AD33" s="714"/>
      <c r="AE33" s="508"/>
      <c r="AF33" s="715"/>
      <c r="AG33" s="1487">
        <f t="shared" si="12"/>
        <v>46345</v>
      </c>
    </row>
    <row r="34" spans="1:33" ht="15.75" customHeight="1" x14ac:dyDescent="0.25">
      <c r="A34" s="718" t="s">
        <v>604</v>
      </c>
      <c r="B34" s="727" t="s">
        <v>486</v>
      </c>
      <c r="C34" s="720" t="s">
        <v>606</v>
      </c>
      <c r="D34" s="1485">
        <v>130.9</v>
      </c>
      <c r="E34" s="720">
        <f t="shared" si="8"/>
        <v>105505.40000000001</v>
      </c>
      <c r="F34" s="737">
        <f t="shared" si="9"/>
        <v>127661.534</v>
      </c>
      <c r="G34" s="740">
        <v>0.21</v>
      </c>
      <c r="H34" s="740">
        <v>0.45</v>
      </c>
      <c r="I34" s="741">
        <v>0.28000000000000003</v>
      </c>
      <c r="J34" s="1486">
        <f t="shared" si="10"/>
        <v>36.652000000000008</v>
      </c>
      <c r="K34" s="713">
        <f>+J34*(1+G34)*$B$6</f>
        <v>35745.229520000008</v>
      </c>
      <c r="L34" s="714"/>
      <c r="M34" s="508"/>
      <c r="N34" s="715"/>
      <c r="O34" s="714"/>
      <c r="P34" s="508"/>
      <c r="Q34" s="715"/>
      <c r="R34" s="716"/>
      <c r="S34" s="508">
        <f t="shared" si="11"/>
        <v>0</v>
      </c>
      <c r="T34" s="715"/>
      <c r="U34" s="523"/>
      <c r="V34" s="508"/>
      <c r="W34" s="715"/>
      <c r="X34" s="714"/>
      <c r="Y34" s="508"/>
      <c r="Z34" s="715"/>
      <c r="AA34" s="716"/>
      <c r="AB34" s="508"/>
      <c r="AC34" s="715"/>
      <c r="AD34" s="714"/>
      <c r="AE34" s="508"/>
      <c r="AF34" s="715"/>
      <c r="AG34" s="1487">
        <f t="shared" si="12"/>
        <v>679454.77600000019</v>
      </c>
    </row>
    <row r="35" spans="1:33" ht="15.75" customHeight="1" x14ac:dyDescent="0.25">
      <c r="A35" s="718" t="s">
        <v>389</v>
      </c>
      <c r="B35" s="727" t="s">
        <v>396</v>
      </c>
      <c r="C35" s="720" t="s">
        <v>606</v>
      </c>
      <c r="D35" s="1485">
        <v>18</v>
      </c>
      <c r="E35" s="720">
        <f t="shared" si="8"/>
        <v>14508</v>
      </c>
      <c r="F35" s="737">
        <f t="shared" si="9"/>
        <v>17554.68</v>
      </c>
      <c r="G35" s="740"/>
      <c r="H35" s="740">
        <v>0.1</v>
      </c>
      <c r="I35" s="741">
        <v>0.2</v>
      </c>
      <c r="J35" s="1486">
        <f t="shared" si="10"/>
        <v>3.6</v>
      </c>
      <c r="K35" s="713"/>
      <c r="L35" s="714"/>
      <c r="M35" s="508"/>
      <c r="N35" s="715"/>
      <c r="O35" s="714"/>
      <c r="P35" s="508"/>
      <c r="Q35" s="715"/>
      <c r="R35" s="716"/>
      <c r="S35" s="508"/>
      <c r="T35" s="715"/>
      <c r="U35" s="523"/>
      <c r="V35" s="508"/>
      <c r="W35" s="715"/>
      <c r="X35" s="714"/>
      <c r="Y35" s="508"/>
      <c r="Z35" s="715"/>
      <c r="AA35" s="716"/>
      <c r="AB35" s="508"/>
      <c r="AC35" s="715"/>
      <c r="AD35" s="714"/>
      <c r="AE35" s="508"/>
      <c r="AF35" s="715"/>
      <c r="AG35" s="1487">
        <f>J35*$B$6*$J$2</f>
        <v>66736.800000000003</v>
      </c>
    </row>
    <row r="36" spans="1:33" ht="15.75" customHeight="1" x14ac:dyDescent="0.25">
      <c r="A36" s="728" t="s">
        <v>604</v>
      </c>
      <c r="B36" s="1492" t="s">
        <v>397</v>
      </c>
      <c r="C36" s="730" t="s">
        <v>607</v>
      </c>
      <c r="D36" s="1493"/>
      <c r="E36" s="730">
        <f t="shared" si="8"/>
        <v>0</v>
      </c>
      <c r="F36" s="743">
        <f t="shared" si="9"/>
        <v>0</v>
      </c>
      <c r="G36" s="746">
        <v>0.21</v>
      </c>
      <c r="H36" s="746">
        <v>0.03</v>
      </c>
      <c r="I36" s="747"/>
      <c r="J36" s="1486">
        <f t="shared" si="10"/>
        <v>0</v>
      </c>
      <c r="K36" s="713">
        <f t="shared" ref="K36:K41" si="13">+J36*(1+G36)*$B$6</f>
        <v>0</v>
      </c>
      <c r="L36" s="714"/>
      <c r="M36" s="508"/>
      <c r="N36" s="715"/>
      <c r="O36" s="714"/>
      <c r="P36" s="508"/>
      <c r="Q36" s="715"/>
      <c r="R36" s="716"/>
      <c r="S36" s="508"/>
      <c r="T36" s="715"/>
      <c r="U36" s="523"/>
      <c r="V36" s="508"/>
      <c r="W36" s="715"/>
      <c r="X36" s="714"/>
      <c r="Y36" s="508"/>
      <c r="Z36" s="715"/>
      <c r="AA36" s="716"/>
      <c r="AB36" s="508"/>
      <c r="AC36" s="715"/>
      <c r="AD36" s="714"/>
      <c r="AE36" s="508"/>
      <c r="AF36" s="715"/>
      <c r="AG36" s="1487">
        <f t="shared" si="12"/>
        <v>0</v>
      </c>
    </row>
    <row r="37" spans="1:33" ht="15.75" customHeight="1" x14ac:dyDescent="0.25">
      <c r="A37" s="704" t="s">
        <v>604</v>
      </c>
      <c r="B37" s="705" t="s">
        <v>496</v>
      </c>
      <c r="C37" s="1488" t="s">
        <v>608</v>
      </c>
      <c r="D37" s="1489">
        <v>1.3</v>
      </c>
      <c r="E37" s="1488">
        <f t="shared" si="8"/>
        <v>1047.8</v>
      </c>
      <c r="F37" s="706">
        <f t="shared" si="9"/>
        <v>1267.838</v>
      </c>
      <c r="G37" s="710">
        <v>0.21</v>
      </c>
      <c r="H37" s="1494">
        <v>0.15</v>
      </c>
      <c r="I37" s="1495">
        <v>0.5</v>
      </c>
      <c r="J37" s="1486">
        <f t="shared" si="10"/>
        <v>0.65</v>
      </c>
      <c r="K37" s="713">
        <f t="shared" si="13"/>
        <v>633.91899999999998</v>
      </c>
      <c r="L37" s="714"/>
      <c r="M37" s="508"/>
      <c r="N37" s="715"/>
      <c r="O37" s="714"/>
      <c r="P37" s="508"/>
      <c r="Q37" s="715"/>
      <c r="R37" s="716"/>
      <c r="S37" s="508"/>
      <c r="T37" s="715"/>
      <c r="U37" s="523"/>
      <c r="V37" s="508"/>
      <c r="W37" s="715"/>
      <c r="X37" s="714"/>
      <c r="Y37" s="508"/>
      <c r="Z37" s="715"/>
      <c r="AA37" s="716"/>
      <c r="AB37" s="508"/>
      <c r="AC37" s="715"/>
      <c r="AD37" s="714"/>
      <c r="AE37" s="508"/>
      <c r="AF37" s="715"/>
      <c r="AG37" s="1487">
        <f t="shared" si="12"/>
        <v>12049.699999999999</v>
      </c>
    </row>
    <row r="38" spans="1:33" ht="15.75" customHeight="1" x14ac:dyDescent="0.25">
      <c r="A38" s="718" t="s">
        <v>604</v>
      </c>
      <c r="B38" s="1496" t="s">
        <v>493</v>
      </c>
      <c r="C38" s="722" t="s">
        <v>606</v>
      </c>
      <c r="D38" s="738">
        <v>18</v>
      </c>
      <c r="E38" s="722">
        <f t="shared" si="8"/>
        <v>14508</v>
      </c>
      <c r="F38" s="739">
        <f t="shared" si="9"/>
        <v>17554.68</v>
      </c>
      <c r="G38" s="740">
        <v>0.21</v>
      </c>
      <c r="H38" s="724">
        <v>0.28000000000000003</v>
      </c>
      <c r="I38" s="1497">
        <v>0.1</v>
      </c>
      <c r="J38" s="1486">
        <f t="shared" si="10"/>
        <v>1.8</v>
      </c>
      <c r="K38" s="713">
        <f t="shared" si="13"/>
        <v>1755.4679999999998</v>
      </c>
      <c r="L38" s="714"/>
      <c r="M38" s="508"/>
      <c r="N38" s="715"/>
      <c r="O38" s="714"/>
      <c r="P38" s="508"/>
      <c r="Q38" s="715"/>
      <c r="R38" s="716"/>
      <c r="S38" s="508"/>
      <c r="T38" s="715"/>
      <c r="U38" s="523"/>
      <c r="V38" s="508"/>
      <c r="W38" s="715"/>
      <c r="X38" s="714"/>
      <c r="Y38" s="508"/>
      <c r="Z38" s="715"/>
      <c r="AA38" s="716"/>
      <c r="AB38" s="508"/>
      <c r="AC38" s="715"/>
      <c r="AD38" s="714"/>
      <c r="AE38" s="508"/>
      <c r="AF38" s="715"/>
      <c r="AG38" s="1487">
        <f t="shared" si="12"/>
        <v>33368.400000000001</v>
      </c>
    </row>
    <row r="39" spans="1:33" ht="15.75" customHeight="1" x14ac:dyDescent="0.25">
      <c r="A39" s="718" t="s">
        <v>604</v>
      </c>
      <c r="B39" s="749" t="s">
        <v>400</v>
      </c>
      <c r="C39" s="720" t="s">
        <v>608</v>
      </c>
      <c r="D39" s="1485"/>
      <c r="E39" s="720">
        <f t="shared" si="8"/>
        <v>0</v>
      </c>
      <c r="F39" s="737">
        <f t="shared" si="9"/>
        <v>0</v>
      </c>
      <c r="G39" s="740">
        <v>0.21</v>
      </c>
      <c r="H39" s="724">
        <v>1</v>
      </c>
      <c r="I39" s="1497"/>
      <c r="J39" s="1486">
        <f t="shared" si="10"/>
        <v>0</v>
      </c>
      <c r="K39" s="713">
        <f t="shared" si="13"/>
        <v>0</v>
      </c>
      <c r="L39" s="714"/>
      <c r="M39" s="508"/>
      <c r="N39" s="715"/>
      <c r="O39" s="714"/>
      <c r="P39" s="508"/>
      <c r="Q39" s="715"/>
      <c r="R39" s="716"/>
      <c r="S39" s="508">
        <f>R39*D39</f>
        <v>0</v>
      </c>
      <c r="T39" s="715">
        <f>+S39*(1+G39)*$B$6</f>
        <v>0</v>
      </c>
      <c r="U39" s="523"/>
      <c r="V39" s="508"/>
      <c r="W39" s="715"/>
      <c r="X39" s="714"/>
      <c r="Y39" s="508"/>
      <c r="Z39" s="715"/>
      <c r="AA39" s="716"/>
      <c r="AB39" s="508"/>
      <c r="AC39" s="715"/>
      <c r="AD39" s="714"/>
      <c r="AE39" s="508"/>
      <c r="AF39" s="715"/>
      <c r="AG39" s="1487">
        <f t="shared" si="12"/>
        <v>0</v>
      </c>
    </row>
    <row r="40" spans="1:33" ht="15.75" customHeight="1" x14ac:dyDescent="0.25">
      <c r="A40" s="718" t="s">
        <v>604</v>
      </c>
      <c r="B40" s="727" t="s">
        <v>484</v>
      </c>
      <c r="C40" s="720" t="s">
        <v>606</v>
      </c>
      <c r="D40" s="1485">
        <v>7.4</v>
      </c>
      <c r="E40" s="720">
        <f t="shared" si="8"/>
        <v>5964.4000000000005</v>
      </c>
      <c r="F40" s="737">
        <f t="shared" si="9"/>
        <v>7216.9240000000009</v>
      </c>
      <c r="G40" s="740">
        <v>0.21</v>
      </c>
      <c r="H40" s="724">
        <v>1.5</v>
      </c>
      <c r="I40" s="1497">
        <v>1.6</v>
      </c>
      <c r="J40" s="1486">
        <f t="shared" si="10"/>
        <v>11.840000000000002</v>
      </c>
      <c r="K40" s="713">
        <f t="shared" si="13"/>
        <v>11547.0784</v>
      </c>
      <c r="L40" s="714"/>
      <c r="M40" s="508"/>
      <c r="N40" s="715"/>
      <c r="O40" s="714"/>
      <c r="P40" s="508">
        <f>O40*D40</f>
        <v>0</v>
      </c>
      <c r="Q40" s="715">
        <f>+P40*(1+G40)*$B$6</f>
        <v>0</v>
      </c>
      <c r="R40" s="716"/>
      <c r="S40" s="508">
        <f>R40*D40</f>
        <v>0</v>
      </c>
      <c r="T40" s="715">
        <f>+S40*(1+G40)*$B$6</f>
        <v>0</v>
      </c>
      <c r="U40" s="523">
        <v>0.35</v>
      </c>
      <c r="V40" s="508">
        <f>U40*D40</f>
        <v>2.59</v>
      </c>
      <c r="W40" s="715">
        <f>+V40*(1+G40)*$B$6</f>
        <v>2525.9233999999997</v>
      </c>
      <c r="X40" s="714"/>
      <c r="Y40" s="508"/>
      <c r="Z40" s="715"/>
      <c r="AA40" s="523">
        <v>0.35</v>
      </c>
      <c r="AB40" s="508">
        <f>AA40*W40</f>
        <v>884.07318999999984</v>
      </c>
      <c r="AC40" s="715">
        <f>+AB40*(1+Z40)*$B$6</f>
        <v>712562.99113999982</v>
      </c>
      <c r="AD40" s="714"/>
      <c r="AE40" s="508"/>
      <c r="AF40" s="715"/>
      <c r="AG40" s="1487">
        <f t="shared" si="12"/>
        <v>219489.92000000001</v>
      </c>
    </row>
    <row r="41" spans="1:33" ht="15.75" customHeight="1" x14ac:dyDescent="0.25">
      <c r="A41" s="728" t="s">
        <v>604</v>
      </c>
      <c r="B41" s="729" t="s">
        <v>492</v>
      </c>
      <c r="C41" s="730" t="s">
        <v>606</v>
      </c>
      <c r="D41" s="1493">
        <v>10.9</v>
      </c>
      <c r="E41" s="730">
        <f t="shared" si="8"/>
        <v>8785.4</v>
      </c>
      <c r="F41" s="743">
        <f t="shared" si="9"/>
        <v>10630.333999999999</v>
      </c>
      <c r="G41" s="746">
        <v>0.21</v>
      </c>
      <c r="H41" s="734">
        <v>0.12</v>
      </c>
      <c r="I41" s="1498">
        <v>0.15</v>
      </c>
      <c r="J41" s="1499">
        <f t="shared" si="10"/>
        <v>1.635</v>
      </c>
      <c r="K41" s="713">
        <f t="shared" si="13"/>
        <v>1594.5500999999999</v>
      </c>
      <c r="L41" s="714"/>
      <c r="M41" s="508"/>
      <c r="N41" s="715"/>
      <c r="O41" s="714"/>
      <c r="P41" s="508"/>
      <c r="Q41" s="715"/>
      <c r="R41" s="716"/>
      <c r="S41" s="508"/>
      <c r="T41" s="715"/>
      <c r="U41" s="716"/>
      <c r="V41" s="508"/>
      <c r="W41" s="715"/>
      <c r="X41" s="714"/>
      <c r="Y41" s="508"/>
      <c r="Z41" s="715"/>
      <c r="AA41" s="716"/>
      <c r="AB41" s="508"/>
      <c r="AC41" s="715"/>
      <c r="AD41" s="714"/>
      <c r="AE41" s="508"/>
      <c r="AF41" s="715"/>
      <c r="AG41" s="1487">
        <f t="shared" si="12"/>
        <v>30309.629999999997</v>
      </c>
    </row>
    <row r="42" spans="1:33" ht="18.600000000000001" customHeight="1" x14ac:dyDescent="0.25">
      <c r="A42" s="1500" t="s">
        <v>915</v>
      </c>
      <c r="B42" s="1501" t="s">
        <v>932</v>
      </c>
      <c r="C42" s="1502" t="s">
        <v>602</v>
      </c>
      <c r="D42" s="1503">
        <v>0.85</v>
      </c>
      <c r="E42" s="1502"/>
      <c r="F42" s="1504"/>
      <c r="G42" s="1505"/>
      <c r="H42" s="1506"/>
      <c r="I42" s="1507">
        <v>242.78</v>
      </c>
      <c r="J42" s="1508">
        <f>I42*D42</f>
        <v>206.363</v>
      </c>
      <c r="K42" s="713"/>
      <c r="L42" s="751"/>
      <c r="M42" s="528"/>
      <c r="N42" s="713"/>
      <c r="O42" s="751"/>
      <c r="P42" s="528"/>
      <c r="Q42" s="713"/>
      <c r="R42" s="752"/>
      <c r="S42" s="528"/>
      <c r="T42" s="713"/>
      <c r="U42" s="752"/>
      <c r="V42" s="528"/>
      <c r="W42" s="713"/>
      <c r="X42" s="751"/>
      <c r="Y42" s="528"/>
      <c r="Z42" s="713"/>
      <c r="AA42" s="752"/>
      <c r="AB42" s="528"/>
      <c r="AC42" s="713"/>
      <c r="AD42" s="751"/>
      <c r="AE42" s="528"/>
      <c r="AF42" s="713"/>
    </row>
    <row r="43" spans="1:33" s="441" customFormat="1" ht="13.5" customHeight="1" x14ac:dyDescent="0.2">
      <c r="A43" s="428" t="s">
        <v>609</v>
      </c>
      <c r="B43" s="428" t="s">
        <v>610</v>
      </c>
      <c r="C43" s="428"/>
      <c r="D43" s="536"/>
      <c r="E43" s="537"/>
      <c r="F43" s="760"/>
      <c r="G43" s="539"/>
      <c r="H43" s="539"/>
      <c r="I43" s="539"/>
      <c r="J43" s="1509">
        <f>SUM(J22:J42)</f>
        <v>466.5</v>
      </c>
      <c r="K43" s="676">
        <f>SUM(K22:K41)</f>
        <v>242991.88861999998</v>
      </c>
      <c r="L43" s="539"/>
      <c r="M43" s="582">
        <f>SUM(M22:M41)</f>
        <v>44.5</v>
      </c>
      <c r="N43" s="676">
        <f>SUM(N22:N41)</f>
        <v>37517.285000000003</v>
      </c>
      <c r="O43" s="539"/>
      <c r="P43" s="582">
        <f>SUM(P22:P41)</f>
        <v>0</v>
      </c>
      <c r="Q43" s="676">
        <f>SUM(Q22:Q41)</f>
        <v>0</v>
      </c>
      <c r="R43" s="539"/>
      <c r="S43" s="582">
        <f>SUM(S22:S41)</f>
        <v>0</v>
      </c>
      <c r="T43" s="676">
        <f>SUM(T22:T41)</f>
        <v>0</v>
      </c>
      <c r="U43" s="539"/>
      <c r="V43" s="582">
        <f>SUM(V22:V41)</f>
        <v>11121.89</v>
      </c>
      <c r="W43" s="676">
        <f>SUM(W22:W41)</f>
        <v>10839477.4189</v>
      </c>
      <c r="X43" s="539"/>
      <c r="Y43" s="582">
        <f>SUM(Y22:Y41)</f>
        <v>51</v>
      </c>
      <c r="Z43" s="676">
        <f>SUM(Z22:Z41)</f>
        <v>43306.380000000005</v>
      </c>
      <c r="AA43" s="539"/>
      <c r="AB43" s="582">
        <f>SUM(AB22:AB41)</f>
        <v>700700907.68119001</v>
      </c>
      <c r="AC43" s="676">
        <f>SUM(AC22:AC41)</f>
        <v>4457600223407.9463</v>
      </c>
      <c r="AD43" s="539"/>
      <c r="AE43" s="582">
        <f>SUM(AE22:AE41)</f>
        <v>51</v>
      </c>
      <c r="AF43" s="676">
        <f>SUM(AF22:AF41)</f>
        <v>43306.380000000005</v>
      </c>
    </row>
    <row r="44" spans="1:33" ht="12" customHeight="1" x14ac:dyDescent="0.3">
      <c r="A44" s="454" t="s">
        <v>611</v>
      </c>
      <c r="B44" s="754" t="s">
        <v>612</v>
      </c>
      <c r="D44" s="524">
        <v>90</v>
      </c>
      <c r="E44" s="418">
        <f>+D44*B6</f>
        <v>72540</v>
      </c>
      <c r="F44" s="525">
        <f>+E44*1.105</f>
        <v>80156.7</v>
      </c>
      <c r="G44" s="526"/>
      <c r="H44" s="526"/>
      <c r="I44" s="526"/>
      <c r="J44" s="1510">
        <f>D44</f>
        <v>90</v>
      </c>
      <c r="K44" s="531">
        <f>+F44</f>
        <v>80156.7</v>
      </c>
      <c r="L44" s="526"/>
      <c r="M44" s="528">
        <v>80</v>
      </c>
      <c r="N44" s="531">
        <f>(M44*B6)*1.105</f>
        <v>71250.399999999994</v>
      </c>
      <c r="O44" s="526"/>
      <c r="P44" s="528">
        <v>65</v>
      </c>
      <c r="Q44" s="531">
        <f>(P44*B6)*1.105</f>
        <v>57890.95</v>
      </c>
      <c r="R44" s="526"/>
      <c r="S44" s="528">
        <v>62.43</v>
      </c>
      <c r="T44" s="531">
        <f>(S44*B6)*1.105</f>
        <v>55602.030899999998</v>
      </c>
      <c r="U44" s="526"/>
      <c r="V44" s="528">
        <v>70</v>
      </c>
      <c r="W44" s="531">
        <f>(V44*B6)*1.105</f>
        <v>62344.1</v>
      </c>
      <c r="X44" s="526"/>
      <c r="Y44" s="528">
        <v>75</v>
      </c>
      <c r="Z44" s="531">
        <f>(Y44*B6)*1.105</f>
        <v>66797.25</v>
      </c>
      <c r="AA44" s="526"/>
      <c r="AB44" s="528">
        <v>62.43</v>
      </c>
      <c r="AC44" s="531">
        <f>(AB44*U6)*1.105</f>
        <v>48.289605000000002</v>
      </c>
      <c r="AD44" s="526"/>
      <c r="AE44" s="528">
        <v>75</v>
      </c>
      <c r="AF44" s="531">
        <f>(AE44*B6)*1.105</f>
        <v>66797.25</v>
      </c>
      <c r="AG44" s="418">
        <f>+J44*B6</f>
        <v>72540</v>
      </c>
    </row>
    <row r="45" spans="1:33" ht="12" customHeight="1" x14ac:dyDescent="0.25">
      <c r="A45" s="442"/>
      <c r="C45" s="441"/>
      <c r="D45" s="529"/>
      <c r="E45" s="530"/>
      <c r="F45" s="525"/>
      <c r="G45" s="526"/>
      <c r="H45" s="526"/>
      <c r="I45" s="526"/>
      <c r="J45" s="1510"/>
      <c r="K45" s="531"/>
      <c r="L45" s="526"/>
      <c r="M45" s="528"/>
      <c r="N45" s="531"/>
      <c r="O45" s="526"/>
      <c r="P45" s="528"/>
      <c r="Q45" s="531"/>
      <c r="R45" s="526"/>
      <c r="S45" s="528"/>
      <c r="T45" s="531"/>
      <c r="U45" s="526"/>
      <c r="V45" s="528"/>
      <c r="W45" s="531"/>
      <c r="X45" s="526"/>
      <c r="Y45" s="528"/>
      <c r="Z45" s="531"/>
      <c r="AA45" s="526"/>
      <c r="AB45" s="528"/>
      <c r="AC45" s="531"/>
      <c r="AD45" s="526"/>
      <c r="AE45" s="528"/>
      <c r="AF45" s="531"/>
    </row>
    <row r="46" spans="1:33" ht="12" customHeight="1" x14ac:dyDescent="0.25">
      <c r="A46" s="442" t="s">
        <v>613</v>
      </c>
      <c r="B46" s="491" t="s">
        <v>614</v>
      </c>
      <c r="D46" s="529"/>
      <c r="F46" s="418"/>
      <c r="G46" s="526"/>
      <c r="H46" s="526"/>
      <c r="I46" s="526"/>
      <c r="J46" s="1510"/>
      <c r="K46" s="531"/>
      <c r="L46" s="526"/>
      <c r="M46" s="528"/>
      <c r="N46" s="531">
        <f>+M46*1.21*B6</f>
        <v>0</v>
      </c>
      <c r="O46" s="526"/>
      <c r="P46" s="528">
        <f>D46</f>
        <v>0</v>
      </c>
      <c r="Q46" s="531">
        <f>(P46*B6)*1.21</f>
        <v>0</v>
      </c>
      <c r="R46" s="526"/>
      <c r="S46" s="528"/>
      <c r="T46" s="531">
        <f>(S46*B6)*1.21</f>
        <v>0</v>
      </c>
      <c r="U46" s="526"/>
      <c r="V46" s="528">
        <f>D46</f>
        <v>0</v>
      </c>
      <c r="W46" s="531">
        <f>(V46*B6)*1.21</f>
        <v>0</v>
      </c>
      <c r="X46" s="526"/>
      <c r="Y46" s="528">
        <f>D46</f>
        <v>0</v>
      </c>
      <c r="Z46" s="531">
        <f>+Y46*1.21*B6</f>
        <v>0</v>
      </c>
      <c r="AA46" s="526"/>
      <c r="AB46" s="528"/>
      <c r="AC46" s="531">
        <f>(AB46*U6)*1.21</f>
        <v>0</v>
      </c>
      <c r="AD46" s="526"/>
      <c r="AE46" s="528">
        <f>D46</f>
        <v>0</v>
      </c>
      <c r="AF46" s="531">
        <f>+AE46*1.21*B6</f>
        <v>0</v>
      </c>
    </row>
    <row r="47" spans="1:33" ht="12" customHeight="1" x14ac:dyDescent="0.25">
      <c r="A47" s="442"/>
      <c r="B47" s="441" t="s">
        <v>615</v>
      </c>
      <c r="C47" s="441"/>
      <c r="D47" s="529"/>
      <c r="F47" s="418"/>
      <c r="G47" s="526"/>
      <c r="H47" s="526"/>
      <c r="I47" s="526"/>
      <c r="J47" s="1510"/>
      <c r="K47" s="531"/>
      <c r="L47" s="526"/>
      <c r="M47" s="528">
        <f>D47</f>
        <v>0</v>
      </c>
      <c r="N47" s="531">
        <f>+M47*1.21*B6</f>
        <v>0</v>
      </c>
      <c r="O47" s="526"/>
      <c r="P47" s="528">
        <f>D47</f>
        <v>0</v>
      </c>
      <c r="Q47" s="531">
        <f>(P47*B6)*1.21</f>
        <v>0</v>
      </c>
      <c r="R47" s="526"/>
      <c r="S47" s="528">
        <f>D47</f>
        <v>0</v>
      </c>
      <c r="T47" s="531">
        <f>(S47*B6)*1.21</f>
        <v>0</v>
      </c>
      <c r="U47" s="526"/>
      <c r="V47" s="528">
        <f>Q47</f>
        <v>0</v>
      </c>
      <c r="W47" s="531">
        <f>(V47*O6)*1.21</f>
        <v>0</v>
      </c>
      <c r="X47" s="526"/>
      <c r="Y47" s="528">
        <f>Q47</f>
        <v>0</v>
      </c>
      <c r="Z47" s="531">
        <f>+Y47*1.21*O6</f>
        <v>0</v>
      </c>
      <c r="AA47" s="526"/>
      <c r="AB47" s="528">
        <f>W47</f>
        <v>0</v>
      </c>
      <c r="AC47" s="531">
        <f>(AB47*U6)*1.21</f>
        <v>0</v>
      </c>
      <c r="AD47" s="526"/>
      <c r="AE47" s="528">
        <f>W47</f>
        <v>0</v>
      </c>
      <c r="AF47" s="531">
        <f>+AE47*1.21*U6</f>
        <v>0</v>
      </c>
    </row>
    <row r="48" spans="1:33" ht="12" customHeight="1" x14ac:dyDescent="0.25">
      <c r="A48" s="442"/>
      <c r="B48" s="441" t="s">
        <v>616</v>
      </c>
      <c r="C48" s="441"/>
      <c r="D48" s="529"/>
      <c r="E48" s="530" t="s">
        <v>566</v>
      </c>
      <c r="F48" s="525" t="s">
        <v>617</v>
      </c>
      <c r="G48" s="526"/>
      <c r="H48" s="526"/>
      <c r="I48" s="526"/>
      <c r="J48" s="1510"/>
      <c r="K48" s="531"/>
      <c r="L48" s="526"/>
      <c r="M48" s="528"/>
      <c r="N48" s="531"/>
      <c r="O48" s="526"/>
      <c r="P48" s="528"/>
      <c r="Q48" s="531"/>
      <c r="R48" s="526"/>
      <c r="S48" s="528"/>
      <c r="T48" s="531"/>
      <c r="U48" s="526"/>
      <c r="V48" s="528"/>
      <c r="W48" s="531"/>
      <c r="X48" s="526"/>
      <c r="Y48" s="528"/>
      <c r="Z48" s="531"/>
      <c r="AA48" s="526"/>
      <c r="AB48" s="528"/>
      <c r="AC48" s="531"/>
      <c r="AD48" s="526"/>
      <c r="AE48" s="528"/>
      <c r="AF48" s="531"/>
    </row>
    <row r="49" spans="1:32" ht="12" customHeight="1" x14ac:dyDescent="0.25">
      <c r="A49" s="442"/>
      <c r="B49" s="441" t="s">
        <v>618</v>
      </c>
      <c r="C49" s="532"/>
      <c r="D49" s="529"/>
      <c r="E49" s="34">
        <v>220</v>
      </c>
      <c r="F49" s="34">
        <v>143</v>
      </c>
      <c r="G49" s="533">
        <v>0.2</v>
      </c>
      <c r="H49" s="533"/>
      <c r="I49" s="583"/>
      <c r="J49" s="1510"/>
      <c r="K49" s="531"/>
      <c r="L49" s="583"/>
      <c r="M49" s="528">
        <f>G49*M5*M7</f>
        <v>156</v>
      </c>
      <c r="N49" s="531">
        <f>+M49*B6</f>
        <v>125736</v>
      </c>
      <c r="O49" s="526"/>
      <c r="P49" s="528"/>
      <c r="Q49" s="531"/>
      <c r="R49" s="526"/>
      <c r="S49" s="528">
        <f>E49*S7</f>
        <v>50600</v>
      </c>
      <c r="T49" s="531">
        <f>+S49*1.21*B6</f>
        <v>49348156</v>
      </c>
      <c r="U49" s="583">
        <v>0</v>
      </c>
      <c r="V49" s="528">
        <f>U49*E49</f>
        <v>0</v>
      </c>
      <c r="W49" s="531">
        <f>+V49*B6</f>
        <v>0</v>
      </c>
      <c r="X49" s="583">
        <v>0</v>
      </c>
      <c r="Y49" s="528">
        <f>X49*F49</f>
        <v>0</v>
      </c>
      <c r="Z49" s="531">
        <f>+Y49*B6</f>
        <v>0</v>
      </c>
      <c r="AA49" s="526"/>
      <c r="AB49" s="528">
        <f>X49*AB7</f>
        <v>0</v>
      </c>
      <c r="AC49" s="531">
        <f>+AB49*1.21*U6</f>
        <v>0</v>
      </c>
      <c r="AD49" s="583">
        <v>0</v>
      </c>
      <c r="AE49" s="528">
        <f>AD49*F49</f>
        <v>0</v>
      </c>
      <c r="AF49" s="531">
        <f>+AE49*1.21*B6</f>
        <v>0</v>
      </c>
    </row>
    <row r="50" spans="1:32" ht="12" customHeight="1" x14ac:dyDescent="0.25">
      <c r="A50" s="454" t="s">
        <v>619</v>
      </c>
      <c r="B50" s="441" t="s">
        <v>620</v>
      </c>
      <c r="C50" s="34"/>
      <c r="D50" s="529"/>
      <c r="E50" s="155"/>
      <c r="F50" s="155"/>
      <c r="G50" s="526"/>
      <c r="H50" s="526"/>
      <c r="I50" s="585" t="s">
        <v>621</v>
      </c>
      <c r="J50" s="1510">
        <v>36</v>
      </c>
      <c r="K50" s="531">
        <f>+J50*B6</f>
        <v>29016</v>
      </c>
      <c r="L50" s="526"/>
      <c r="M50" s="528"/>
      <c r="N50" s="531">
        <f>+M50*B6</f>
        <v>0</v>
      </c>
      <c r="O50" s="526"/>
      <c r="P50" s="528"/>
      <c r="Q50" s="531">
        <f>+P50*B6</f>
        <v>0</v>
      </c>
      <c r="R50" s="526"/>
      <c r="S50" s="528"/>
      <c r="T50" s="531">
        <f>+S50*B6</f>
        <v>0</v>
      </c>
      <c r="U50" s="526"/>
      <c r="V50" s="528"/>
      <c r="W50" s="531">
        <f>+V50*O6</f>
        <v>0</v>
      </c>
      <c r="X50" s="526"/>
      <c r="Y50" s="528"/>
      <c r="Z50" s="531">
        <f>+Y50*O6</f>
        <v>0</v>
      </c>
      <c r="AA50" s="526"/>
      <c r="AB50" s="528"/>
      <c r="AC50" s="531">
        <f>+AB50*U6</f>
        <v>0</v>
      </c>
      <c r="AD50" s="526"/>
      <c r="AE50" s="528"/>
      <c r="AF50" s="531">
        <f>+AE50*U6</f>
        <v>0</v>
      </c>
    </row>
    <row r="51" spans="1:32" s="419" customFormat="1" ht="13.5" customHeight="1" x14ac:dyDescent="0.2">
      <c r="A51" s="428" t="s">
        <v>622</v>
      </c>
      <c r="B51" s="429"/>
      <c r="C51" s="429"/>
      <c r="D51" s="536" t="s">
        <v>623</v>
      </c>
      <c r="E51" s="537"/>
      <c r="F51" s="538"/>
      <c r="G51" s="539"/>
      <c r="H51" s="539"/>
      <c r="I51" s="539"/>
      <c r="J51" s="545">
        <f>SUM(J43:J50)</f>
        <v>592.5</v>
      </c>
      <c r="K51" s="760">
        <f>SUM(K43:K50)</f>
        <v>352164.58861999999</v>
      </c>
      <c r="L51" s="539"/>
      <c r="M51" s="541">
        <f>SUM(M43:M50)</f>
        <v>280.5</v>
      </c>
      <c r="N51" s="760">
        <f>SUM(N43:N50)</f>
        <v>234503.685</v>
      </c>
      <c r="O51" s="539"/>
      <c r="P51" s="541">
        <f>SUM(P43:P50)</f>
        <v>65</v>
      </c>
      <c r="Q51" s="760">
        <f>SUM(Q43:Q50)</f>
        <v>57890.95</v>
      </c>
      <c r="R51" s="539"/>
      <c r="S51" s="541">
        <f>SUM(S43:S50)</f>
        <v>50662.43</v>
      </c>
      <c r="T51" s="760">
        <f>SUM(T43:T50)</f>
        <v>49403758.030900002</v>
      </c>
      <c r="U51" s="539"/>
      <c r="V51" s="541">
        <f>SUM(V43:V50)</f>
        <v>11191.89</v>
      </c>
      <c r="W51" s="760">
        <f>SUM(W43:W50)</f>
        <v>10901821.5189</v>
      </c>
      <c r="X51" s="539"/>
      <c r="Y51" s="541">
        <f>SUM(Y43:Y50)</f>
        <v>126</v>
      </c>
      <c r="Z51" s="760">
        <f>SUM(Z43:Z50)</f>
        <v>110103.63</v>
      </c>
      <c r="AA51" s="539"/>
      <c r="AB51" s="541">
        <f>SUM(AB43:AB50)</f>
        <v>700700970.11118996</v>
      </c>
      <c r="AC51" s="760">
        <f>SUM(AC43:AC50)</f>
        <v>4457600223456.2363</v>
      </c>
      <c r="AD51" s="539"/>
      <c r="AE51" s="541">
        <f>SUM(AE43:AE50)</f>
        <v>126</v>
      </c>
      <c r="AF51" s="760">
        <f>SUM(AF43:AF50)</f>
        <v>110103.63</v>
      </c>
    </row>
    <row r="52" spans="1:32" s="419" customFormat="1" ht="12" customHeight="1" x14ac:dyDescent="0.2">
      <c r="A52" s="428" t="s">
        <v>564</v>
      </c>
      <c r="B52" s="429"/>
      <c r="C52" s="429"/>
      <c r="D52" s="536" t="s">
        <v>564</v>
      </c>
      <c r="E52" s="537"/>
      <c r="F52" s="542"/>
      <c r="G52" s="543"/>
      <c r="H52" s="543"/>
      <c r="I52" s="543"/>
      <c r="J52" s="545">
        <f>J21-J51</f>
        <v>305.60000000000002</v>
      </c>
      <c r="K52" s="760">
        <f>K21-K51</f>
        <v>312513.78937999991</v>
      </c>
      <c r="L52" s="761"/>
      <c r="M52" s="545">
        <f>M21-M51</f>
        <v>231.70000000000005</v>
      </c>
      <c r="N52" s="761">
        <f>N21-N51</f>
        <v>126589.15100000007</v>
      </c>
      <c r="O52" s="761"/>
      <c r="P52" s="545">
        <f>P21-P51</f>
        <v>591.95000000000005</v>
      </c>
      <c r="Q52" s="761">
        <f>Q21-Q51</f>
        <v>439933.74099999998</v>
      </c>
      <c r="R52" s="543"/>
      <c r="S52" s="545">
        <f>S21-S51</f>
        <v>-49967.94</v>
      </c>
      <c r="T52" s="761">
        <f>T21-T51</f>
        <v>-48912268.902900003</v>
      </c>
      <c r="U52" s="543"/>
      <c r="V52" s="545">
        <f>V21-V51</f>
        <v>-10806.064</v>
      </c>
      <c r="W52" s="761">
        <f>W21-W51</f>
        <v>-10683385.846899999</v>
      </c>
      <c r="X52" s="761"/>
      <c r="Y52" s="545">
        <f>Y21-Y51</f>
        <v>331.82799999999997</v>
      </c>
      <c r="Z52" s="761">
        <f>Z21-Z51</f>
        <v>204162.21800000005</v>
      </c>
      <c r="AA52" s="543"/>
      <c r="AB52" s="545">
        <f>AB21-AB51</f>
        <v>-701019266.78478992</v>
      </c>
      <c r="AC52" s="761">
        <f>AC21-AC51</f>
        <v>-4457607175214.751</v>
      </c>
      <c r="AD52" s="761"/>
      <c r="AE52" s="545">
        <f>AE21-AE51</f>
        <v>331.82799999999997</v>
      </c>
      <c r="AF52" s="761">
        <f>AF21-AF51</f>
        <v>204162.21800000005</v>
      </c>
    </row>
    <row r="53" spans="1:32" s="554" customFormat="1" ht="18" x14ac:dyDescent="0.25">
      <c r="A53" s="546" t="s">
        <v>624</v>
      </c>
      <c r="B53" s="547"/>
      <c r="C53" s="547"/>
      <c r="D53" s="548"/>
      <c r="E53" s="549"/>
      <c r="F53" s="550"/>
      <c r="G53" s="551"/>
      <c r="H53" s="551"/>
      <c r="I53" s="551"/>
      <c r="J53" s="553">
        <f>+J52</f>
        <v>305.60000000000002</v>
      </c>
      <c r="K53" s="553">
        <f>+K52/$B$6</f>
        <v>387.73422999999991</v>
      </c>
      <c r="L53" s="553"/>
      <c r="M53" s="553">
        <f>+M52</f>
        <v>231.70000000000005</v>
      </c>
      <c r="N53" s="553">
        <f>+N52/$B$6</f>
        <v>157.05850000000009</v>
      </c>
      <c r="O53" s="553"/>
      <c r="P53" s="553">
        <f>+P52</f>
        <v>591.95000000000005</v>
      </c>
      <c r="Q53" s="553">
        <f>+Q52/$B$6</f>
        <v>545.82349999999997</v>
      </c>
      <c r="R53" s="551"/>
      <c r="S53" s="553">
        <f>+S52</f>
        <v>-49967.94</v>
      </c>
      <c r="T53" s="553">
        <f>+T52/$B$6</f>
        <v>-60685.19715</v>
      </c>
      <c r="U53" s="551"/>
      <c r="V53" s="553">
        <f>+V52</f>
        <v>-10806.064</v>
      </c>
      <c r="W53" s="553">
        <f>+W52/$B$6</f>
        <v>-13254.82115</v>
      </c>
      <c r="X53" s="553"/>
      <c r="Y53" s="553">
        <f>+Y52</f>
        <v>331.82799999999997</v>
      </c>
      <c r="Z53" s="553">
        <f>+Z52/$B$6</f>
        <v>253.30300000000005</v>
      </c>
      <c r="AA53" s="551"/>
      <c r="AB53" s="553">
        <f>+AB52</f>
        <v>-701019266.78478992</v>
      </c>
      <c r="AC53" s="553">
        <f>+AC52/$B$6</f>
        <v>-5530529994.0629663</v>
      </c>
      <c r="AD53" s="553"/>
      <c r="AE53" s="553">
        <f>+AE52</f>
        <v>331.82799999999997</v>
      </c>
      <c r="AF53" s="553">
        <f>+AF52/$B$6</f>
        <v>253.30300000000005</v>
      </c>
    </row>
    <row r="54" spans="1:32" s="559" customFormat="1" ht="6.6" customHeight="1" x14ac:dyDescent="0.2">
      <c r="A54" s="555"/>
      <c r="B54" s="556"/>
      <c r="C54" s="556"/>
      <c r="D54" s="557"/>
      <c r="E54" s="557"/>
      <c r="F54" s="556"/>
      <c r="G54" s="556"/>
      <c r="H54" s="556"/>
      <c r="I54" s="556"/>
      <c r="J54" s="556"/>
      <c r="K54" s="762"/>
      <c r="L54" s="556"/>
      <c r="M54" s="556"/>
      <c r="N54" s="762"/>
      <c r="O54" s="556"/>
      <c r="P54" s="556"/>
      <c r="Q54" s="762"/>
      <c r="R54" s="556"/>
      <c r="S54" s="556"/>
      <c r="T54" s="762"/>
      <c r="U54" s="556"/>
      <c r="V54" s="556"/>
      <c r="W54" s="762"/>
      <c r="X54" s="556"/>
      <c r="Y54" s="556"/>
      <c r="Z54" s="762"/>
      <c r="AA54" s="556"/>
      <c r="AB54" s="556"/>
      <c r="AC54" s="762"/>
      <c r="AD54" s="556"/>
      <c r="AE54" s="556"/>
      <c r="AF54" s="762"/>
    </row>
    <row r="55" spans="1:32" ht="18.600000000000001" customHeight="1" x14ac:dyDescent="0.25">
      <c r="I55" s="586" t="s">
        <v>625</v>
      </c>
      <c r="J55" s="1511">
        <f>J21/J5</f>
        <v>128.30000000000001</v>
      </c>
      <c r="K55" s="763">
        <f>K21/K5</f>
        <v>94954.053999999989</v>
      </c>
      <c r="L55" s="763"/>
      <c r="M55" s="763">
        <f>M21/M5</f>
        <v>78.800000000000011</v>
      </c>
      <c r="N55" s="763">
        <f>N21/N5</f>
        <v>55552.744000000013</v>
      </c>
      <c r="O55" s="763"/>
      <c r="P55" s="763"/>
      <c r="Q55" s="763"/>
      <c r="S55" s="763">
        <f>S21/S6</f>
        <v>187.7</v>
      </c>
      <c r="T55" s="763">
        <f>T21/T6</f>
        <v>132834.89945945947</v>
      </c>
      <c r="V55" s="763">
        <f>V21/V5</f>
        <v>124.45999999999998</v>
      </c>
      <c r="W55" s="763">
        <f>W21/W5</f>
        <v>70463.119999999981</v>
      </c>
      <c r="X55" s="763"/>
      <c r="Y55" s="763">
        <f>Y21/Y5</f>
        <v>55.159999999999989</v>
      </c>
      <c r="Z55" s="763">
        <f>Z21/Z5</f>
        <v>37863.355180722894</v>
      </c>
      <c r="AB55" s="763">
        <f>AB21/AB6</f>
        <v>-86026.128000000012</v>
      </c>
      <c r="AC55" s="763">
        <f>AC21/AC6</f>
        <v>-1878853.6525284324</v>
      </c>
      <c r="AD55" s="763"/>
      <c r="AE55" s="763">
        <f>AE21/AE5</f>
        <v>55.159999999999989</v>
      </c>
      <c r="AF55" s="763">
        <f>AF21/AF5</f>
        <v>37863.355180722894</v>
      </c>
    </row>
    <row r="56" spans="1:32" ht="12.6" customHeight="1" x14ac:dyDescent="0.25">
      <c r="F56" s="34" t="s">
        <v>626</v>
      </c>
      <c r="I56" s="419" t="s">
        <v>627</v>
      </c>
      <c r="J56" s="562">
        <f>J51/J55</f>
        <v>4.6180826188620419</v>
      </c>
      <c r="K56" s="562">
        <f>K51/K55</f>
        <v>3.7087893963958614</v>
      </c>
      <c r="L56" s="562"/>
      <c r="M56" s="562">
        <f>M51/M55</f>
        <v>3.5596446700507611</v>
      </c>
      <c r="N56" s="562">
        <f>N51/N55</f>
        <v>4.2212799605362417</v>
      </c>
      <c r="O56" s="562"/>
      <c r="P56" s="562">
        <f>+(P51+P20)/P7</f>
        <v>0.92630434782608706</v>
      </c>
      <c r="Q56" s="562">
        <f>+(Q51+Q20)/Q8</f>
        <v>1.4943543478260868</v>
      </c>
      <c r="S56" s="562">
        <f>S51/S55</f>
        <v>269.91172083111348</v>
      </c>
      <c r="T56" s="562">
        <f>T51/T55</f>
        <v>371.91851111369851</v>
      </c>
      <c r="V56" s="562">
        <f>V51/V55</f>
        <v>89.92358990840431</v>
      </c>
      <c r="W56" s="562">
        <f>W51/W55</f>
        <v>154.71670171431526</v>
      </c>
      <c r="X56" s="562"/>
      <c r="Y56" s="562">
        <f>Y51/Y55</f>
        <v>2.2842639593908634</v>
      </c>
      <c r="Z56" s="562">
        <f>Z51/Z55</f>
        <v>2.9079205863947393</v>
      </c>
      <c r="AB56" s="562">
        <f>AB51/AB55</f>
        <v>-8145.211070190092</v>
      </c>
      <c r="AC56" s="562">
        <f>AC51/AC55</f>
        <v>-2372510.6090394552</v>
      </c>
      <c r="AD56" s="562"/>
      <c r="AE56" s="562">
        <f>AE51/AE55</f>
        <v>2.2842639593908634</v>
      </c>
      <c r="AF56" s="562">
        <f>AF51/AF55</f>
        <v>2.9079205863947393</v>
      </c>
    </row>
    <row r="59" spans="1:32" ht="18" customHeight="1" x14ac:dyDescent="0.25"/>
  </sheetData>
  <mergeCells count="6">
    <mergeCell ref="AE1:AF1"/>
    <mergeCell ref="J1:K1"/>
    <mergeCell ref="M1:N1"/>
    <mergeCell ref="V1:W1"/>
    <mergeCell ref="Y1:Z1"/>
    <mergeCell ref="AB1:AC1"/>
  </mergeCells>
  <conditionalFormatting sqref="J22:J4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2:K4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11811023622047245" right="0.70866141732283472" top="0.74803149606299213" bottom="0" header="0.31496062992125984" footer="0.31496062992125984"/>
  <pageSetup paperSize="9" scale="80" orientation="landscape" horizontalDpi="200" verticalDpi="2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3B58E-AB67-4833-A0E4-2E2F43662D29}">
  <sheetPr>
    <pageSetUpPr fitToPage="1"/>
  </sheetPr>
  <dimension ref="A1:AU55"/>
  <sheetViews>
    <sheetView showGridLines="0" zoomScale="106" zoomScaleNormal="106" workbookViewId="0">
      <selection activeCell="AI27" sqref="AI27"/>
    </sheetView>
  </sheetViews>
  <sheetFormatPr baseColWidth="10" defaultColWidth="11.42578125" defaultRowHeight="11.25" customHeight="1" x14ac:dyDescent="0.25"/>
  <cols>
    <col min="1" max="1" width="15.7109375" style="418" bestFit="1" customWidth="1"/>
    <col min="2" max="2" width="23.7109375" style="418" customWidth="1"/>
    <col min="3" max="3" width="8.7109375" style="418" bestFit="1" customWidth="1"/>
    <col min="4" max="4" width="12.5703125" style="418" customWidth="1"/>
    <col min="5" max="5" width="13" style="418" hidden="1" customWidth="1"/>
    <col min="6" max="6" width="14.140625" style="34" hidden="1" customWidth="1"/>
    <col min="7" max="7" width="9.5703125" style="419" hidden="1" customWidth="1"/>
    <col min="8" max="8" width="11.42578125" style="419" hidden="1" customWidth="1"/>
    <col min="9" max="9" width="10.7109375" style="419" customWidth="1"/>
    <col min="10" max="10" width="16.42578125" style="418" customWidth="1"/>
    <col min="11" max="11" width="16.42578125" style="418" hidden="1" customWidth="1"/>
    <col min="12" max="12" width="7.5703125" style="418" hidden="1" customWidth="1"/>
    <col min="13" max="13" width="16.85546875" style="418" hidden="1" customWidth="1"/>
    <col min="14" max="14" width="16.28515625" style="418" hidden="1" customWidth="1"/>
    <col min="15" max="15" width="6.5703125" style="418" hidden="1" customWidth="1"/>
    <col min="16" max="16" width="16.85546875" style="418" hidden="1" customWidth="1"/>
    <col min="17" max="17" width="16.28515625" style="418" hidden="1" customWidth="1"/>
    <col min="18" max="18" width="8.140625" style="419" hidden="1" customWidth="1"/>
    <col min="19" max="19" width="16.85546875" style="418" hidden="1" customWidth="1"/>
    <col min="20" max="20" width="16.28515625" style="418" hidden="1" customWidth="1"/>
    <col min="21" max="21" width="8.85546875" style="419" hidden="1" customWidth="1"/>
    <col min="22" max="22" width="16.85546875" style="418" hidden="1" customWidth="1"/>
    <col min="23" max="23" width="16.28515625" style="418" hidden="1" customWidth="1"/>
    <col min="24" max="24" width="7.5703125" style="418" hidden="1" customWidth="1"/>
    <col min="25" max="25" width="16.85546875" style="418" hidden="1" customWidth="1"/>
    <col min="26" max="26" width="16.28515625" style="418" hidden="1" customWidth="1"/>
    <col min="27" max="27" width="8.85546875" style="419" hidden="1" customWidth="1"/>
    <col min="28" max="28" width="16.85546875" style="418" hidden="1" customWidth="1"/>
    <col min="29" max="29" width="16.28515625" style="418" hidden="1" customWidth="1"/>
    <col min="30" max="30" width="7.5703125" style="418" hidden="1" customWidth="1"/>
    <col min="31" max="31" width="16.85546875" style="418" hidden="1" customWidth="1"/>
    <col min="32" max="32" width="16.28515625" style="418" hidden="1" customWidth="1"/>
    <col min="33" max="16384" width="11.42578125" style="418"/>
  </cols>
  <sheetData>
    <row r="1" spans="1:35" ht="22.5" customHeight="1" x14ac:dyDescent="0.25">
      <c r="J1" s="1595"/>
      <c r="K1" s="1595"/>
      <c r="M1" s="1595"/>
      <c r="N1" s="1595"/>
      <c r="V1" s="1595"/>
      <c r="W1" s="1595"/>
      <c r="Y1" s="1595"/>
      <c r="Z1" s="1595"/>
      <c r="AB1" s="1595" t="s">
        <v>558</v>
      </c>
      <c r="AC1" s="1595"/>
      <c r="AE1" s="1595"/>
      <c r="AF1" s="1595"/>
      <c r="AI1" s="418" t="s">
        <v>559</v>
      </c>
    </row>
    <row r="2" spans="1:35" s="419" customFormat="1" ht="11.25" customHeight="1" x14ac:dyDescent="0.2">
      <c r="A2" s="421" t="s">
        <v>560</v>
      </c>
      <c r="B2" s="422"/>
      <c r="C2" s="422"/>
      <c r="D2" s="423"/>
      <c r="E2" s="424"/>
      <c r="F2" s="425"/>
      <c r="G2" s="426"/>
      <c r="H2" s="426"/>
      <c r="I2" s="426"/>
      <c r="J2" s="648">
        <v>230</v>
      </c>
      <c r="K2" s="649">
        <f>+J2</f>
        <v>230</v>
      </c>
      <c r="L2" s="426"/>
      <c r="M2" s="426"/>
      <c r="N2" s="649">
        <f>+M2</f>
        <v>0</v>
      </c>
      <c r="O2" s="426"/>
      <c r="P2" s="426"/>
      <c r="Q2" s="649">
        <f>+P2</f>
        <v>0</v>
      </c>
      <c r="R2" s="426"/>
      <c r="S2" s="426"/>
      <c r="T2" s="649">
        <f>+S2</f>
        <v>0</v>
      </c>
      <c r="U2" s="426"/>
      <c r="V2" s="426"/>
      <c r="W2" s="649">
        <f>+V2</f>
        <v>0</v>
      </c>
      <c r="X2" s="426"/>
      <c r="Y2" s="426"/>
      <c r="Z2" s="649">
        <f>+Y2</f>
        <v>0</v>
      </c>
      <c r="AA2" s="426"/>
      <c r="AB2" s="426">
        <v>300</v>
      </c>
      <c r="AC2" s="649">
        <f>+AB2</f>
        <v>300</v>
      </c>
      <c r="AD2" s="426"/>
      <c r="AE2" s="426">
        <v>305</v>
      </c>
      <c r="AF2" s="649">
        <f>+AE2</f>
        <v>305</v>
      </c>
    </row>
    <row r="3" spans="1:35" s="419" customFormat="1" ht="12" customHeight="1" x14ac:dyDescent="0.2">
      <c r="A3" s="428" t="s">
        <v>561</v>
      </c>
      <c r="B3" s="429"/>
      <c r="C3" s="429"/>
      <c r="D3" s="430"/>
      <c r="E3" s="431"/>
      <c r="F3" s="432"/>
      <c r="G3" s="433"/>
      <c r="H3" s="433"/>
      <c r="I3" s="433"/>
      <c r="J3" s="650" t="s">
        <v>562</v>
      </c>
      <c r="K3" s="651" t="s">
        <v>563</v>
      </c>
      <c r="L3" s="433"/>
      <c r="M3" s="433" t="s">
        <v>562</v>
      </c>
      <c r="N3" s="651" t="s">
        <v>563</v>
      </c>
      <c r="O3" s="433"/>
      <c r="P3" s="433" t="s">
        <v>562</v>
      </c>
      <c r="Q3" s="651" t="s">
        <v>563</v>
      </c>
      <c r="R3" s="433"/>
      <c r="S3" s="433" t="s">
        <v>562</v>
      </c>
      <c r="T3" s="651" t="s">
        <v>563</v>
      </c>
      <c r="U3" s="433"/>
      <c r="V3" s="433" t="s">
        <v>562</v>
      </c>
      <c r="W3" s="651" t="s">
        <v>563</v>
      </c>
      <c r="X3" s="433"/>
      <c r="Y3" s="433" t="s">
        <v>562</v>
      </c>
      <c r="Z3" s="651" t="s">
        <v>563</v>
      </c>
      <c r="AA3" s="433"/>
      <c r="AB3" s="433" t="s">
        <v>562</v>
      </c>
      <c r="AC3" s="651" t="s">
        <v>563</v>
      </c>
      <c r="AD3" s="433"/>
      <c r="AE3" s="433" t="s">
        <v>562</v>
      </c>
      <c r="AF3" s="651" t="s">
        <v>563</v>
      </c>
    </row>
    <row r="4" spans="1:35" s="441" customFormat="1" ht="12" customHeight="1" x14ac:dyDescent="0.2">
      <c r="A4" s="435" t="s">
        <v>564</v>
      </c>
      <c r="B4" s="436">
        <f ca="1">+TODAY()</f>
        <v>45763</v>
      </c>
      <c r="C4" s="436"/>
      <c r="D4" s="435"/>
      <c r="E4" s="437"/>
      <c r="F4" s="438" t="s">
        <v>565</v>
      </c>
      <c r="G4" s="435" t="s">
        <v>34</v>
      </c>
      <c r="H4" s="435"/>
      <c r="I4" s="435"/>
      <c r="J4" s="652" t="s">
        <v>566</v>
      </c>
      <c r="K4" s="440" t="str">
        <f>+J4</f>
        <v>Soja</v>
      </c>
      <c r="L4" s="435"/>
      <c r="M4" s="440" t="s">
        <v>567</v>
      </c>
      <c r="N4" s="652" t="str">
        <f>+M4</f>
        <v>Maiz 1º</v>
      </c>
      <c r="O4" s="435"/>
      <c r="P4" s="440" t="s">
        <v>568</v>
      </c>
      <c r="Q4" s="652" t="str">
        <f>+P4</f>
        <v>Soja 1a / maiz</v>
      </c>
      <c r="R4" s="435"/>
      <c r="S4" s="440" t="s">
        <v>569</v>
      </c>
      <c r="T4" s="440" t="str">
        <f>+S4</f>
        <v>Soja 1a STS</v>
      </c>
      <c r="U4" s="435"/>
      <c r="V4" s="440" t="s">
        <v>570</v>
      </c>
      <c r="W4" s="440" t="str">
        <f>+V4</f>
        <v>Soja 1a</v>
      </c>
      <c r="X4" s="435"/>
      <c r="Y4" s="440" t="s">
        <v>567</v>
      </c>
      <c r="Z4" s="652" t="str">
        <f>+Y4</f>
        <v>Maiz 1º</v>
      </c>
      <c r="AA4" s="435"/>
      <c r="AB4" s="440" t="s">
        <v>570</v>
      </c>
      <c r="AC4" s="440" t="str">
        <f>+AB4</f>
        <v>Soja 1a</v>
      </c>
      <c r="AD4" s="435"/>
      <c r="AE4" s="440" t="s">
        <v>567</v>
      </c>
      <c r="AF4" s="652" t="str">
        <f>+AE4</f>
        <v>Maiz 1º</v>
      </c>
    </row>
    <row r="5" spans="1:35" s="441" customFormat="1" ht="12" customHeight="1" x14ac:dyDescent="0.2">
      <c r="A5" s="435"/>
      <c r="B5" s="436"/>
      <c r="C5" s="436"/>
      <c r="D5" s="442"/>
      <c r="F5" s="443"/>
      <c r="G5" s="442" t="s">
        <v>571</v>
      </c>
      <c r="H5" s="442"/>
      <c r="I5" s="442"/>
      <c r="J5" s="653">
        <v>2.8</v>
      </c>
      <c r="K5" s="654">
        <f>+J5</f>
        <v>2.8</v>
      </c>
      <c r="L5" s="453"/>
      <c r="M5" s="453">
        <v>6.5</v>
      </c>
      <c r="N5" s="654">
        <f>+M5</f>
        <v>6.5</v>
      </c>
      <c r="O5" s="453"/>
      <c r="P5" s="453">
        <v>3.5</v>
      </c>
      <c r="Q5" s="654">
        <f>+P5</f>
        <v>3.5</v>
      </c>
      <c r="R5" s="442"/>
      <c r="S5" s="453">
        <v>3.7</v>
      </c>
      <c r="T5" s="654">
        <f>+S5</f>
        <v>3.7</v>
      </c>
      <c r="U5" s="442"/>
      <c r="V5" s="453">
        <v>3.1</v>
      </c>
      <c r="W5" s="654">
        <f>+V5</f>
        <v>3.1</v>
      </c>
      <c r="X5" s="453"/>
      <c r="Y5" s="453">
        <v>8.3000000000000007</v>
      </c>
      <c r="Z5" s="654">
        <f>+Y5</f>
        <v>8.3000000000000007</v>
      </c>
      <c r="AA5" s="442"/>
      <c r="AB5" s="453">
        <v>3.7</v>
      </c>
      <c r="AC5" s="654">
        <f>+AB5</f>
        <v>3.7</v>
      </c>
      <c r="AD5" s="453"/>
      <c r="AE5" s="453">
        <v>8.3000000000000007</v>
      </c>
      <c r="AF5" s="654">
        <f>+AE5</f>
        <v>8.3000000000000007</v>
      </c>
    </row>
    <row r="6" spans="1:35" ht="11.25" customHeight="1" x14ac:dyDescent="0.25">
      <c r="A6" s="446" t="s">
        <v>572</v>
      </c>
      <c r="B6" s="447">
        <v>860</v>
      </c>
      <c r="C6" s="448" t="s">
        <v>34</v>
      </c>
      <c r="D6" s="449" t="s">
        <v>571</v>
      </c>
      <c r="E6" s="450"/>
      <c r="F6" s="425" t="s">
        <v>561</v>
      </c>
      <c r="G6" s="451"/>
      <c r="H6" s="451"/>
      <c r="I6" s="563"/>
      <c r="J6" s="655">
        <f>J5</f>
        <v>2.8</v>
      </c>
      <c r="K6" s="453">
        <f>J6</f>
        <v>2.8</v>
      </c>
      <c r="L6" s="453"/>
      <c r="M6" s="453">
        <f>M5</f>
        <v>6.5</v>
      </c>
      <c r="N6" s="655">
        <f>N5</f>
        <v>6.5</v>
      </c>
      <c r="O6" s="453"/>
      <c r="P6" s="453">
        <f>P5</f>
        <v>3.5</v>
      </c>
      <c r="Q6" s="655">
        <f>Q5</f>
        <v>3.5</v>
      </c>
      <c r="R6" s="451"/>
      <c r="S6" s="453">
        <f>S5</f>
        <v>3.7</v>
      </c>
      <c r="T6" s="453">
        <f>T5</f>
        <v>3.7</v>
      </c>
      <c r="U6" s="451">
        <v>0.7</v>
      </c>
      <c r="V6" s="453">
        <f>V5*U6</f>
        <v>2.17</v>
      </c>
      <c r="W6" s="453">
        <f>V6</f>
        <v>2.17</v>
      </c>
      <c r="X6" s="453">
        <v>0.7</v>
      </c>
      <c r="Y6" s="453">
        <f>Y5*X6</f>
        <v>5.8100000000000005</v>
      </c>
      <c r="Z6" s="655">
        <f>Y6</f>
        <v>5.8100000000000005</v>
      </c>
      <c r="AA6" s="451"/>
      <c r="AB6" s="453">
        <f>AB5</f>
        <v>3.7</v>
      </c>
      <c r="AC6" s="453">
        <f>AC5</f>
        <v>3.7</v>
      </c>
      <c r="AD6" s="453">
        <v>0.7</v>
      </c>
      <c r="AE6" s="453">
        <f>AE5*AD6</f>
        <v>5.8100000000000005</v>
      </c>
      <c r="AF6" s="655">
        <f>AE6</f>
        <v>5.8100000000000005</v>
      </c>
    </row>
    <row r="7" spans="1:35" ht="11.25" customHeight="1" x14ac:dyDescent="0.25">
      <c r="A7" s="454"/>
      <c r="B7" s="419"/>
      <c r="C7" s="455"/>
      <c r="D7" s="454" t="s">
        <v>573</v>
      </c>
      <c r="F7" s="443" t="s">
        <v>574</v>
      </c>
      <c r="G7" s="456"/>
      <c r="H7" s="456"/>
      <c r="I7" s="456"/>
      <c r="J7" s="656">
        <v>290</v>
      </c>
      <c r="K7" s="657">
        <f>+J7</f>
        <v>290</v>
      </c>
      <c r="L7" s="658"/>
      <c r="M7" s="456">
        <v>120</v>
      </c>
      <c r="N7" s="657">
        <f>+M7</f>
        <v>120</v>
      </c>
      <c r="O7" s="658"/>
      <c r="P7" s="456">
        <v>230</v>
      </c>
      <c r="Q7" s="657">
        <f>+P7</f>
        <v>230</v>
      </c>
      <c r="R7" s="456"/>
      <c r="S7" s="456">
        <v>230</v>
      </c>
      <c r="T7" s="657">
        <f>+S7</f>
        <v>230</v>
      </c>
      <c r="U7" s="456"/>
      <c r="V7" s="456">
        <v>220</v>
      </c>
      <c r="W7" s="657">
        <f>+V7</f>
        <v>220</v>
      </c>
      <c r="X7" s="658"/>
      <c r="Y7" s="456">
        <v>120</v>
      </c>
      <c r="Z7" s="657">
        <f>+Y7</f>
        <v>120</v>
      </c>
      <c r="AA7" s="456"/>
      <c r="AB7" s="456">
        <v>230</v>
      </c>
      <c r="AC7" s="657">
        <f>+AB7</f>
        <v>230</v>
      </c>
      <c r="AD7" s="658"/>
      <c r="AE7" s="456">
        <v>120</v>
      </c>
      <c r="AF7" s="657">
        <f>+AE7</f>
        <v>120</v>
      </c>
    </row>
    <row r="8" spans="1:35" ht="11.25" customHeight="1" x14ac:dyDescent="0.25">
      <c r="A8" s="454"/>
      <c r="B8" s="419"/>
      <c r="C8" s="455"/>
      <c r="D8" s="454" t="s">
        <v>573</v>
      </c>
      <c r="F8" s="443" t="s">
        <v>575</v>
      </c>
      <c r="G8" s="460"/>
      <c r="H8" s="460"/>
      <c r="I8" s="460"/>
      <c r="J8" s="659">
        <f>J7*B6</f>
        <v>249400</v>
      </c>
      <c r="K8" s="660">
        <f>K7*B6</f>
        <v>249400</v>
      </c>
      <c r="L8" s="661"/>
      <c r="M8" s="456">
        <f>M7*B6</f>
        <v>103200</v>
      </c>
      <c r="N8" s="660">
        <f>N7*B6</f>
        <v>103200</v>
      </c>
      <c r="O8" s="662"/>
      <c r="P8" s="462">
        <f>P7*B6</f>
        <v>197800</v>
      </c>
      <c r="Q8" s="660">
        <f>Q7*B6</f>
        <v>197800</v>
      </c>
      <c r="R8" s="460"/>
      <c r="S8" s="462">
        <f>S7*B6</f>
        <v>197800</v>
      </c>
      <c r="T8" s="660">
        <f>T7*B6</f>
        <v>197800</v>
      </c>
      <c r="U8" s="460"/>
      <c r="V8" s="462">
        <f>V7*B6</f>
        <v>189200</v>
      </c>
      <c r="W8" s="660">
        <f>W7*B6</f>
        <v>189200</v>
      </c>
      <c r="X8" s="661"/>
      <c r="Y8" s="456">
        <f>Y7*B6</f>
        <v>103200</v>
      </c>
      <c r="Z8" s="660">
        <f>Z7*B6</f>
        <v>103200</v>
      </c>
      <c r="AA8" s="460"/>
      <c r="AB8" s="462">
        <f>AB7*U6</f>
        <v>161</v>
      </c>
      <c r="AC8" s="660">
        <f>AC7*U6</f>
        <v>161</v>
      </c>
      <c r="AD8" s="661"/>
      <c r="AE8" s="456">
        <f>AE7*B6</f>
        <v>103200</v>
      </c>
      <c r="AF8" s="660">
        <f>AF7*B6</f>
        <v>103200</v>
      </c>
    </row>
    <row r="9" spans="1:35" ht="11.25" customHeight="1" x14ac:dyDescent="0.25">
      <c r="A9" s="454"/>
      <c r="B9" s="419"/>
      <c r="C9" s="455"/>
      <c r="D9" s="454"/>
      <c r="F9" s="443"/>
      <c r="G9" s="460"/>
      <c r="H9" s="460"/>
      <c r="I9" s="460"/>
      <c r="J9" s="663"/>
      <c r="K9" s="662"/>
      <c r="L9" s="661"/>
      <c r="M9" s="456"/>
      <c r="N9" s="660"/>
      <c r="O9" s="661"/>
      <c r="P9" s="456"/>
      <c r="Q9" s="662"/>
      <c r="R9" s="460"/>
      <c r="S9" s="456"/>
      <c r="T9" s="662"/>
      <c r="U9" s="460"/>
      <c r="V9" s="456"/>
      <c r="W9" s="662"/>
      <c r="X9" s="661"/>
      <c r="Y9" s="456"/>
      <c r="Z9" s="660"/>
      <c r="AA9" s="460"/>
      <c r="AB9" s="456"/>
      <c r="AC9" s="662"/>
      <c r="AD9" s="661"/>
      <c r="AE9" s="456"/>
      <c r="AF9" s="660"/>
    </row>
    <row r="10" spans="1:35" ht="11.25" customHeight="1" x14ac:dyDescent="0.25">
      <c r="A10" s="463" t="s">
        <v>576</v>
      </c>
      <c r="B10" s="464"/>
      <c r="C10" s="465"/>
      <c r="D10" s="463" t="s">
        <v>577</v>
      </c>
      <c r="E10" s="464"/>
      <c r="F10" s="432" t="s">
        <v>575</v>
      </c>
      <c r="G10" s="466"/>
      <c r="H10" s="466"/>
      <c r="I10" s="466"/>
      <c r="J10" s="468">
        <f>+J7*J5</f>
        <v>812</v>
      </c>
      <c r="K10" s="664">
        <f>+K8*K6</f>
        <v>698320</v>
      </c>
      <c r="L10" s="580"/>
      <c r="M10" s="468">
        <f>+M7*M6</f>
        <v>780</v>
      </c>
      <c r="N10" s="664">
        <f>+N8*N6</f>
        <v>670800</v>
      </c>
      <c r="O10" s="580"/>
      <c r="P10" s="468">
        <f>+P7*P6</f>
        <v>805</v>
      </c>
      <c r="Q10" s="664">
        <f>+Q8*Q6</f>
        <v>692300</v>
      </c>
      <c r="R10" s="466"/>
      <c r="S10" s="468">
        <f>+S7*S6</f>
        <v>851</v>
      </c>
      <c r="T10" s="664">
        <f>+T8*T6</f>
        <v>731860</v>
      </c>
      <c r="U10" s="466"/>
      <c r="V10" s="468">
        <f>+V7*V6</f>
        <v>477.4</v>
      </c>
      <c r="W10" s="664">
        <f>+W8*W6</f>
        <v>410564</v>
      </c>
      <c r="X10" s="580"/>
      <c r="Y10" s="468">
        <f>+Y7*Y6</f>
        <v>697.2</v>
      </c>
      <c r="Z10" s="664">
        <f>+Z8*Z6</f>
        <v>599592</v>
      </c>
      <c r="AA10" s="466"/>
      <c r="AB10" s="468">
        <f>+AB7*AB6</f>
        <v>851</v>
      </c>
      <c r="AC10" s="664">
        <f>+AC8*AC6</f>
        <v>595.70000000000005</v>
      </c>
      <c r="AD10" s="580"/>
      <c r="AE10" s="468">
        <f>+AE7*AE6</f>
        <v>697.2</v>
      </c>
      <c r="AF10" s="664">
        <f>+AF8*AF6</f>
        <v>599592</v>
      </c>
    </row>
    <row r="11" spans="1:35" ht="11.25" customHeight="1" x14ac:dyDescent="0.25">
      <c r="A11" s="449"/>
      <c r="B11" s="450"/>
      <c r="C11" s="469">
        <v>0.105</v>
      </c>
      <c r="D11" s="449"/>
      <c r="E11" s="450"/>
      <c r="F11" s="470" t="s">
        <v>578</v>
      </c>
      <c r="G11" s="471"/>
      <c r="H11" s="471"/>
      <c r="I11" s="471"/>
      <c r="J11" s="473"/>
      <c r="K11" s="665">
        <f>+K10*1.105</f>
        <v>771643.6</v>
      </c>
      <c r="L11" s="666"/>
      <c r="M11" s="473"/>
      <c r="N11" s="665">
        <f>+N10*1.105</f>
        <v>741234</v>
      </c>
      <c r="O11" s="666"/>
      <c r="P11" s="473"/>
      <c r="Q11" s="665">
        <f>+Q10*1.105</f>
        <v>764991.5</v>
      </c>
      <c r="R11" s="471"/>
      <c r="S11" s="473"/>
      <c r="T11" s="665">
        <f>+T10*1.105</f>
        <v>808705.29999999993</v>
      </c>
      <c r="U11" s="471"/>
      <c r="V11" s="473"/>
      <c r="W11" s="665">
        <f>+W10*1.105</f>
        <v>453673.22</v>
      </c>
      <c r="X11" s="666"/>
      <c r="Y11" s="473"/>
      <c r="Z11" s="665">
        <f>+Z10*1.105</f>
        <v>662549.16</v>
      </c>
      <c r="AA11" s="471"/>
      <c r="AB11" s="473"/>
      <c r="AC11" s="665">
        <f>+AC10*1.105</f>
        <v>658.24850000000004</v>
      </c>
      <c r="AD11" s="666"/>
      <c r="AE11" s="473"/>
      <c r="AF11" s="665">
        <f>+AF10*1.105</f>
        <v>662549.16</v>
      </c>
    </row>
    <row r="12" spans="1:35" ht="23.45" customHeight="1" x14ac:dyDescent="0.25">
      <c r="A12" s="449" t="s">
        <v>579</v>
      </c>
      <c r="B12" s="667" t="s">
        <v>580</v>
      </c>
      <c r="C12" s="469"/>
      <c r="D12" s="474">
        <v>30</v>
      </c>
      <c r="E12" s="450">
        <f>D12*B6</f>
        <v>25800</v>
      </c>
      <c r="F12" s="475"/>
      <c r="G12" s="476"/>
      <c r="H12" s="476"/>
      <c r="I12" s="476"/>
      <c r="J12" s="478">
        <f>+D12*J6</f>
        <v>84</v>
      </c>
      <c r="K12" s="668">
        <f>+J12*1.21*B6</f>
        <v>87410.4</v>
      </c>
      <c r="L12" s="669"/>
      <c r="M12" s="478">
        <f>D12*M5</f>
        <v>195</v>
      </c>
      <c r="N12" s="668">
        <f>+M12*1.21*B6</f>
        <v>202917</v>
      </c>
      <c r="O12" s="669"/>
      <c r="P12" s="478">
        <f>P5*D12</f>
        <v>105</v>
      </c>
      <c r="Q12" s="668">
        <f>+P12*1.21*B6</f>
        <v>109263</v>
      </c>
      <c r="R12" s="476"/>
      <c r="S12" s="478">
        <f>D12*S5</f>
        <v>111</v>
      </c>
      <c r="T12" s="668">
        <f>+S12*1.21*B6</f>
        <v>115506.6</v>
      </c>
      <c r="U12" s="476"/>
      <c r="V12" s="478">
        <f>D12*V6</f>
        <v>65.099999999999994</v>
      </c>
      <c r="W12" s="668">
        <f>+V12*1.21*B6</f>
        <v>67743.059999999983</v>
      </c>
      <c r="X12" s="669"/>
      <c r="Y12" s="478">
        <f>D12*Y6</f>
        <v>174.3</v>
      </c>
      <c r="Z12" s="668">
        <f>+Y12*1.21*B6</f>
        <v>181376.58000000002</v>
      </c>
      <c r="AA12" s="476"/>
      <c r="AB12" s="478">
        <f>W12*AB5</f>
        <v>250649.32199999996</v>
      </c>
      <c r="AC12" s="668">
        <f>+AB12*1.21*U6</f>
        <v>212299.97573399995</v>
      </c>
      <c r="AD12" s="669"/>
      <c r="AE12" s="478">
        <f>D12*AE6</f>
        <v>174.3</v>
      </c>
      <c r="AF12" s="668">
        <f>+AE12*1.21*B6</f>
        <v>181376.58000000002</v>
      </c>
    </row>
    <row r="13" spans="1:35" ht="11.25" customHeight="1" x14ac:dyDescent="0.25">
      <c r="A13" s="454"/>
      <c r="B13" s="670" t="s">
        <v>581</v>
      </c>
      <c r="C13" s="479"/>
      <c r="D13" s="480">
        <v>35</v>
      </c>
      <c r="E13" s="418">
        <f>+D13*B6</f>
        <v>30100</v>
      </c>
      <c r="F13" s="481">
        <f>+E13*1.21</f>
        <v>36421</v>
      </c>
      <c r="G13" s="460"/>
      <c r="H13" s="460"/>
      <c r="I13" s="460"/>
      <c r="J13" s="663"/>
      <c r="K13" s="660"/>
      <c r="L13" s="661"/>
      <c r="M13" s="456"/>
      <c r="N13" s="660"/>
      <c r="O13" s="661"/>
      <c r="P13" s="456"/>
      <c r="Q13" s="660"/>
      <c r="R13" s="460"/>
      <c r="S13" s="456"/>
      <c r="T13" s="660"/>
      <c r="U13" s="460"/>
      <c r="V13" s="456"/>
      <c r="W13" s="660"/>
      <c r="X13" s="661"/>
      <c r="Y13" s="456"/>
      <c r="Z13" s="660"/>
      <c r="AA13" s="460"/>
      <c r="AB13" s="456"/>
      <c r="AC13" s="660"/>
      <c r="AD13" s="661"/>
      <c r="AE13" s="456"/>
      <c r="AF13" s="660"/>
    </row>
    <row r="14" spans="1:35" ht="11.25" customHeight="1" x14ac:dyDescent="0.25">
      <c r="A14" s="454"/>
      <c r="B14" s="441" t="s">
        <v>582</v>
      </c>
      <c r="C14" s="479"/>
      <c r="D14" s="454"/>
      <c r="F14" s="482">
        <v>6.0000000000000001E-3</v>
      </c>
      <c r="G14" s="460"/>
      <c r="H14" s="460"/>
      <c r="I14" s="460"/>
      <c r="J14" s="663"/>
      <c r="K14" s="660">
        <f t="shared" ref="K14:K19" si="0">+$K$10*F14</f>
        <v>4189.92</v>
      </c>
      <c r="L14" s="661"/>
      <c r="M14" s="456"/>
      <c r="N14" s="660">
        <f t="shared" ref="N14:N19" si="1">+$N$10*F14</f>
        <v>4024.8</v>
      </c>
      <c r="O14" s="661"/>
      <c r="P14" s="456"/>
      <c r="Q14" s="660">
        <f t="shared" ref="Q14:Q19" si="2">+$Q$10*F14</f>
        <v>4153.8</v>
      </c>
      <c r="R14" s="460"/>
      <c r="S14" s="456"/>
      <c r="T14" s="660">
        <f t="shared" ref="T14:T19" si="3">+$K$10*F14</f>
        <v>4189.92</v>
      </c>
      <c r="U14" s="460"/>
      <c r="V14" s="456"/>
      <c r="W14" s="660">
        <f t="shared" ref="W14:W19" si="4">+$K$10*F14</f>
        <v>4189.92</v>
      </c>
      <c r="X14" s="661"/>
      <c r="Y14" s="456"/>
      <c r="Z14" s="660">
        <f t="shared" ref="Z14:Z19" si="5">+$N$10*F14</f>
        <v>4024.8</v>
      </c>
      <c r="AA14" s="460"/>
      <c r="AB14" s="456"/>
      <c r="AC14" s="660">
        <f t="shared" ref="AC14:AC19" si="6">+$K$10*Y14</f>
        <v>0</v>
      </c>
      <c r="AD14" s="661"/>
      <c r="AE14" s="456"/>
      <c r="AF14" s="660">
        <f t="shared" ref="AF14:AF19" si="7">+$N$10*F14</f>
        <v>4024.8</v>
      </c>
    </row>
    <row r="15" spans="1:35" ht="11.25" customHeight="1" x14ac:dyDescent="0.25">
      <c r="A15" s="454"/>
      <c r="B15" s="441" t="s">
        <v>583</v>
      </c>
      <c r="C15" s="479"/>
      <c r="D15" s="454"/>
      <c r="F15" s="483">
        <v>1.4999999999999999E-2</v>
      </c>
      <c r="G15" s="460"/>
      <c r="H15" s="460"/>
      <c r="I15" s="460"/>
      <c r="J15" s="663"/>
      <c r="K15" s="660">
        <f t="shared" si="0"/>
        <v>10474.799999999999</v>
      </c>
      <c r="L15" s="661"/>
      <c r="M15" s="456"/>
      <c r="N15" s="660">
        <f t="shared" si="1"/>
        <v>10062</v>
      </c>
      <c r="O15" s="661"/>
      <c r="P15" s="456"/>
      <c r="Q15" s="660">
        <f t="shared" si="2"/>
        <v>10384.5</v>
      </c>
      <c r="R15" s="460"/>
      <c r="S15" s="456"/>
      <c r="T15" s="660">
        <f t="shared" si="3"/>
        <v>10474.799999999999</v>
      </c>
      <c r="U15" s="460"/>
      <c r="V15" s="456"/>
      <c r="W15" s="660">
        <f t="shared" si="4"/>
        <v>10474.799999999999</v>
      </c>
      <c r="X15" s="661"/>
      <c r="Y15" s="456"/>
      <c r="Z15" s="660">
        <f t="shared" si="5"/>
        <v>10062</v>
      </c>
      <c r="AA15" s="460"/>
      <c r="AB15" s="456"/>
      <c r="AC15" s="660">
        <f t="shared" si="6"/>
        <v>0</v>
      </c>
      <c r="AD15" s="661"/>
      <c r="AE15" s="456"/>
      <c r="AF15" s="660">
        <f t="shared" si="7"/>
        <v>10062</v>
      </c>
    </row>
    <row r="16" spans="1:35" ht="11.25" customHeight="1" x14ac:dyDescent="0.25">
      <c r="A16" s="454"/>
      <c r="B16" s="441" t="s">
        <v>584</v>
      </c>
      <c r="C16" s="479"/>
      <c r="D16" s="454"/>
      <c r="F16" s="483">
        <v>1.6299999999999999E-2</v>
      </c>
      <c r="G16" s="460"/>
      <c r="H16" s="460"/>
      <c r="I16" s="460"/>
      <c r="J16" s="663"/>
      <c r="K16" s="660">
        <f t="shared" si="0"/>
        <v>11382.615999999998</v>
      </c>
      <c r="L16" s="661"/>
      <c r="M16" s="456"/>
      <c r="N16" s="660">
        <f t="shared" si="1"/>
        <v>10934.039999999999</v>
      </c>
      <c r="O16" s="661"/>
      <c r="P16" s="456"/>
      <c r="Q16" s="660">
        <f t="shared" si="2"/>
        <v>11284.49</v>
      </c>
      <c r="R16" s="460"/>
      <c r="S16" s="456"/>
      <c r="T16" s="660">
        <f t="shared" si="3"/>
        <v>11382.615999999998</v>
      </c>
      <c r="U16" s="460"/>
      <c r="V16" s="456"/>
      <c r="W16" s="660">
        <f t="shared" si="4"/>
        <v>11382.615999999998</v>
      </c>
      <c r="X16" s="661"/>
      <c r="Y16" s="456"/>
      <c r="Z16" s="660">
        <f t="shared" si="5"/>
        <v>10934.039999999999</v>
      </c>
      <c r="AA16" s="460"/>
      <c r="AB16" s="456"/>
      <c r="AC16" s="660">
        <f t="shared" si="6"/>
        <v>0</v>
      </c>
      <c r="AD16" s="661"/>
      <c r="AE16" s="456"/>
      <c r="AF16" s="660">
        <f t="shared" si="7"/>
        <v>10934.039999999999</v>
      </c>
    </row>
    <row r="17" spans="1:47" ht="11.25" customHeight="1" x14ac:dyDescent="0.25">
      <c r="A17" s="454"/>
      <c r="B17" s="441" t="s">
        <v>585</v>
      </c>
      <c r="C17" s="479"/>
      <c r="D17" s="454"/>
      <c r="F17" s="483">
        <v>0.08</v>
      </c>
      <c r="G17" s="460"/>
      <c r="H17" s="460"/>
      <c r="I17" s="460"/>
      <c r="J17" s="663"/>
      <c r="K17" s="660">
        <f t="shared" si="0"/>
        <v>55865.599999999999</v>
      </c>
      <c r="L17" s="661"/>
      <c r="M17" s="456"/>
      <c r="N17" s="660">
        <f t="shared" si="1"/>
        <v>53664</v>
      </c>
      <c r="O17" s="661"/>
      <c r="P17" s="456"/>
      <c r="Q17" s="660">
        <f t="shared" si="2"/>
        <v>55384</v>
      </c>
      <c r="R17" s="460"/>
      <c r="S17" s="456"/>
      <c r="T17" s="660">
        <f t="shared" si="3"/>
        <v>55865.599999999999</v>
      </c>
      <c r="U17" s="460"/>
      <c r="V17" s="456"/>
      <c r="W17" s="660">
        <f t="shared" si="4"/>
        <v>55865.599999999999</v>
      </c>
      <c r="X17" s="661"/>
      <c r="Y17" s="456"/>
      <c r="Z17" s="660">
        <f t="shared" si="5"/>
        <v>53664</v>
      </c>
      <c r="AA17" s="460"/>
      <c r="AB17" s="456"/>
      <c r="AC17" s="660">
        <f t="shared" si="6"/>
        <v>0</v>
      </c>
      <c r="AD17" s="661"/>
      <c r="AE17" s="456"/>
      <c r="AF17" s="660">
        <f t="shared" si="7"/>
        <v>53664</v>
      </c>
    </row>
    <row r="18" spans="1:47" ht="11.25" customHeight="1" x14ac:dyDescent="0.25">
      <c r="A18" s="454"/>
      <c r="B18" s="418" t="s">
        <v>586</v>
      </c>
      <c r="C18" s="479"/>
      <c r="D18" s="454"/>
      <c r="F18" s="483">
        <v>0</v>
      </c>
      <c r="G18" s="460"/>
      <c r="H18" s="460"/>
      <c r="I18" s="460"/>
      <c r="J18" s="663"/>
      <c r="K18" s="660">
        <f t="shared" si="0"/>
        <v>0</v>
      </c>
      <c r="L18" s="661"/>
      <c r="M18" s="456"/>
      <c r="N18" s="660">
        <f t="shared" si="1"/>
        <v>0</v>
      </c>
      <c r="O18" s="661"/>
      <c r="P18" s="456"/>
      <c r="Q18" s="660">
        <f t="shared" si="2"/>
        <v>0</v>
      </c>
      <c r="R18" s="460"/>
      <c r="S18" s="456"/>
      <c r="T18" s="660">
        <f t="shared" si="3"/>
        <v>0</v>
      </c>
      <c r="U18" s="460"/>
      <c r="V18" s="456"/>
      <c r="W18" s="660">
        <f t="shared" si="4"/>
        <v>0</v>
      </c>
      <c r="X18" s="661"/>
      <c r="Y18" s="456"/>
      <c r="Z18" s="660">
        <f t="shared" si="5"/>
        <v>0</v>
      </c>
      <c r="AA18" s="460"/>
      <c r="AB18" s="456"/>
      <c r="AC18" s="660">
        <f t="shared" si="6"/>
        <v>0</v>
      </c>
      <c r="AD18" s="661"/>
      <c r="AE18" s="456"/>
      <c r="AF18" s="660">
        <f t="shared" si="7"/>
        <v>0</v>
      </c>
    </row>
    <row r="19" spans="1:47" ht="11.45" customHeight="1" x14ac:dyDescent="0.25">
      <c r="A19" s="454"/>
      <c r="B19" s="418" t="s">
        <v>587</v>
      </c>
      <c r="C19" s="479"/>
      <c r="D19" s="454"/>
      <c r="F19" s="482">
        <v>0.01</v>
      </c>
      <c r="G19" s="460"/>
      <c r="H19" s="460"/>
      <c r="I19" s="460"/>
      <c r="J19" s="671">
        <f>+F19*J10</f>
        <v>8.120000000000001</v>
      </c>
      <c r="K19" s="660">
        <f t="shared" si="0"/>
        <v>6983.2</v>
      </c>
      <c r="L19" s="661"/>
      <c r="M19" s="456">
        <f>+F19*M10</f>
        <v>7.8</v>
      </c>
      <c r="N19" s="660">
        <f t="shared" si="1"/>
        <v>6708</v>
      </c>
      <c r="O19" s="661"/>
      <c r="P19" s="456">
        <f>+F19*P10</f>
        <v>8.0500000000000007</v>
      </c>
      <c r="Q19" s="660">
        <f t="shared" si="2"/>
        <v>6923</v>
      </c>
      <c r="R19" s="460"/>
      <c r="S19" s="456">
        <f>+F19*S10</f>
        <v>8.51</v>
      </c>
      <c r="T19" s="660">
        <f t="shared" si="3"/>
        <v>6983.2</v>
      </c>
      <c r="U19" s="460"/>
      <c r="V19" s="456">
        <f>+F19*V10</f>
        <v>4.774</v>
      </c>
      <c r="W19" s="660">
        <f t="shared" si="4"/>
        <v>6983.2</v>
      </c>
      <c r="X19" s="661"/>
      <c r="Y19" s="456">
        <f>+F19*Y10</f>
        <v>6.9720000000000004</v>
      </c>
      <c r="Z19" s="660">
        <f t="shared" si="5"/>
        <v>6708</v>
      </c>
      <c r="AA19" s="460"/>
      <c r="AB19" s="456">
        <f>+Y19*AB10</f>
        <v>5933.1720000000005</v>
      </c>
      <c r="AC19" s="660">
        <f t="shared" si="6"/>
        <v>4868687.04</v>
      </c>
      <c r="AD19" s="661"/>
      <c r="AE19" s="456">
        <f>+F19*AE10</f>
        <v>6.9720000000000004</v>
      </c>
      <c r="AF19" s="660">
        <f t="shared" si="7"/>
        <v>6708</v>
      </c>
    </row>
    <row r="20" spans="1:47" ht="14.45" customHeight="1" x14ac:dyDescent="0.25">
      <c r="A20" s="484" t="s">
        <v>588</v>
      </c>
      <c r="B20" s="464"/>
      <c r="C20" s="485"/>
      <c r="D20" s="463"/>
      <c r="E20" s="464"/>
      <c r="F20" s="486"/>
      <c r="G20" s="487"/>
      <c r="H20" s="487"/>
      <c r="I20" s="564"/>
      <c r="J20" s="489">
        <f>SUM(J12:J19)</f>
        <v>92.12</v>
      </c>
      <c r="K20" s="672">
        <f>SUM(K12:K19)</f>
        <v>176306.53599999999</v>
      </c>
      <c r="L20" s="673"/>
      <c r="M20" s="489">
        <f>SUM(M12:M19)</f>
        <v>202.8</v>
      </c>
      <c r="N20" s="672">
        <f>SUM(N12:N19)</f>
        <v>288309.83999999997</v>
      </c>
      <c r="O20" s="673"/>
      <c r="P20" s="489">
        <f>SUM(P12:P19)</f>
        <v>113.05</v>
      </c>
      <c r="Q20" s="672">
        <f>SUM(Q12:Q19)</f>
        <v>197392.79</v>
      </c>
      <c r="R20" s="487"/>
      <c r="S20" s="489">
        <f>SUM(S12:S19)</f>
        <v>119.51</v>
      </c>
      <c r="T20" s="672">
        <f>SUM(T12:T19)</f>
        <v>204402.73600000003</v>
      </c>
      <c r="U20" s="487"/>
      <c r="V20" s="489">
        <f>SUM(V12:V19)</f>
        <v>69.873999999999995</v>
      </c>
      <c r="W20" s="672">
        <f>SUM(W12:W19)</f>
        <v>156639.196</v>
      </c>
      <c r="X20" s="673"/>
      <c r="Y20" s="489">
        <f>SUM(Y12:Y19)</f>
        <v>181.27200000000002</v>
      </c>
      <c r="Z20" s="672">
        <f>SUM(Z12:Z19)</f>
        <v>266769.42000000004</v>
      </c>
      <c r="AA20" s="487"/>
      <c r="AB20" s="489">
        <f>SUM(AB12:AB19)</f>
        <v>256582.49399999995</v>
      </c>
      <c r="AC20" s="672">
        <f>SUM(AC12:AC19)</f>
        <v>5080987.0157340001</v>
      </c>
      <c r="AD20" s="673"/>
      <c r="AE20" s="489">
        <f>SUM(AE12:AE19)</f>
        <v>181.27200000000002</v>
      </c>
      <c r="AF20" s="674">
        <f>SUM(AF12:AF19)</f>
        <v>266769.42000000004</v>
      </c>
      <c r="AG20" s="491"/>
      <c r="AH20" s="491"/>
      <c r="AI20" s="491"/>
      <c r="AJ20" s="491"/>
      <c r="AK20" s="491"/>
      <c r="AL20" s="491"/>
      <c r="AM20" s="491"/>
      <c r="AN20" s="491"/>
      <c r="AO20" s="491"/>
      <c r="AP20" s="491"/>
      <c r="AQ20" s="491"/>
      <c r="AR20" s="491"/>
      <c r="AS20" s="491"/>
      <c r="AT20" s="491"/>
      <c r="AU20" s="491"/>
    </row>
    <row r="21" spans="1:47" ht="35.450000000000003" customHeight="1" x14ac:dyDescent="0.25">
      <c r="A21" s="492" t="s">
        <v>589</v>
      </c>
      <c r="B21" s="493"/>
      <c r="C21" s="493" t="s">
        <v>565</v>
      </c>
      <c r="D21" s="494" t="s">
        <v>590</v>
      </c>
      <c r="E21" s="495" t="s">
        <v>591</v>
      </c>
      <c r="F21" s="496" t="s">
        <v>592</v>
      </c>
      <c r="G21" s="497"/>
      <c r="H21" s="498" t="s">
        <v>593</v>
      </c>
      <c r="I21" s="498" t="s">
        <v>594</v>
      </c>
      <c r="J21" s="675">
        <f>+J10-J20</f>
        <v>719.88</v>
      </c>
      <c r="K21" s="676">
        <f>+K11-K20</f>
        <v>595337.06400000001</v>
      </c>
      <c r="L21" s="677" t="s">
        <v>595</v>
      </c>
      <c r="M21" s="678">
        <f>+M10-M20</f>
        <v>577.20000000000005</v>
      </c>
      <c r="N21" s="676">
        <f>+N11-N20</f>
        <v>452924.16000000003</v>
      </c>
      <c r="O21" s="677" t="s">
        <v>595</v>
      </c>
      <c r="P21" s="679">
        <f>+P10-P20</f>
        <v>691.95</v>
      </c>
      <c r="Q21" s="676">
        <f>+Q11-Q20</f>
        <v>567598.71</v>
      </c>
      <c r="R21" s="677" t="s">
        <v>595</v>
      </c>
      <c r="S21" s="679">
        <f>+S10-S20</f>
        <v>731.49</v>
      </c>
      <c r="T21" s="676">
        <f>+T11-T20</f>
        <v>604302.5639999999</v>
      </c>
      <c r="U21" s="677" t="s">
        <v>595</v>
      </c>
      <c r="V21" s="679">
        <f>+V10-V20</f>
        <v>407.52599999999995</v>
      </c>
      <c r="W21" s="676">
        <f>+W11-W20</f>
        <v>297034.02399999998</v>
      </c>
      <c r="X21" s="677" t="s">
        <v>595</v>
      </c>
      <c r="Y21" s="678">
        <f>+Y10-Y20</f>
        <v>515.928</v>
      </c>
      <c r="Z21" s="676">
        <f>+Z11-Z20</f>
        <v>395779.74</v>
      </c>
      <c r="AA21" s="677" t="s">
        <v>595</v>
      </c>
      <c r="AB21" s="679">
        <f>+AB10-AB20</f>
        <v>-255731.49399999995</v>
      </c>
      <c r="AC21" s="676">
        <f>+AC11-AC20</f>
        <v>-5080328.7672340004</v>
      </c>
      <c r="AD21" s="677" t="s">
        <v>595</v>
      </c>
      <c r="AE21" s="678">
        <f>+AE10-AE20</f>
        <v>515.928</v>
      </c>
      <c r="AF21" s="680">
        <f>+AF11-AF20</f>
        <v>395779.74</v>
      </c>
      <c r="AG21" s="491"/>
      <c r="AH21" s="491"/>
      <c r="AI21" s="491"/>
      <c r="AJ21" s="491"/>
      <c r="AK21" s="491"/>
      <c r="AL21" s="491"/>
      <c r="AM21" s="491"/>
      <c r="AN21" s="491"/>
      <c r="AO21" s="491"/>
      <c r="AP21" s="491"/>
      <c r="AQ21" s="491"/>
      <c r="AR21" s="491"/>
      <c r="AS21" s="491"/>
      <c r="AT21" s="491"/>
      <c r="AU21" s="491"/>
    </row>
    <row r="22" spans="1:47" ht="15" customHeight="1" x14ac:dyDescent="0.25">
      <c r="A22" s="681" t="s">
        <v>596</v>
      </c>
      <c r="B22" s="682" t="s">
        <v>597</v>
      </c>
      <c r="C22" s="682" t="s">
        <v>565</v>
      </c>
      <c r="D22" s="683">
        <v>20</v>
      </c>
      <c r="E22" s="682">
        <f t="shared" ref="E22:E36" si="8">+D22*$B$6</f>
        <v>17200</v>
      </c>
      <c r="F22" s="684">
        <f>+D22*$B$6*1.105</f>
        <v>19006</v>
      </c>
      <c r="G22" s="685">
        <v>0</v>
      </c>
      <c r="H22" s="685">
        <v>1</v>
      </c>
      <c r="I22" s="686">
        <v>1</v>
      </c>
      <c r="J22" s="764">
        <f t="shared" ref="J22:J29" si="9">I22*D22</f>
        <v>20</v>
      </c>
      <c r="K22" s="687">
        <f>+J22*(1+G22)*$B$6</f>
        <v>17200</v>
      </c>
      <c r="L22" s="688">
        <v>1</v>
      </c>
      <c r="M22" s="689">
        <f>L22*D22</f>
        <v>20</v>
      </c>
      <c r="N22" s="690">
        <f>+M22*(1+G22)*$B$6</f>
        <v>17200</v>
      </c>
      <c r="O22" s="688"/>
      <c r="P22" s="689">
        <f>O22*D22</f>
        <v>0</v>
      </c>
      <c r="Q22" s="690">
        <f>+P22*(1+G22)*$B$6</f>
        <v>0</v>
      </c>
      <c r="R22" s="691"/>
      <c r="S22" s="689">
        <f>R22*D22</f>
        <v>0</v>
      </c>
      <c r="T22" s="690">
        <f>+S22*(1+G22)*$B$6</f>
        <v>0</v>
      </c>
      <c r="U22" s="691">
        <v>1</v>
      </c>
      <c r="V22" s="689">
        <f>U22*D22</f>
        <v>20</v>
      </c>
      <c r="W22" s="690">
        <f>+V22*(1+G22)*$B$6</f>
        <v>17200</v>
      </c>
      <c r="X22" s="688">
        <v>1</v>
      </c>
      <c r="Y22" s="689">
        <f>X22*D22</f>
        <v>20</v>
      </c>
      <c r="Z22" s="690">
        <f>+Y22*(1+G22)*$B$6</f>
        <v>17200</v>
      </c>
      <c r="AA22" s="691">
        <v>1</v>
      </c>
      <c r="AB22" s="689">
        <f>AA22*W22</f>
        <v>17200</v>
      </c>
      <c r="AC22" s="690">
        <f>+AB22*(1+Z22)*$B$6</f>
        <v>254437192000</v>
      </c>
      <c r="AD22" s="688">
        <v>1</v>
      </c>
      <c r="AE22" s="689">
        <f>AD22*D22</f>
        <v>20</v>
      </c>
      <c r="AF22" s="692">
        <f>+AE22*(1+G22)*$B$6</f>
        <v>17200</v>
      </c>
      <c r="AI22" s="491"/>
      <c r="AJ22" s="491"/>
      <c r="AK22" s="491"/>
      <c r="AL22" s="491"/>
      <c r="AM22" s="491"/>
      <c r="AN22" s="491"/>
      <c r="AO22" s="491"/>
      <c r="AP22" s="491"/>
      <c r="AQ22" s="491"/>
      <c r="AR22" s="491"/>
      <c r="AS22" s="491"/>
      <c r="AT22" s="491"/>
      <c r="AU22" s="491"/>
    </row>
    <row r="23" spans="1:47" ht="15" customHeight="1" x14ac:dyDescent="0.25">
      <c r="A23" s="681" t="s">
        <v>596</v>
      </c>
      <c r="B23" s="682" t="s">
        <v>598</v>
      </c>
      <c r="C23" s="682" t="s">
        <v>565</v>
      </c>
      <c r="D23" s="683">
        <v>6.5</v>
      </c>
      <c r="E23" s="682">
        <f t="shared" si="8"/>
        <v>5590</v>
      </c>
      <c r="F23" s="684">
        <f>+D23*$B$6*1.105</f>
        <v>6176.95</v>
      </c>
      <c r="G23" s="685">
        <v>0.105</v>
      </c>
      <c r="H23" s="685">
        <v>6</v>
      </c>
      <c r="I23" s="686">
        <v>6</v>
      </c>
      <c r="J23" s="701">
        <f t="shared" si="9"/>
        <v>39</v>
      </c>
      <c r="K23" s="687">
        <f>+J23*(1+G23)*$B$6</f>
        <v>37061.699999999997</v>
      </c>
      <c r="L23" s="688">
        <v>3</v>
      </c>
      <c r="M23" s="689">
        <f>L23*D23</f>
        <v>19.5</v>
      </c>
      <c r="N23" s="690">
        <f>+M23*(1+G23)*$B$6</f>
        <v>18530.849999999999</v>
      </c>
      <c r="O23" s="688"/>
      <c r="P23" s="689">
        <f>O23*D23</f>
        <v>0</v>
      </c>
      <c r="Q23" s="690">
        <f>+P23*(1+G23)*$B$6</f>
        <v>0</v>
      </c>
      <c r="R23" s="691"/>
      <c r="S23" s="689">
        <f>R23*D23</f>
        <v>0</v>
      </c>
      <c r="T23" s="690">
        <f>+S23*(1+G23)*$B$6</f>
        <v>0</v>
      </c>
      <c r="U23" s="691">
        <v>5.5</v>
      </c>
      <c r="V23" s="689">
        <f>U23*D23</f>
        <v>35.75</v>
      </c>
      <c r="W23" s="690">
        <f>+V23*(1+G23)*$B$6</f>
        <v>33973.224999999999</v>
      </c>
      <c r="X23" s="688">
        <v>4</v>
      </c>
      <c r="Y23" s="689">
        <f>X23*D23</f>
        <v>26</v>
      </c>
      <c r="Z23" s="690">
        <f>+Y23*(1+G23)*$B$6</f>
        <v>24707.8</v>
      </c>
      <c r="AA23" s="691">
        <v>6</v>
      </c>
      <c r="AB23" s="689">
        <f>AA23*W23</f>
        <v>203839.34999999998</v>
      </c>
      <c r="AC23" s="690">
        <f>+AB23*(1+Z23)*$B$6</f>
        <v>4331498128900.7998</v>
      </c>
      <c r="AD23" s="688">
        <v>4</v>
      </c>
      <c r="AE23" s="689">
        <f>AD23*D23</f>
        <v>26</v>
      </c>
      <c r="AF23" s="692">
        <f>+AE23*(1+G23)*$B$6</f>
        <v>24707.8</v>
      </c>
      <c r="AG23" s="693"/>
      <c r="AH23" s="694"/>
      <c r="AI23" s="501"/>
      <c r="AJ23" s="501"/>
      <c r="AK23" s="501"/>
      <c r="AL23" s="501"/>
      <c r="AM23" s="501"/>
      <c r="AN23" s="501"/>
      <c r="AO23" s="501"/>
      <c r="AP23" s="501"/>
      <c r="AQ23" s="501"/>
      <c r="AR23" s="501"/>
      <c r="AS23" s="501"/>
      <c r="AT23" s="501"/>
      <c r="AU23" s="501"/>
    </row>
    <row r="24" spans="1:47" ht="15" customHeight="1" x14ac:dyDescent="0.25">
      <c r="A24" s="681" t="s">
        <v>596</v>
      </c>
      <c r="B24" s="682" t="s">
        <v>599</v>
      </c>
      <c r="C24" s="682" t="s">
        <v>565</v>
      </c>
      <c r="D24" s="683">
        <v>11</v>
      </c>
      <c r="E24" s="682">
        <f t="shared" si="8"/>
        <v>9460</v>
      </c>
      <c r="F24" s="684">
        <f t="shared" ref="F24:F36" si="10">+D24*$B$6*1.21</f>
        <v>11446.6</v>
      </c>
      <c r="G24" s="685"/>
      <c r="H24" s="685">
        <v>1</v>
      </c>
      <c r="I24" s="686">
        <v>1</v>
      </c>
      <c r="J24" s="701">
        <f t="shared" si="9"/>
        <v>11</v>
      </c>
      <c r="K24" s="687"/>
      <c r="L24" s="688"/>
      <c r="M24" s="689"/>
      <c r="N24" s="690"/>
      <c r="O24" s="688"/>
      <c r="P24" s="689"/>
      <c r="Q24" s="690"/>
      <c r="R24" s="691"/>
      <c r="S24" s="689"/>
      <c r="T24" s="690"/>
      <c r="U24" s="691"/>
      <c r="V24" s="689"/>
      <c r="W24" s="690"/>
      <c r="X24" s="688"/>
      <c r="Y24" s="689"/>
      <c r="Z24" s="690"/>
      <c r="AA24" s="691"/>
      <c r="AB24" s="689"/>
      <c r="AC24" s="690"/>
      <c r="AD24" s="688"/>
      <c r="AE24" s="689"/>
      <c r="AF24" s="692"/>
      <c r="AI24" s="491"/>
      <c r="AJ24" s="491"/>
      <c r="AK24" s="491"/>
      <c r="AL24" s="491"/>
      <c r="AM24" s="491"/>
      <c r="AN24" s="491"/>
      <c r="AO24" s="491"/>
      <c r="AP24" s="491"/>
      <c r="AQ24" s="491"/>
      <c r="AR24" s="491"/>
      <c r="AS24" s="491"/>
      <c r="AT24" s="491"/>
      <c r="AU24" s="491"/>
    </row>
    <row r="25" spans="1:47" ht="15" customHeight="1" x14ac:dyDescent="0.25">
      <c r="A25" s="695" t="s">
        <v>600</v>
      </c>
      <c r="B25" s="696" t="s">
        <v>601</v>
      </c>
      <c r="C25" s="696" t="s">
        <v>602</v>
      </c>
      <c r="D25" s="697">
        <v>1.44</v>
      </c>
      <c r="E25" s="696">
        <f>+D25*$B$6</f>
        <v>1238.3999999999999</v>
      </c>
      <c r="F25" s="698">
        <f>+D25*$B$6*1.21</f>
        <v>1498.4639999999997</v>
      </c>
      <c r="G25" s="699">
        <v>0.21</v>
      </c>
      <c r="H25" s="699">
        <v>62</v>
      </c>
      <c r="I25" s="700">
        <v>62</v>
      </c>
      <c r="J25" s="701">
        <f t="shared" si="9"/>
        <v>89.28</v>
      </c>
      <c r="K25" s="687">
        <f>+J25*(1+G25)*$B$6</f>
        <v>92904.767999999996</v>
      </c>
      <c r="L25" s="688"/>
      <c r="M25" s="689"/>
      <c r="N25" s="690"/>
      <c r="O25" s="688"/>
      <c r="P25" s="689">
        <f>O25*D25</f>
        <v>0</v>
      </c>
      <c r="Q25" s="690">
        <f>+P25*(1+G25)*$B$6</f>
        <v>0</v>
      </c>
      <c r="R25" s="691"/>
      <c r="S25" s="689">
        <f>R25*D25</f>
        <v>0</v>
      </c>
      <c r="T25" s="690">
        <f>+S25*(1+G25)*$B$6</f>
        <v>0</v>
      </c>
      <c r="U25" s="691">
        <v>65</v>
      </c>
      <c r="V25" s="689">
        <f>U25*D25</f>
        <v>93.6</v>
      </c>
      <c r="W25" s="690">
        <f>+V25*(1+G25)*$B$6</f>
        <v>97400.159999999989</v>
      </c>
      <c r="X25" s="688"/>
      <c r="Y25" s="689"/>
      <c r="Z25" s="690"/>
      <c r="AA25" s="691">
        <v>65</v>
      </c>
      <c r="AB25" s="689">
        <f>AA25*W25</f>
        <v>6331010.3999999994</v>
      </c>
      <c r="AC25" s="690">
        <f>+AB25*(1+Z25)*$B$6</f>
        <v>5444668943.999999</v>
      </c>
      <c r="AD25" s="688"/>
      <c r="AE25" s="689"/>
      <c r="AF25" s="692"/>
      <c r="AG25" s="702"/>
      <c r="AH25" s="703"/>
      <c r="AI25" s="509"/>
      <c r="AJ25" s="509"/>
      <c r="AK25" s="509"/>
      <c r="AL25" s="509"/>
      <c r="AM25" s="509"/>
      <c r="AN25" s="509"/>
      <c r="AO25" s="509"/>
      <c r="AP25" s="509"/>
      <c r="AQ25" s="509"/>
      <c r="AR25" s="509"/>
      <c r="AS25" s="509"/>
      <c r="AT25" s="509"/>
      <c r="AU25" s="509"/>
    </row>
    <row r="26" spans="1:47" ht="15" customHeight="1" x14ac:dyDescent="0.25">
      <c r="A26" s="704" t="s">
        <v>389</v>
      </c>
      <c r="B26" s="705" t="s">
        <v>390</v>
      </c>
      <c r="C26" s="706" t="s">
        <v>603</v>
      </c>
      <c r="D26" s="707">
        <v>1.3</v>
      </c>
      <c r="E26" s="708">
        <f>+D26*$B$6</f>
        <v>1118</v>
      </c>
      <c r="F26" s="709">
        <f>+D26*$B$6*1.21</f>
        <v>1352.78</v>
      </c>
      <c r="G26" s="710">
        <v>0.21</v>
      </c>
      <c r="H26" s="710">
        <v>1.5</v>
      </c>
      <c r="I26" s="711">
        <v>3.5</v>
      </c>
      <c r="J26" s="712">
        <f>I26*D26</f>
        <v>4.55</v>
      </c>
      <c r="K26" s="713">
        <f>+J26*(1+G26)*$B$6</f>
        <v>4734.7299999999996</v>
      </c>
      <c r="L26" s="714"/>
      <c r="M26" s="508"/>
      <c r="N26" s="715"/>
      <c r="O26" s="714"/>
      <c r="P26" s="508"/>
      <c r="Q26" s="715"/>
      <c r="R26" s="716"/>
      <c r="S26" s="508">
        <f>R26*D26</f>
        <v>0</v>
      </c>
      <c r="T26" s="715">
        <f>+S26*(1+G26)*$B$6</f>
        <v>0</v>
      </c>
      <c r="U26" s="716">
        <v>1</v>
      </c>
      <c r="V26" s="508">
        <f>U26*D26</f>
        <v>1.3</v>
      </c>
      <c r="W26" s="715">
        <f>+V26*(1+G26)*$B$6</f>
        <v>1352.78</v>
      </c>
      <c r="X26" s="714"/>
      <c r="Y26" s="508"/>
      <c r="Z26" s="715"/>
      <c r="AA26" s="716">
        <v>1</v>
      </c>
      <c r="AB26" s="508">
        <f>AA26*W26</f>
        <v>1352.78</v>
      </c>
      <c r="AC26" s="715">
        <f>+AB26*(1+Z26)*$B$6</f>
        <v>1163390.8</v>
      </c>
      <c r="AD26" s="714"/>
      <c r="AE26" s="508"/>
      <c r="AF26" s="717"/>
      <c r="AG26" s="491"/>
      <c r="AH26" s="491"/>
      <c r="AI26" s="491"/>
      <c r="AJ26" s="491"/>
      <c r="AK26" s="491"/>
      <c r="AL26" s="491"/>
      <c r="AM26" s="491"/>
      <c r="AN26" s="491"/>
      <c r="AO26" s="491"/>
      <c r="AP26" s="491"/>
      <c r="AQ26" s="491"/>
      <c r="AR26" s="491"/>
      <c r="AS26" s="491"/>
      <c r="AT26" s="491"/>
      <c r="AU26" s="491"/>
    </row>
    <row r="27" spans="1:47" ht="15" customHeight="1" x14ac:dyDescent="0.25">
      <c r="A27" s="718" t="s">
        <v>604</v>
      </c>
      <c r="B27" s="719" t="s">
        <v>393</v>
      </c>
      <c r="C27" s="720" t="s">
        <v>602</v>
      </c>
      <c r="D27" s="721">
        <v>11.4</v>
      </c>
      <c r="E27" s="722">
        <f t="shared" si="8"/>
        <v>9804</v>
      </c>
      <c r="F27" s="722">
        <f t="shared" si="10"/>
        <v>11862.84</v>
      </c>
      <c r="G27" s="723">
        <v>0.21</v>
      </c>
      <c r="H27" s="724">
        <v>1.5</v>
      </c>
      <c r="I27" s="725">
        <v>5.6</v>
      </c>
      <c r="J27" s="726">
        <f t="shared" si="9"/>
        <v>63.839999999999996</v>
      </c>
      <c r="K27" s="713">
        <f>+J27*(1+G27)*$B$6</f>
        <v>66431.903999999995</v>
      </c>
      <c r="L27" s="714"/>
      <c r="M27" s="508"/>
      <c r="N27" s="715"/>
      <c r="O27" s="714"/>
      <c r="P27" s="508">
        <f>O27*D27</f>
        <v>0</v>
      </c>
      <c r="Q27" s="715">
        <f>+P27*(1+G27)*$B$6</f>
        <v>0</v>
      </c>
      <c r="R27" s="716"/>
      <c r="S27" s="508">
        <f>R27*D27</f>
        <v>0</v>
      </c>
      <c r="T27" s="715">
        <f>+S27*(1+G27)*$B$6</f>
        <v>0</v>
      </c>
      <c r="U27" s="523">
        <v>0.75</v>
      </c>
      <c r="V27" s="508">
        <f>U27*D27</f>
        <v>8.5500000000000007</v>
      </c>
      <c r="W27" s="715">
        <f>+V27*(1+G27)*$B$6</f>
        <v>8897.130000000001</v>
      </c>
      <c r="X27" s="714"/>
      <c r="Y27" s="508"/>
      <c r="Z27" s="715"/>
      <c r="AA27" s="716">
        <v>1</v>
      </c>
      <c r="AB27" s="508">
        <f>AA27*W27</f>
        <v>8897.130000000001</v>
      </c>
      <c r="AC27" s="715">
        <f>+AB27*(1+Z27)*$B$6</f>
        <v>7651531.8000000007</v>
      </c>
      <c r="AD27" s="714"/>
      <c r="AE27" s="508"/>
      <c r="AF27" s="715"/>
    </row>
    <row r="28" spans="1:47" ht="15" customHeight="1" x14ac:dyDescent="0.25">
      <c r="A28" s="718" t="s">
        <v>604</v>
      </c>
      <c r="B28" s="727" t="s">
        <v>605</v>
      </c>
      <c r="C28" s="720" t="s">
        <v>606</v>
      </c>
      <c r="D28" s="721">
        <v>9.6999999999999993</v>
      </c>
      <c r="E28" s="722">
        <f t="shared" si="8"/>
        <v>8342</v>
      </c>
      <c r="F28" s="722">
        <f t="shared" si="10"/>
        <v>10093.82</v>
      </c>
      <c r="G28" s="723"/>
      <c r="H28" s="724">
        <v>1</v>
      </c>
      <c r="I28" s="725">
        <v>2.4</v>
      </c>
      <c r="J28" s="726">
        <f t="shared" si="9"/>
        <v>23.279999999999998</v>
      </c>
      <c r="K28" s="713"/>
      <c r="L28" s="714"/>
      <c r="M28" s="508"/>
      <c r="N28" s="715"/>
      <c r="O28" s="714"/>
      <c r="P28" s="508"/>
      <c r="Q28" s="715"/>
      <c r="R28" s="716"/>
      <c r="S28" s="508">
        <f>R28*D28</f>
        <v>0</v>
      </c>
      <c r="T28" s="715"/>
      <c r="U28" s="523"/>
      <c r="V28" s="508"/>
      <c r="W28" s="715"/>
      <c r="X28" s="714"/>
      <c r="Y28" s="508"/>
      <c r="Z28" s="715"/>
      <c r="AA28" s="716"/>
      <c r="AB28" s="508"/>
      <c r="AC28" s="715"/>
      <c r="AD28" s="714"/>
      <c r="AE28" s="508"/>
      <c r="AF28" s="715"/>
    </row>
    <row r="29" spans="1:47" ht="15" customHeight="1" x14ac:dyDescent="0.25">
      <c r="A29" s="728" t="s">
        <v>604</v>
      </c>
      <c r="B29" s="729" t="s">
        <v>395</v>
      </c>
      <c r="C29" s="730" t="s">
        <v>602</v>
      </c>
      <c r="D29" s="731">
        <v>13.7</v>
      </c>
      <c r="E29" s="732">
        <f t="shared" si="8"/>
        <v>11782</v>
      </c>
      <c r="F29" s="732">
        <f t="shared" si="10"/>
        <v>14256.22</v>
      </c>
      <c r="G29" s="733">
        <v>0.21</v>
      </c>
      <c r="H29" s="734">
        <v>0.8</v>
      </c>
      <c r="I29" s="735">
        <v>1.8</v>
      </c>
      <c r="J29" s="736">
        <f t="shared" si="9"/>
        <v>24.66</v>
      </c>
      <c r="K29" s="713">
        <f>+J29*(1+G29)*$B$6</f>
        <v>25661.196</v>
      </c>
      <c r="L29" s="714"/>
      <c r="M29" s="508"/>
      <c r="N29" s="715"/>
      <c r="O29" s="714"/>
      <c r="P29" s="508"/>
      <c r="Q29" s="715"/>
      <c r="R29" s="716"/>
      <c r="S29" s="508">
        <f>R29*D29</f>
        <v>0</v>
      </c>
      <c r="T29" s="715"/>
      <c r="U29" s="523"/>
      <c r="V29" s="508"/>
      <c r="W29" s="715"/>
      <c r="X29" s="714"/>
      <c r="Y29" s="508"/>
      <c r="Z29" s="715"/>
      <c r="AA29" s="716"/>
      <c r="AB29" s="508"/>
      <c r="AC29" s="715"/>
      <c r="AD29" s="714"/>
      <c r="AE29" s="508"/>
      <c r="AF29" s="715"/>
    </row>
    <row r="30" spans="1:47" ht="15" customHeight="1" x14ac:dyDescent="0.25">
      <c r="A30" s="718" t="s">
        <v>389</v>
      </c>
      <c r="B30" s="719" t="s">
        <v>396</v>
      </c>
      <c r="C30" s="737" t="s">
        <v>606</v>
      </c>
      <c r="D30" s="738">
        <v>18</v>
      </c>
      <c r="E30" s="722">
        <f t="shared" si="8"/>
        <v>15480</v>
      </c>
      <c r="F30" s="739">
        <f t="shared" si="10"/>
        <v>18730.8</v>
      </c>
      <c r="G30" s="740"/>
      <c r="H30" s="740">
        <v>0.1</v>
      </c>
      <c r="I30" s="741">
        <v>0.5</v>
      </c>
      <c r="J30" s="742">
        <f>+I30*D30</f>
        <v>9</v>
      </c>
      <c r="K30" s="713"/>
      <c r="L30" s="714"/>
      <c r="M30" s="508"/>
      <c r="N30" s="715"/>
      <c r="O30" s="714"/>
      <c r="P30" s="508"/>
      <c r="Q30" s="715"/>
      <c r="R30" s="716"/>
      <c r="S30" s="508"/>
      <c r="T30" s="715"/>
      <c r="U30" s="523"/>
      <c r="V30" s="508"/>
      <c r="W30" s="715"/>
      <c r="X30" s="714"/>
      <c r="Y30" s="508"/>
      <c r="Z30" s="715"/>
      <c r="AA30" s="716"/>
      <c r="AB30" s="508"/>
      <c r="AC30" s="715"/>
      <c r="AD30" s="714"/>
      <c r="AE30" s="508"/>
      <c r="AF30" s="715"/>
    </row>
    <row r="31" spans="1:47" ht="15" customHeight="1" x14ac:dyDescent="0.25">
      <c r="A31" s="728" t="s">
        <v>604</v>
      </c>
      <c r="B31" s="729" t="s">
        <v>397</v>
      </c>
      <c r="C31" s="743" t="s">
        <v>607</v>
      </c>
      <c r="D31" s="744">
        <v>269</v>
      </c>
      <c r="E31" s="732">
        <f t="shared" si="8"/>
        <v>231340</v>
      </c>
      <c r="F31" s="745">
        <f t="shared" si="10"/>
        <v>279921.39999999997</v>
      </c>
      <c r="G31" s="746">
        <v>0.21</v>
      </c>
      <c r="H31" s="746">
        <v>0.03</v>
      </c>
      <c r="I31" s="747">
        <v>0.03</v>
      </c>
      <c r="J31" s="742">
        <f>+I31*D31</f>
        <v>8.07</v>
      </c>
      <c r="K31" s="713">
        <f t="shared" ref="K31:K36" si="11">+J31*(1+G31)*$B$6</f>
        <v>8397.6419999999998</v>
      </c>
      <c r="L31" s="714"/>
      <c r="M31" s="508"/>
      <c r="N31" s="715"/>
      <c r="O31" s="714"/>
      <c r="P31" s="508"/>
      <c r="Q31" s="715"/>
      <c r="R31" s="716"/>
      <c r="S31" s="508"/>
      <c r="T31" s="715"/>
      <c r="U31" s="523"/>
      <c r="V31" s="508"/>
      <c r="W31" s="715"/>
      <c r="X31" s="714"/>
      <c r="Y31" s="508"/>
      <c r="Z31" s="715"/>
      <c r="AA31" s="716"/>
      <c r="AB31" s="508"/>
      <c r="AC31" s="715"/>
      <c r="AD31" s="714"/>
      <c r="AE31" s="508"/>
      <c r="AF31" s="715"/>
    </row>
    <row r="32" spans="1:47" ht="17.25" customHeight="1" x14ac:dyDescent="0.25">
      <c r="A32" s="704" t="s">
        <v>604</v>
      </c>
      <c r="B32" s="705" t="s">
        <v>398</v>
      </c>
      <c r="C32" s="706" t="s">
        <v>608</v>
      </c>
      <c r="D32" s="707">
        <v>8.6</v>
      </c>
      <c r="E32" s="708">
        <f t="shared" si="8"/>
        <v>7396</v>
      </c>
      <c r="F32" s="709">
        <f t="shared" si="10"/>
        <v>8949.16</v>
      </c>
      <c r="G32" s="710">
        <v>0.21</v>
      </c>
      <c r="H32" s="710">
        <v>0.15</v>
      </c>
      <c r="I32" s="748">
        <v>1.5</v>
      </c>
      <c r="J32" s="742">
        <f>+I32*D32</f>
        <v>12.899999999999999</v>
      </c>
      <c r="K32" s="713">
        <f t="shared" si="11"/>
        <v>13423.739999999998</v>
      </c>
      <c r="L32" s="714"/>
      <c r="M32" s="508"/>
      <c r="N32" s="715"/>
      <c r="O32" s="714"/>
      <c r="P32" s="508"/>
      <c r="Q32" s="715"/>
      <c r="R32" s="716"/>
      <c r="S32" s="508"/>
      <c r="T32" s="715"/>
      <c r="U32" s="523"/>
      <c r="V32" s="508"/>
      <c r="W32" s="715"/>
      <c r="X32" s="714"/>
      <c r="Y32" s="508"/>
      <c r="Z32" s="715"/>
      <c r="AA32" s="716"/>
      <c r="AB32" s="508"/>
      <c r="AC32" s="715"/>
      <c r="AD32" s="714"/>
      <c r="AE32" s="508"/>
      <c r="AF32" s="715"/>
    </row>
    <row r="33" spans="1:33" ht="15" customHeight="1" x14ac:dyDescent="0.25">
      <c r="A33" s="718" t="s">
        <v>604</v>
      </c>
      <c r="B33" s="749" t="s">
        <v>399</v>
      </c>
      <c r="C33" s="737" t="s">
        <v>606</v>
      </c>
      <c r="D33" s="738">
        <v>29.6</v>
      </c>
      <c r="E33" s="722">
        <f t="shared" si="8"/>
        <v>25456</v>
      </c>
      <c r="F33" s="739">
        <f t="shared" si="10"/>
        <v>30801.759999999998</v>
      </c>
      <c r="G33" s="740">
        <v>0.21</v>
      </c>
      <c r="H33" s="740">
        <v>0.28000000000000003</v>
      </c>
      <c r="I33" s="750">
        <v>0.28000000000000003</v>
      </c>
      <c r="J33" s="742">
        <f t="shared" ref="J33:J38" si="12">I33*D33</f>
        <v>8.288000000000002</v>
      </c>
      <c r="K33" s="713">
        <f t="shared" si="11"/>
        <v>8624.4928000000018</v>
      </c>
      <c r="L33" s="714"/>
      <c r="M33" s="508"/>
      <c r="N33" s="715"/>
      <c r="O33" s="714"/>
      <c r="P33" s="508"/>
      <c r="Q33" s="715"/>
      <c r="R33" s="716"/>
      <c r="S33" s="508"/>
      <c r="T33" s="715"/>
      <c r="U33" s="523"/>
      <c r="V33" s="508"/>
      <c r="W33" s="715"/>
      <c r="X33" s="714"/>
      <c r="Y33" s="508"/>
      <c r="Z33" s="715"/>
      <c r="AA33" s="716"/>
      <c r="AB33" s="508"/>
      <c r="AC33" s="715"/>
      <c r="AD33" s="714"/>
      <c r="AE33" s="508"/>
      <c r="AF33" s="715"/>
    </row>
    <row r="34" spans="1:33" ht="15" customHeight="1" x14ac:dyDescent="0.25">
      <c r="A34" s="718" t="s">
        <v>604</v>
      </c>
      <c r="B34" s="719" t="s">
        <v>400</v>
      </c>
      <c r="C34" s="737" t="s">
        <v>608</v>
      </c>
      <c r="D34" s="738">
        <v>5.2</v>
      </c>
      <c r="E34" s="722">
        <f t="shared" si="8"/>
        <v>4472</v>
      </c>
      <c r="F34" s="739">
        <f t="shared" si="10"/>
        <v>5411.12</v>
      </c>
      <c r="G34" s="740">
        <v>0.21</v>
      </c>
      <c r="H34" s="740">
        <v>1</v>
      </c>
      <c r="I34" s="750">
        <v>4</v>
      </c>
      <c r="J34" s="742">
        <f t="shared" si="12"/>
        <v>20.8</v>
      </c>
      <c r="K34" s="713">
        <f t="shared" si="11"/>
        <v>21644.48</v>
      </c>
      <c r="L34" s="714"/>
      <c r="M34" s="508"/>
      <c r="N34" s="715"/>
      <c r="O34" s="714"/>
      <c r="P34" s="508"/>
      <c r="Q34" s="715"/>
      <c r="R34" s="716"/>
      <c r="S34" s="508">
        <f>R34*D34</f>
        <v>0</v>
      </c>
      <c r="T34" s="715">
        <f>+S34*(1+G34)*$B$6</f>
        <v>0</v>
      </c>
      <c r="U34" s="523"/>
      <c r="V34" s="508"/>
      <c r="W34" s="715"/>
      <c r="X34" s="714"/>
      <c r="Y34" s="508"/>
      <c r="Z34" s="715"/>
      <c r="AA34" s="716"/>
      <c r="AB34" s="508"/>
      <c r="AC34" s="715"/>
      <c r="AD34" s="714"/>
      <c r="AE34" s="508"/>
      <c r="AF34" s="715"/>
    </row>
    <row r="35" spans="1:33" ht="15" customHeight="1" x14ac:dyDescent="0.25">
      <c r="A35" s="718" t="s">
        <v>604</v>
      </c>
      <c r="B35" s="719" t="s">
        <v>401</v>
      </c>
      <c r="C35" s="737" t="s">
        <v>606</v>
      </c>
      <c r="D35" s="738">
        <v>7.3</v>
      </c>
      <c r="E35" s="722">
        <f t="shared" si="8"/>
        <v>6278</v>
      </c>
      <c r="F35" s="739">
        <f t="shared" si="10"/>
        <v>7596.38</v>
      </c>
      <c r="G35" s="740">
        <v>0.21</v>
      </c>
      <c r="H35" s="740">
        <v>1.5</v>
      </c>
      <c r="I35" s="750">
        <v>1.5</v>
      </c>
      <c r="J35" s="742">
        <f t="shared" si="12"/>
        <v>10.95</v>
      </c>
      <c r="K35" s="713">
        <f t="shared" si="11"/>
        <v>11394.57</v>
      </c>
      <c r="L35" s="714"/>
      <c r="M35" s="508"/>
      <c r="N35" s="715"/>
      <c r="O35" s="714"/>
      <c r="P35" s="508">
        <f>O35*D35</f>
        <v>0</v>
      </c>
      <c r="Q35" s="715">
        <f>+P35*(1+G35)*$B$6</f>
        <v>0</v>
      </c>
      <c r="R35" s="716"/>
      <c r="S35" s="508">
        <f>R35*D35</f>
        <v>0</v>
      </c>
      <c r="T35" s="715">
        <f>+S35*(1+G35)*$B$6</f>
        <v>0</v>
      </c>
      <c r="U35" s="523">
        <v>0.35</v>
      </c>
      <c r="V35" s="508">
        <f>U35*D35</f>
        <v>2.5549999999999997</v>
      </c>
      <c r="W35" s="715">
        <f>+V35*(1+G35)*$B$6</f>
        <v>2658.7329999999993</v>
      </c>
      <c r="X35" s="714"/>
      <c r="Y35" s="508"/>
      <c r="Z35" s="715"/>
      <c r="AA35" s="523">
        <v>0.35</v>
      </c>
      <c r="AB35" s="508">
        <f>AA35*W35</f>
        <v>930.55654999999967</v>
      </c>
      <c r="AC35" s="715">
        <f>+AB35*(1+Z35)*$B$6</f>
        <v>800278.63299999968</v>
      </c>
      <c r="AD35" s="714"/>
      <c r="AE35" s="508"/>
      <c r="AF35" s="715"/>
    </row>
    <row r="36" spans="1:33" ht="18.600000000000001" customHeight="1" x14ac:dyDescent="0.25">
      <c r="A36" s="728" t="s">
        <v>604</v>
      </c>
      <c r="B36" s="729" t="s">
        <v>402</v>
      </c>
      <c r="C36" s="743" t="s">
        <v>606</v>
      </c>
      <c r="D36" s="744">
        <v>10.9</v>
      </c>
      <c r="E36" s="732">
        <f t="shared" si="8"/>
        <v>9374</v>
      </c>
      <c r="F36" s="745">
        <f t="shared" si="10"/>
        <v>11342.539999999999</v>
      </c>
      <c r="G36" s="746">
        <v>0.21</v>
      </c>
      <c r="H36" s="734">
        <v>0.12</v>
      </c>
      <c r="I36" s="750">
        <v>0.3</v>
      </c>
      <c r="J36" s="742">
        <f t="shared" si="12"/>
        <v>3.27</v>
      </c>
      <c r="K36" s="713">
        <f t="shared" si="11"/>
        <v>3402.7620000000002</v>
      </c>
      <c r="L36" s="714"/>
      <c r="M36" s="508"/>
      <c r="N36" s="715"/>
      <c r="O36" s="714"/>
      <c r="P36" s="508"/>
      <c r="Q36" s="715"/>
      <c r="R36" s="716"/>
      <c r="S36" s="508"/>
      <c r="T36" s="715"/>
      <c r="U36" s="716"/>
      <c r="V36" s="508"/>
      <c r="W36" s="715"/>
      <c r="X36" s="714"/>
      <c r="Y36" s="508"/>
      <c r="Z36" s="715"/>
      <c r="AA36" s="716"/>
      <c r="AB36" s="508"/>
      <c r="AC36" s="715"/>
      <c r="AD36" s="714"/>
      <c r="AE36" s="508"/>
      <c r="AF36" s="715"/>
    </row>
    <row r="37" spans="1:33" ht="18.600000000000001" customHeight="1" x14ac:dyDescent="0.25">
      <c r="A37" s="718" t="s">
        <v>403</v>
      </c>
      <c r="B37" s="727" t="s">
        <v>404</v>
      </c>
      <c r="C37" s="720" t="s">
        <v>606</v>
      </c>
      <c r="D37" s="738">
        <v>270</v>
      </c>
      <c r="E37" s="722"/>
      <c r="F37" s="739"/>
      <c r="G37" s="723"/>
      <c r="H37" s="724"/>
      <c r="I37" s="750">
        <v>0.1</v>
      </c>
      <c r="J37" s="742">
        <f t="shared" si="12"/>
        <v>27</v>
      </c>
      <c r="K37" s="713"/>
      <c r="L37" s="751"/>
      <c r="M37" s="528"/>
      <c r="N37" s="713"/>
      <c r="O37" s="751"/>
      <c r="P37" s="528"/>
      <c r="Q37" s="713"/>
      <c r="R37" s="752"/>
      <c r="S37" s="528"/>
      <c r="T37" s="713"/>
      <c r="U37" s="752"/>
      <c r="V37" s="528"/>
      <c r="W37" s="713"/>
      <c r="X37" s="751"/>
      <c r="Y37" s="528"/>
      <c r="Z37" s="713"/>
      <c r="AA37" s="752"/>
      <c r="AB37" s="528"/>
      <c r="AC37" s="713"/>
      <c r="AD37" s="751"/>
      <c r="AE37" s="528"/>
      <c r="AF37" s="713"/>
    </row>
    <row r="38" spans="1:33" ht="18.600000000000001" customHeight="1" x14ac:dyDescent="0.25">
      <c r="A38" s="718" t="s">
        <v>405</v>
      </c>
      <c r="B38" s="749" t="s">
        <v>406</v>
      </c>
      <c r="C38" s="720" t="s">
        <v>606</v>
      </c>
      <c r="D38" s="738">
        <v>25.43</v>
      </c>
      <c r="E38" s="722"/>
      <c r="F38" s="739"/>
      <c r="G38" s="723"/>
      <c r="H38" s="734"/>
      <c r="I38" s="750">
        <v>0.255</v>
      </c>
      <c r="J38" s="753">
        <f t="shared" si="12"/>
        <v>6.4846500000000002</v>
      </c>
      <c r="K38" s="713"/>
      <c r="L38" s="751"/>
      <c r="M38" s="528"/>
      <c r="N38" s="713"/>
      <c r="O38" s="751"/>
      <c r="P38" s="528"/>
      <c r="Q38" s="713"/>
      <c r="R38" s="752"/>
      <c r="S38" s="528"/>
      <c r="T38" s="713"/>
      <c r="U38" s="752"/>
      <c r="V38" s="528"/>
      <c r="W38" s="713"/>
      <c r="X38" s="751"/>
      <c r="Y38" s="528"/>
      <c r="Z38" s="713"/>
      <c r="AA38" s="752"/>
      <c r="AB38" s="528"/>
      <c r="AC38" s="713"/>
      <c r="AD38" s="751"/>
      <c r="AE38" s="528"/>
      <c r="AF38" s="713"/>
      <c r="AG38" s="446">
        <f>SUM(J26:J38)</f>
        <v>223.09265000000002</v>
      </c>
    </row>
    <row r="39" spans="1:33" s="441" customFormat="1" ht="13.5" customHeight="1" x14ac:dyDescent="0.2">
      <c r="A39" s="484" t="s">
        <v>609</v>
      </c>
      <c r="B39" s="484" t="s">
        <v>610</v>
      </c>
      <c r="C39" s="484"/>
      <c r="D39" s="578"/>
      <c r="E39" s="579"/>
      <c r="F39" s="580"/>
      <c r="G39" s="539"/>
      <c r="H39" s="539"/>
      <c r="I39" s="581"/>
      <c r="J39" s="678">
        <f>SUM(J22:J38)</f>
        <v>382.37264999999996</v>
      </c>
      <c r="K39" s="676">
        <f>SUM(K22:K36)</f>
        <v>310881.98479999998</v>
      </c>
      <c r="L39" s="539"/>
      <c r="M39" s="582">
        <f>SUM(M22:M36)</f>
        <v>39.5</v>
      </c>
      <c r="N39" s="676">
        <f>SUM(N22:N36)</f>
        <v>35730.85</v>
      </c>
      <c r="O39" s="539"/>
      <c r="P39" s="582">
        <f>SUM(P22:P36)</f>
        <v>0</v>
      </c>
      <c r="Q39" s="676">
        <f>SUM(Q22:Q36)</f>
        <v>0</v>
      </c>
      <c r="R39" s="539"/>
      <c r="S39" s="582">
        <f>SUM(S22:S36)</f>
        <v>0</v>
      </c>
      <c r="T39" s="676">
        <f>SUM(T22:T36)</f>
        <v>0</v>
      </c>
      <c r="U39" s="539"/>
      <c r="V39" s="582">
        <f>SUM(V22:V36)</f>
        <v>161.75500000000002</v>
      </c>
      <c r="W39" s="676">
        <f>SUM(W22:W36)</f>
        <v>161482.02799999999</v>
      </c>
      <c r="X39" s="539"/>
      <c r="Y39" s="582">
        <f>SUM(Y22:Y36)</f>
        <v>46</v>
      </c>
      <c r="Z39" s="676">
        <f>SUM(Z22:Z36)</f>
        <v>41907.800000000003</v>
      </c>
      <c r="AA39" s="539"/>
      <c r="AB39" s="582">
        <f>SUM(AB22:AB36)</f>
        <v>6563230.2165499991</v>
      </c>
      <c r="AC39" s="676">
        <f>SUM(AC22:AC36)</f>
        <v>4591389605046.0322</v>
      </c>
      <c r="AD39" s="539"/>
      <c r="AE39" s="582">
        <f>SUM(AE22:AE36)</f>
        <v>46</v>
      </c>
      <c r="AF39" s="676">
        <f>SUM(AF22:AF36)</f>
        <v>41907.800000000003</v>
      </c>
    </row>
    <row r="40" spans="1:33" ht="12" customHeight="1" x14ac:dyDescent="0.3">
      <c r="A40" s="454" t="s">
        <v>611</v>
      </c>
      <c r="B40" s="754" t="s">
        <v>612</v>
      </c>
      <c r="D40" s="524">
        <v>80</v>
      </c>
      <c r="E40" s="418">
        <f>+D40*B6</f>
        <v>68800</v>
      </c>
      <c r="F40" s="525">
        <f>+E40*1.105</f>
        <v>76024</v>
      </c>
      <c r="G40" s="526"/>
      <c r="H40" s="526"/>
      <c r="I40" s="526"/>
      <c r="J40" s="528">
        <v>80</v>
      </c>
      <c r="K40" s="531">
        <f>+F40</f>
        <v>76024</v>
      </c>
      <c r="L40" s="526"/>
      <c r="M40" s="528">
        <v>80</v>
      </c>
      <c r="N40" s="531">
        <f>(M40*B6)*1.105</f>
        <v>76024</v>
      </c>
      <c r="O40" s="526"/>
      <c r="P40" s="528">
        <v>65</v>
      </c>
      <c r="Q40" s="531">
        <f>(P40*B6)*1.105</f>
        <v>61769.5</v>
      </c>
      <c r="R40" s="526"/>
      <c r="S40" s="528">
        <v>62.43</v>
      </c>
      <c r="T40" s="531">
        <f>(S40*B6)*1.105</f>
        <v>59327.228999999999</v>
      </c>
      <c r="U40" s="526"/>
      <c r="V40" s="528">
        <v>70</v>
      </c>
      <c r="W40" s="531">
        <f>(V40*B6)*1.105</f>
        <v>66521</v>
      </c>
      <c r="X40" s="526"/>
      <c r="Y40" s="528">
        <v>75</v>
      </c>
      <c r="Z40" s="531">
        <f>(Y40*B6)*1.105</f>
        <v>71272.5</v>
      </c>
      <c r="AA40" s="526"/>
      <c r="AB40" s="528">
        <v>62.43</v>
      </c>
      <c r="AC40" s="531">
        <f>(AB40*U6)*1.105</f>
        <v>48.289605000000002</v>
      </c>
      <c r="AD40" s="526"/>
      <c r="AE40" s="528">
        <v>75</v>
      </c>
      <c r="AF40" s="531">
        <f>(AE40*B6)*1.105</f>
        <v>71272.5</v>
      </c>
      <c r="AG40" s="418">
        <f>+J40*B6</f>
        <v>68800</v>
      </c>
    </row>
    <row r="41" spans="1:33" ht="12" customHeight="1" x14ac:dyDescent="0.25">
      <c r="A41" s="442"/>
      <c r="C41" s="441"/>
      <c r="D41" s="529"/>
      <c r="E41" s="530"/>
      <c r="F41" s="525"/>
      <c r="G41" s="526"/>
      <c r="H41" s="526"/>
      <c r="I41" s="526"/>
      <c r="J41" s="528"/>
      <c r="K41" s="531"/>
      <c r="L41" s="526"/>
      <c r="M41" s="528"/>
      <c r="N41" s="531"/>
      <c r="O41" s="526"/>
      <c r="P41" s="528"/>
      <c r="Q41" s="531"/>
      <c r="R41" s="526"/>
      <c r="S41" s="528"/>
      <c r="T41" s="531"/>
      <c r="U41" s="526"/>
      <c r="V41" s="528"/>
      <c r="W41" s="531"/>
      <c r="X41" s="526"/>
      <c r="Y41" s="528"/>
      <c r="Z41" s="531"/>
      <c r="AA41" s="526"/>
      <c r="AB41" s="528"/>
      <c r="AC41" s="531"/>
      <c r="AD41" s="526"/>
      <c r="AE41" s="528"/>
      <c r="AF41" s="531"/>
    </row>
    <row r="42" spans="1:33" ht="12" customHeight="1" x14ac:dyDescent="0.25">
      <c r="A42" s="755" t="s">
        <v>613</v>
      </c>
      <c r="B42" s="756" t="s">
        <v>614</v>
      </c>
      <c r="C42" s="756"/>
      <c r="D42" s="757"/>
      <c r="E42" s="756"/>
      <c r="F42" s="756"/>
      <c r="G42" s="758"/>
      <c r="H42" s="758"/>
      <c r="I42" s="758"/>
      <c r="J42" s="759"/>
      <c r="K42" s="531"/>
      <c r="L42" s="526"/>
      <c r="M42" s="528"/>
      <c r="N42" s="531">
        <f>+M42*1.21*B6</f>
        <v>0</v>
      </c>
      <c r="O42" s="526"/>
      <c r="P42" s="528">
        <f>D42</f>
        <v>0</v>
      </c>
      <c r="Q42" s="531">
        <f>(P42*B6)*1.21</f>
        <v>0</v>
      </c>
      <c r="R42" s="526"/>
      <c r="S42" s="528"/>
      <c r="T42" s="531">
        <f>(S42*B6)*1.21</f>
        <v>0</v>
      </c>
      <c r="U42" s="526"/>
      <c r="V42" s="528">
        <f>D42</f>
        <v>0</v>
      </c>
      <c r="W42" s="531">
        <f>(V42*B6)*1.21</f>
        <v>0</v>
      </c>
      <c r="X42" s="526"/>
      <c r="Y42" s="528">
        <f>D42</f>
        <v>0</v>
      </c>
      <c r="Z42" s="531">
        <f>+Y42*1.21*B6</f>
        <v>0</v>
      </c>
      <c r="AA42" s="526"/>
      <c r="AB42" s="528"/>
      <c r="AC42" s="531">
        <f>(AB42*U6)*1.21</f>
        <v>0</v>
      </c>
      <c r="AD42" s="526"/>
      <c r="AE42" s="528">
        <f>D42</f>
        <v>0</v>
      </c>
      <c r="AF42" s="531">
        <f>+AE42*1.21*B6</f>
        <v>0</v>
      </c>
    </row>
    <row r="43" spans="1:33" ht="12" customHeight="1" x14ac:dyDescent="0.25">
      <c r="A43" s="755"/>
      <c r="B43" s="755" t="s">
        <v>615</v>
      </c>
      <c r="C43" s="755"/>
      <c r="D43" s="757"/>
      <c r="E43" s="756"/>
      <c r="F43" s="756"/>
      <c r="G43" s="758"/>
      <c r="H43" s="758"/>
      <c r="I43" s="758"/>
      <c r="J43" s="759"/>
      <c r="K43" s="531"/>
      <c r="L43" s="526"/>
      <c r="M43" s="528">
        <f>D43</f>
        <v>0</v>
      </c>
      <c r="N43" s="531">
        <f>+M43*1.21*B6</f>
        <v>0</v>
      </c>
      <c r="O43" s="526"/>
      <c r="P43" s="528">
        <f>D43</f>
        <v>0</v>
      </c>
      <c r="Q43" s="531">
        <f>(P43*B6)*1.21</f>
        <v>0</v>
      </c>
      <c r="R43" s="526"/>
      <c r="S43" s="528">
        <f>D43</f>
        <v>0</v>
      </c>
      <c r="T43" s="531">
        <f>(S43*B6)*1.21</f>
        <v>0</v>
      </c>
      <c r="U43" s="526"/>
      <c r="V43" s="528">
        <f>Q43</f>
        <v>0</v>
      </c>
      <c r="W43" s="531">
        <f>(V43*O6)*1.21</f>
        <v>0</v>
      </c>
      <c r="X43" s="526"/>
      <c r="Y43" s="528">
        <f>Q43</f>
        <v>0</v>
      </c>
      <c r="Z43" s="531">
        <f>+Y43*1.21*O6</f>
        <v>0</v>
      </c>
      <c r="AA43" s="526"/>
      <c r="AB43" s="528">
        <f>W43</f>
        <v>0</v>
      </c>
      <c r="AC43" s="531">
        <f>(AB43*U6)*1.21</f>
        <v>0</v>
      </c>
      <c r="AD43" s="526"/>
      <c r="AE43" s="528">
        <f>W43</f>
        <v>0</v>
      </c>
      <c r="AF43" s="531">
        <f>+AE43*1.21*U6</f>
        <v>0</v>
      </c>
    </row>
    <row r="44" spans="1:33" ht="12" customHeight="1" x14ac:dyDescent="0.25">
      <c r="A44" s="442"/>
      <c r="B44" s="441" t="s">
        <v>616</v>
      </c>
      <c r="C44" s="441"/>
      <c r="D44" s="529"/>
      <c r="E44" s="530" t="s">
        <v>566</v>
      </c>
      <c r="F44" s="525" t="s">
        <v>617</v>
      </c>
      <c r="G44" s="526"/>
      <c r="H44" s="526"/>
      <c r="I44" s="526"/>
      <c r="J44" s="528"/>
      <c r="K44" s="531"/>
      <c r="L44" s="526"/>
      <c r="M44" s="528"/>
      <c r="N44" s="531"/>
      <c r="O44" s="526"/>
      <c r="P44" s="528"/>
      <c r="Q44" s="531"/>
      <c r="R44" s="526"/>
      <c r="S44" s="528"/>
      <c r="T44" s="531"/>
      <c r="U44" s="526"/>
      <c r="V44" s="528"/>
      <c r="W44" s="531"/>
      <c r="X44" s="526"/>
      <c r="Y44" s="528"/>
      <c r="Z44" s="531"/>
      <c r="AA44" s="526"/>
      <c r="AB44" s="528"/>
      <c r="AC44" s="531"/>
      <c r="AD44" s="526"/>
      <c r="AE44" s="528"/>
      <c r="AF44" s="531"/>
    </row>
    <row r="45" spans="1:33" ht="12" customHeight="1" x14ac:dyDescent="0.25">
      <c r="A45" s="442"/>
      <c r="B45" s="441" t="s">
        <v>618</v>
      </c>
      <c r="C45" s="532"/>
      <c r="D45" s="529"/>
      <c r="E45" s="34">
        <v>220</v>
      </c>
      <c r="F45" s="34">
        <v>143</v>
      </c>
      <c r="G45" s="533">
        <v>0.2</v>
      </c>
      <c r="H45" s="533"/>
      <c r="I45" s="583"/>
      <c r="J45" s="528"/>
      <c r="K45" s="531"/>
      <c r="L45" s="583"/>
      <c r="M45" s="528">
        <f>G45*M5*M7</f>
        <v>156</v>
      </c>
      <c r="N45" s="531">
        <f>+M45*B6</f>
        <v>134160</v>
      </c>
      <c r="O45" s="526"/>
      <c r="P45" s="528"/>
      <c r="Q45" s="531"/>
      <c r="R45" s="526"/>
      <c r="S45" s="528">
        <f>E45*S7</f>
        <v>50600</v>
      </c>
      <c r="T45" s="531">
        <f>+S45*1.21*B6</f>
        <v>52654360</v>
      </c>
      <c r="U45" s="583">
        <v>0</v>
      </c>
      <c r="V45" s="528">
        <f>U45*E45</f>
        <v>0</v>
      </c>
      <c r="W45" s="531">
        <f>+V45*B6</f>
        <v>0</v>
      </c>
      <c r="X45" s="583">
        <v>0</v>
      </c>
      <c r="Y45" s="528">
        <f>X45*F45</f>
        <v>0</v>
      </c>
      <c r="Z45" s="531">
        <f>+Y45*B6</f>
        <v>0</v>
      </c>
      <c r="AA45" s="526"/>
      <c r="AB45" s="528">
        <f>X45*AB7</f>
        <v>0</v>
      </c>
      <c r="AC45" s="531">
        <f>+AB45*1.21*U6</f>
        <v>0</v>
      </c>
      <c r="AD45" s="583">
        <v>0</v>
      </c>
      <c r="AE45" s="528">
        <f>AD45*F45</f>
        <v>0</v>
      </c>
      <c r="AF45" s="531">
        <f>+AE45*1.21*B6</f>
        <v>0</v>
      </c>
    </row>
    <row r="46" spans="1:33" ht="12" customHeight="1" x14ac:dyDescent="0.25">
      <c r="A46" s="454" t="s">
        <v>619</v>
      </c>
      <c r="B46" s="441" t="s">
        <v>620</v>
      </c>
      <c r="C46" s="584"/>
      <c r="D46" s="529"/>
      <c r="E46" s="155"/>
      <c r="F46" s="155"/>
      <c r="G46" s="526"/>
      <c r="H46" s="526"/>
      <c r="I46" s="585" t="s">
        <v>621</v>
      </c>
      <c r="J46" s="528">
        <v>36</v>
      </c>
      <c r="K46" s="531">
        <f>+J46*B6</f>
        <v>30960</v>
      </c>
      <c r="L46" s="526"/>
      <c r="M46" s="528"/>
      <c r="N46" s="531">
        <f>+M46*B6</f>
        <v>0</v>
      </c>
      <c r="O46" s="526"/>
      <c r="P46" s="528"/>
      <c r="Q46" s="531">
        <f>+P46*B6</f>
        <v>0</v>
      </c>
      <c r="R46" s="526"/>
      <c r="S46" s="528"/>
      <c r="T46" s="531">
        <f>+S46*B6</f>
        <v>0</v>
      </c>
      <c r="U46" s="526"/>
      <c r="V46" s="528"/>
      <c r="W46" s="531">
        <f>+V46*O6</f>
        <v>0</v>
      </c>
      <c r="X46" s="526"/>
      <c r="Y46" s="528"/>
      <c r="Z46" s="531">
        <f>+Y46*O6</f>
        <v>0</v>
      </c>
      <c r="AA46" s="526"/>
      <c r="AB46" s="528"/>
      <c r="AC46" s="531">
        <f>+AB46*U6</f>
        <v>0</v>
      </c>
      <c r="AD46" s="526"/>
      <c r="AE46" s="528"/>
      <c r="AF46" s="531">
        <f>+AE46*U6</f>
        <v>0</v>
      </c>
    </row>
    <row r="47" spans="1:33" s="419" customFormat="1" ht="13.5" customHeight="1" x14ac:dyDescent="0.2">
      <c r="A47" s="428" t="s">
        <v>622</v>
      </c>
      <c r="B47" s="429"/>
      <c r="C47" s="429"/>
      <c r="D47" s="536" t="s">
        <v>623</v>
      </c>
      <c r="E47" s="537"/>
      <c r="F47" s="538"/>
      <c r="G47" s="539"/>
      <c r="H47" s="539"/>
      <c r="I47" s="539"/>
      <c r="J47" s="541">
        <f>SUM(J39:J46)</f>
        <v>498.37264999999996</v>
      </c>
      <c r="K47" s="760">
        <f>SUM(K39:K46)</f>
        <v>417865.98479999998</v>
      </c>
      <c r="L47" s="539"/>
      <c r="M47" s="541">
        <f>SUM(M39:M46)</f>
        <v>275.5</v>
      </c>
      <c r="N47" s="760">
        <f>SUM(N39:N46)</f>
        <v>245914.85</v>
      </c>
      <c r="O47" s="539"/>
      <c r="P47" s="541">
        <f>SUM(P39:P46)</f>
        <v>65</v>
      </c>
      <c r="Q47" s="760">
        <f>SUM(Q39:Q46)</f>
        <v>61769.5</v>
      </c>
      <c r="R47" s="539"/>
      <c r="S47" s="541">
        <f>SUM(S39:S46)</f>
        <v>50662.43</v>
      </c>
      <c r="T47" s="760">
        <f>SUM(T39:T46)</f>
        <v>52713687.229000002</v>
      </c>
      <c r="U47" s="539"/>
      <c r="V47" s="541">
        <f>SUM(V39:V46)</f>
        <v>231.75500000000002</v>
      </c>
      <c r="W47" s="760">
        <f>SUM(W39:W46)</f>
        <v>228003.02799999999</v>
      </c>
      <c r="X47" s="539"/>
      <c r="Y47" s="541">
        <f>SUM(Y39:Y46)</f>
        <v>121</v>
      </c>
      <c r="Z47" s="760">
        <f>SUM(Z39:Z46)</f>
        <v>113180.3</v>
      </c>
      <c r="AA47" s="539"/>
      <c r="AB47" s="541">
        <f>SUM(AB39:AB46)</f>
        <v>6563292.6465499988</v>
      </c>
      <c r="AC47" s="760">
        <f>SUM(AC39:AC46)</f>
        <v>4591389605094.3223</v>
      </c>
      <c r="AD47" s="539"/>
      <c r="AE47" s="541">
        <f>SUM(AE39:AE46)</f>
        <v>121</v>
      </c>
      <c r="AF47" s="760">
        <f>SUM(AF39:AF46)</f>
        <v>113180.3</v>
      </c>
    </row>
    <row r="48" spans="1:33" s="419" customFormat="1" ht="12" customHeight="1" x14ac:dyDescent="0.2">
      <c r="A48" s="428" t="s">
        <v>564</v>
      </c>
      <c r="B48" s="429"/>
      <c r="C48" s="429"/>
      <c r="D48" s="536" t="s">
        <v>564</v>
      </c>
      <c r="E48" s="537"/>
      <c r="F48" s="542"/>
      <c r="G48" s="543"/>
      <c r="H48" s="543"/>
      <c r="I48" s="543"/>
      <c r="J48" s="545">
        <f>J21-J47</f>
        <v>221.50735000000003</v>
      </c>
      <c r="K48" s="761">
        <f>K21-K47</f>
        <v>177471.07920000004</v>
      </c>
      <c r="L48" s="761"/>
      <c r="M48" s="545">
        <f>M21-M47</f>
        <v>301.70000000000005</v>
      </c>
      <c r="N48" s="761">
        <f>N21-N47</f>
        <v>207009.31000000003</v>
      </c>
      <c r="O48" s="761"/>
      <c r="P48" s="545">
        <f>P21-P47</f>
        <v>626.95000000000005</v>
      </c>
      <c r="Q48" s="761">
        <f>Q21-Q47</f>
        <v>505829.20999999996</v>
      </c>
      <c r="R48" s="543"/>
      <c r="S48" s="545">
        <f>S21-S47</f>
        <v>-49930.94</v>
      </c>
      <c r="T48" s="761">
        <f>T21-T47</f>
        <v>-52109384.664999999</v>
      </c>
      <c r="U48" s="543"/>
      <c r="V48" s="545">
        <f>V21-V47</f>
        <v>175.77099999999993</v>
      </c>
      <c r="W48" s="761">
        <f>W21-W47</f>
        <v>69030.995999999985</v>
      </c>
      <c r="X48" s="761"/>
      <c r="Y48" s="545">
        <f>Y21-Y47</f>
        <v>394.928</v>
      </c>
      <c r="Z48" s="761">
        <f>Z21-Z47</f>
        <v>282599.44</v>
      </c>
      <c r="AA48" s="543"/>
      <c r="AB48" s="545">
        <f>AB21-AB47</f>
        <v>-6819024.1405499987</v>
      </c>
      <c r="AC48" s="761">
        <f>AC21-AC47</f>
        <v>-4591394685423.0898</v>
      </c>
      <c r="AD48" s="761"/>
      <c r="AE48" s="545">
        <f>AE21-AE47</f>
        <v>394.928</v>
      </c>
      <c r="AF48" s="761">
        <f>AF21-AF47</f>
        <v>282599.44</v>
      </c>
    </row>
    <row r="49" spans="1:32" s="554" customFormat="1" ht="18" x14ac:dyDescent="0.25">
      <c r="A49" s="546" t="s">
        <v>624</v>
      </c>
      <c r="B49" s="547"/>
      <c r="C49" s="547"/>
      <c r="D49" s="548"/>
      <c r="E49" s="549"/>
      <c r="F49" s="550"/>
      <c r="G49" s="551"/>
      <c r="H49" s="551"/>
      <c r="I49" s="551"/>
      <c r="J49" s="553">
        <f>+J48</f>
        <v>221.50735000000003</v>
      </c>
      <c r="K49" s="553">
        <f>+K48/$B$6</f>
        <v>206.36172000000005</v>
      </c>
      <c r="L49" s="553"/>
      <c r="M49" s="553">
        <f>+M48</f>
        <v>301.70000000000005</v>
      </c>
      <c r="N49" s="553">
        <f>+N48/$B$6</f>
        <v>240.70850000000004</v>
      </c>
      <c r="O49" s="553"/>
      <c r="P49" s="553">
        <f>+P48</f>
        <v>626.95000000000005</v>
      </c>
      <c r="Q49" s="553">
        <f>+Q48/$B$6</f>
        <v>588.17349999999999</v>
      </c>
      <c r="R49" s="551"/>
      <c r="S49" s="553">
        <f>+S48</f>
        <v>-49930.94</v>
      </c>
      <c r="T49" s="553">
        <f>+T48/$B$6</f>
        <v>-60592.30775</v>
      </c>
      <c r="U49" s="551"/>
      <c r="V49" s="553">
        <f>+V48</f>
        <v>175.77099999999993</v>
      </c>
      <c r="W49" s="553">
        <f>+W48/$B$6</f>
        <v>80.268599999999978</v>
      </c>
      <c r="X49" s="553"/>
      <c r="Y49" s="553">
        <f>+Y48</f>
        <v>394.928</v>
      </c>
      <c r="Z49" s="553">
        <f>+Z48/$B$6</f>
        <v>328.60399999999998</v>
      </c>
      <c r="AA49" s="551"/>
      <c r="AB49" s="553">
        <f>+AB48</f>
        <v>-6819024.1405499987</v>
      </c>
      <c r="AC49" s="553">
        <f>+AC48/$B$6</f>
        <v>-5338831029.5617323</v>
      </c>
      <c r="AD49" s="553"/>
      <c r="AE49" s="553">
        <f>+AE48</f>
        <v>394.928</v>
      </c>
      <c r="AF49" s="553">
        <f>+AF48/$B$6</f>
        <v>328.60399999999998</v>
      </c>
    </row>
    <row r="50" spans="1:32" s="559" customFormat="1" x14ac:dyDescent="0.2">
      <c r="A50" s="555"/>
      <c r="B50" s="556"/>
      <c r="C50" s="556"/>
      <c r="D50" s="557"/>
      <c r="E50" s="557"/>
      <c r="F50" s="556"/>
      <c r="G50" s="556"/>
      <c r="H50" s="556"/>
      <c r="I50" s="556"/>
      <c r="J50" s="556"/>
      <c r="K50" s="762"/>
      <c r="L50" s="556"/>
      <c r="M50" s="556"/>
      <c r="N50" s="762"/>
      <c r="O50" s="556"/>
      <c r="P50" s="556"/>
      <c r="Q50" s="762"/>
      <c r="R50" s="556"/>
      <c r="S50" s="556"/>
      <c r="T50" s="762"/>
      <c r="U50" s="556"/>
      <c r="V50" s="556"/>
      <c r="W50" s="762"/>
      <c r="X50" s="556"/>
      <c r="Y50" s="556"/>
      <c r="Z50" s="762"/>
      <c r="AA50" s="556"/>
      <c r="AB50" s="556"/>
      <c r="AC50" s="762"/>
      <c r="AD50" s="556"/>
      <c r="AE50" s="556"/>
      <c r="AF50" s="762"/>
    </row>
    <row r="51" spans="1:32" ht="15" x14ac:dyDescent="0.25">
      <c r="I51" s="586" t="s">
        <v>625</v>
      </c>
      <c r="J51" s="561">
        <f>J21/J5</f>
        <v>257.10000000000002</v>
      </c>
      <c r="K51" s="763">
        <f>K21/K5</f>
        <v>212620.38</v>
      </c>
      <c r="L51" s="763"/>
      <c r="M51" s="763">
        <f>M21/M5</f>
        <v>88.800000000000011</v>
      </c>
      <c r="N51" s="763">
        <f>N21/N5</f>
        <v>69680.639999999999</v>
      </c>
      <c r="O51" s="763"/>
      <c r="P51" s="763"/>
      <c r="Q51" s="763"/>
      <c r="S51" s="763">
        <f>S21/S6</f>
        <v>197.7</v>
      </c>
      <c r="T51" s="763">
        <f>T21/T6</f>
        <v>163325.01729729725</v>
      </c>
      <c r="V51" s="763">
        <f>V21/V5</f>
        <v>131.45999999999998</v>
      </c>
      <c r="W51" s="763">
        <f>W21/W5</f>
        <v>95817.427096774176</v>
      </c>
      <c r="X51" s="763"/>
      <c r="Y51" s="763">
        <f>Y21/Y5</f>
        <v>62.16</v>
      </c>
      <c r="Z51" s="763">
        <f>Z21/Z5</f>
        <v>47684.306024096382</v>
      </c>
      <c r="AB51" s="763">
        <f>AB21/AB6</f>
        <v>-69116.619999999981</v>
      </c>
      <c r="AC51" s="763">
        <f>AC21/AC6</f>
        <v>-1373061.8289821623</v>
      </c>
      <c r="AD51" s="763"/>
      <c r="AE51" s="763">
        <f>AE21/AE5</f>
        <v>62.16</v>
      </c>
      <c r="AF51" s="763">
        <f>AF21/AF5</f>
        <v>47684.306024096382</v>
      </c>
    </row>
    <row r="52" spans="1:32" ht="12.6" customHeight="1" x14ac:dyDescent="0.25">
      <c r="F52" s="34" t="s">
        <v>626</v>
      </c>
      <c r="I52" s="419" t="s">
        <v>627</v>
      </c>
      <c r="J52" s="562">
        <f>J47/J51</f>
        <v>1.938438934266822</v>
      </c>
      <c r="K52" s="562">
        <f>K47/K51</f>
        <v>1.9653148244773149</v>
      </c>
      <c r="L52" s="562"/>
      <c r="M52" s="562">
        <f>M47/M51</f>
        <v>3.102477477477477</v>
      </c>
      <c r="N52" s="562">
        <f>N47/N51</f>
        <v>3.5291703692733019</v>
      </c>
      <c r="O52" s="562"/>
      <c r="P52" s="562">
        <f>+(P47+P20)/P7</f>
        <v>0.77413043478260879</v>
      </c>
      <c r="Q52" s="562">
        <f>+(Q47+Q20)/Q8</f>
        <v>1.3102239130434783</v>
      </c>
      <c r="S52" s="562">
        <f>S47/S51</f>
        <v>256.25912999494187</v>
      </c>
      <c r="T52" s="562">
        <f>T47/T51</f>
        <v>322.75329341031897</v>
      </c>
      <c r="V52" s="562">
        <f>V47/V51</f>
        <v>1.7629316902479846</v>
      </c>
      <c r="W52" s="562">
        <f>W47/W51</f>
        <v>2.3795569857007361</v>
      </c>
      <c r="X52" s="562"/>
      <c r="Y52" s="562">
        <f>Y47/Y51</f>
        <v>1.9465894465894467</v>
      </c>
      <c r="Z52" s="562">
        <f>Z47/Z51</f>
        <v>2.3735335467146452</v>
      </c>
      <c r="AB52" s="562">
        <f>AB47/AB51</f>
        <v>-94.95968764893307</v>
      </c>
      <c r="AC52" s="562">
        <f>AC47/AC51</f>
        <v>-3343905.9393981374</v>
      </c>
      <c r="AD52" s="562"/>
      <c r="AE52" s="562">
        <f>AE47/AE51</f>
        <v>1.9465894465894467</v>
      </c>
      <c r="AF52" s="562">
        <f>AF47/AF51</f>
        <v>2.3735335467146452</v>
      </c>
    </row>
    <row r="55" spans="1:32" ht="18" customHeight="1" x14ac:dyDescent="0.25"/>
  </sheetData>
  <mergeCells count="6">
    <mergeCell ref="AE1:AF1"/>
    <mergeCell ref="J1:K1"/>
    <mergeCell ref="M1:N1"/>
    <mergeCell ref="V1:W1"/>
    <mergeCell ref="Y1:Z1"/>
    <mergeCell ref="AB1:AC1"/>
  </mergeCells>
  <conditionalFormatting sqref="J22:J38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2:K38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11811023622047245" right="0.70866141732283472" top="0.74803149606299213" bottom="0" header="0.31496062992125984" footer="0.31496062992125984"/>
  <pageSetup paperSize="9" scale="80" orientation="landscape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DD53D-D054-4F7E-BA49-963376B5759C}">
  <sheetPr>
    <tabColor rgb="FF93FF79"/>
  </sheetPr>
  <dimension ref="A1:AC134"/>
  <sheetViews>
    <sheetView topLeftCell="S25" zoomScale="90" zoomScaleNormal="90" workbookViewId="0">
      <selection activeCell="F42" sqref="F42"/>
    </sheetView>
  </sheetViews>
  <sheetFormatPr baseColWidth="10" defaultColWidth="11.42578125" defaultRowHeight="15" x14ac:dyDescent="0.25"/>
  <cols>
    <col min="2" max="2" width="14" customWidth="1"/>
    <col min="3" max="3" width="13.7109375" customWidth="1"/>
    <col min="4" max="4" width="24.7109375" customWidth="1"/>
    <col min="5" max="5" width="9.85546875" customWidth="1"/>
    <col min="6" max="6" width="9.28515625" customWidth="1"/>
    <col min="7" max="7" width="9.85546875" customWidth="1"/>
    <col min="8" max="8" width="8.42578125" customWidth="1"/>
    <col min="9" max="9" width="8.5703125" customWidth="1"/>
    <col min="10" max="10" width="9.5703125" customWidth="1"/>
    <col min="11" max="11" width="10.7109375" customWidth="1"/>
    <col min="12" max="12" width="16.140625" bestFit="1" customWidth="1"/>
    <col min="13" max="13" width="15.42578125" bestFit="1" customWidth="1"/>
    <col min="14" max="14" width="19.28515625" bestFit="1" customWidth="1"/>
    <col min="15" max="15" width="17.28515625" bestFit="1" customWidth="1"/>
    <col min="16" max="16" width="13.85546875" customWidth="1"/>
    <col min="17" max="17" width="18.28515625" bestFit="1" customWidth="1"/>
    <col min="18" max="18" width="16.85546875" customWidth="1"/>
    <col min="19" max="19" width="15.5703125" customWidth="1"/>
    <col min="20" max="20" width="18.140625" customWidth="1"/>
    <col min="21" max="21" width="16.5703125" customWidth="1"/>
    <col min="22" max="22" width="16.85546875" bestFit="1" customWidth="1"/>
    <col min="23" max="23" width="15.42578125" bestFit="1" customWidth="1"/>
    <col min="24" max="24" width="17.85546875" bestFit="1" customWidth="1"/>
    <col min="25" max="25" width="13.5703125" bestFit="1" customWidth="1"/>
    <col min="26" max="26" width="16.140625" customWidth="1"/>
    <col min="27" max="27" width="17.5703125" bestFit="1" customWidth="1"/>
    <col min="28" max="28" width="17.42578125" bestFit="1" customWidth="1"/>
    <col min="29" max="29" width="28.7109375" bestFit="1" customWidth="1"/>
  </cols>
  <sheetData>
    <row r="1" spans="1:29" ht="47.25" x14ac:dyDescent="0.25">
      <c r="A1" s="51" t="s">
        <v>0</v>
      </c>
      <c r="B1" s="51" t="s">
        <v>1</v>
      </c>
      <c r="C1" s="51" t="s">
        <v>14</v>
      </c>
      <c r="D1" s="51" t="s">
        <v>15</v>
      </c>
      <c r="E1" s="51" t="s">
        <v>351</v>
      </c>
      <c r="F1" s="51" t="s">
        <v>352</v>
      </c>
      <c r="G1" s="51" t="s">
        <v>353</v>
      </c>
      <c r="H1" s="51" t="s">
        <v>354</v>
      </c>
      <c r="I1" s="51" t="s">
        <v>355</v>
      </c>
      <c r="J1" s="51" t="s">
        <v>356</v>
      </c>
      <c r="K1" s="51" t="s">
        <v>357</v>
      </c>
      <c r="L1" s="51" t="s">
        <v>358</v>
      </c>
      <c r="M1" s="51" t="s">
        <v>359</v>
      </c>
      <c r="N1" s="51" t="s">
        <v>360</v>
      </c>
      <c r="O1" s="51" t="s">
        <v>361</v>
      </c>
      <c r="P1" s="51" t="s">
        <v>362</v>
      </c>
      <c r="Q1" s="51" t="s">
        <v>557</v>
      </c>
      <c r="R1" s="51" t="s">
        <v>31</v>
      </c>
      <c r="S1" s="51" t="s">
        <v>364</v>
      </c>
      <c r="T1" s="51" t="s">
        <v>46</v>
      </c>
      <c r="U1" s="51" t="s">
        <v>365</v>
      </c>
      <c r="V1" s="51" t="s">
        <v>628</v>
      </c>
      <c r="W1" s="51" t="s">
        <v>366</v>
      </c>
      <c r="X1" s="51" t="s">
        <v>367</v>
      </c>
      <c r="Y1" s="51" t="s">
        <v>368</v>
      </c>
      <c r="Z1" s="51" t="s">
        <v>369</v>
      </c>
      <c r="AA1" s="51" t="s">
        <v>370</v>
      </c>
      <c r="AB1" s="51" t="s">
        <v>372</v>
      </c>
      <c r="AC1" s="51" t="s">
        <v>371</v>
      </c>
    </row>
    <row r="2" spans="1:29" ht="15.75" x14ac:dyDescent="0.25">
      <c r="A2" s="263" t="s">
        <v>629</v>
      </c>
      <c r="B2" s="263"/>
      <c r="C2" s="263"/>
      <c r="D2" s="263"/>
      <c r="E2" s="263"/>
      <c r="F2" s="262"/>
      <c r="G2" s="262"/>
      <c r="H2" s="262"/>
      <c r="I2" s="262"/>
      <c r="J2" s="262"/>
      <c r="K2" s="262"/>
      <c r="L2" s="262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99"/>
      <c r="Y2" s="5"/>
      <c r="Z2" s="5"/>
      <c r="AA2" s="245"/>
      <c r="AB2" s="5"/>
      <c r="AC2" s="5"/>
    </row>
    <row r="3" spans="1:29" ht="15.75" x14ac:dyDescent="0.25">
      <c r="A3" s="255"/>
      <c r="B3" s="254" t="s">
        <v>630</v>
      </c>
      <c r="C3" s="253"/>
      <c r="D3" s="253"/>
      <c r="E3" s="253"/>
      <c r="F3" s="252"/>
      <c r="G3" s="252"/>
      <c r="H3" s="252"/>
      <c r="I3" s="252"/>
      <c r="J3" s="252"/>
      <c r="K3" s="252"/>
      <c r="L3" s="779"/>
      <c r="M3" s="251"/>
      <c r="N3" s="251"/>
      <c r="O3" s="251"/>
      <c r="P3" s="251"/>
      <c r="Q3" s="251"/>
      <c r="R3" s="251"/>
      <c r="S3" s="251"/>
      <c r="T3" s="251"/>
      <c r="U3" s="251"/>
      <c r="V3" s="251"/>
      <c r="W3" s="251"/>
      <c r="X3" s="600"/>
      <c r="Y3" s="251"/>
      <c r="Z3" s="251"/>
      <c r="AA3" s="271"/>
      <c r="AB3" s="251"/>
      <c r="AC3" s="251"/>
    </row>
    <row r="4" spans="1:29" ht="15.75" x14ac:dyDescent="0.25">
      <c r="A4" s="248"/>
      <c r="B4" s="250" t="s">
        <v>55</v>
      </c>
      <c r="C4" s="249"/>
      <c r="D4" s="249"/>
      <c r="E4" s="249"/>
      <c r="F4" s="603">
        <f>SUBTOTAL(9,F6:F15)</f>
        <v>70.006</v>
      </c>
      <c r="G4" s="248"/>
      <c r="H4" s="248"/>
      <c r="I4" s="248"/>
      <c r="J4" s="248"/>
      <c r="K4" s="248"/>
      <c r="L4" s="771"/>
      <c r="M4" s="248"/>
      <c r="N4" s="248"/>
      <c r="O4" s="248"/>
      <c r="P4" s="248"/>
      <c r="Q4" s="248"/>
      <c r="R4" s="248"/>
      <c r="S4" s="248"/>
      <c r="T4" s="248"/>
      <c r="U4" s="248"/>
      <c r="V4" s="248"/>
      <c r="W4" s="248"/>
      <c r="X4" s="601"/>
      <c r="Y4" s="248"/>
      <c r="Z4" s="272">
        <f>SUM(Z5)-SUM(Z18,Z22)</f>
        <v>18002.393824899715</v>
      </c>
      <c r="AA4" s="403">
        <f>SUM(AA5)-SUM(AA18,AA22)</f>
        <v>599.37966323244416</v>
      </c>
      <c r="AB4" s="248"/>
      <c r="AC4" s="248"/>
    </row>
    <row r="5" spans="1:29" ht="15.75" x14ac:dyDescent="0.25">
      <c r="A5" s="264"/>
      <c r="B5" s="265"/>
      <c r="C5" s="266" t="s">
        <v>375</v>
      </c>
      <c r="D5" s="267"/>
      <c r="E5" s="267"/>
      <c r="F5" s="90"/>
      <c r="G5" s="90"/>
      <c r="H5" s="268"/>
      <c r="I5" s="268"/>
      <c r="J5" s="268"/>
      <c r="K5" s="268"/>
      <c r="L5" s="821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0"/>
      <c r="Y5" s="94"/>
      <c r="Z5" s="400">
        <f>SUM(Z6:Z15)</f>
        <v>55100.771758680967</v>
      </c>
      <c r="AA5" s="273">
        <f>SUBTOTAL(1,AA6:AA15)</f>
        <v>785.57581480907788</v>
      </c>
      <c r="AB5" s="94"/>
      <c r="AC5" s="94"/>
    </row>
    <row r="6" spans="1:29" ht="15.75" x14ac:dyDescent="0.25">
      <c r="A6" s="33"/>
      <c r="B6" s="18"/>
      <c r="C6" s="21"/>
      <c r="F6" s="214"/>
      <c r="K6" s="214"/>
      <c r="L6" s="774"/>
      <c r="M6" s="774"/>
      <c r="N6" s="23"/>
      <c r="O6" s="23"/>
      <c r="Q6" s="32"/>
      <c r="R6" s="32"/>
      <c r="S6" s="765"/>
      <c r="T6" s="765"/>
      <c r="U6" s="765"/>
      <c r="V6" s="765"/>
      <c r="W6" s="765"/>
      <c r="X6" s="766"/>
      <c r="Y6" s="774"/>
      <c r="Z6" s="154"/>
      <c r="AA6" s="274"/>
    </row>
    <row r="7" spans="1:29" ht="15.75" x14ac:dyDescent="0.25">
      <c r="A7" s="33">
        <v>45073</v>
      </c>
      <c r="B7" s="18"/>
      <c r="C7" s="21"/>
      <c r="D7" t="s">
        <v>631</v>
      </c>
      <c r="F7" s="214">
        <f>Tabla13[[#This Row],[KG NETOS TOT]]/Tabla13[[#This Row],[KG/HA (REND)]]</f>
        <v>5.3239999999999998</v>
      </c>
      <c r="J7">
        <v>10648</v>
      </c>
      <c r="K7" s="214">
        <v>2000</v>
      </c>
      <c r="L7" s="774">
        <v>97329</v>
      </c>
      <c r="M7" s="774">
        <v>97.33</v>
      </c>
      <c r="N7" s="23">
        <f>Tabla13[[#This Row],[PRECIO UNITARIO USD/TN]]*Tabla13[[#This Row],[KG NETOS TOT]]</f>
        <v>1036369.84</v>
      </c>
      <c r="O7" s="23">
        <f>Tabla13[[#This Row],[SUBTOTAL]]*0.105</f>
        <v>108818.83319999999</v>
      </c>
      <c r="Q7" s="32">
        <f>SUM(Tabla13[[#This Row],[SUBTOTAL]:[IVA 21]])</f>
        <v>1145188.6732000001</v>
      </c>
      <c r="R7" s="32"/>
      <c r="S7" s="765"/>
      <c r="T7" s="765"/>
      <c r="U7" s="765"/>
      <c r="V7" s="765"/>
      <c r="W7" s="765"/>
      <c r="X7" s="766">
        <f>SUM(Tabla13[[#This Row],[TOTAL]])-SUM(Tabla13[[#This Row],[GASTOS ADM]:[IVA RG 2300/2007]])</f>
        <v>1145188.6732000001</v>
      </c>
      <c r="Y7" s="774">
        <v>234.75</v>
      </c>
      <c r="Z7" s="154">
        <f>Tabla13[[#This Row],[TOTAL A LIQUIDAR]]/Tabla13[[#This Row],[TIPO DE CAMBIO]]</f>
        <v>4878.3330061767838</v>
      </c>
      <c r="AA7" s="274">
        <f>Tabla13[[#This Row],[TOTAL USD]]/Tabla13[[#This Row],[HAS]]</f>
        <v>916.29094781682647</v>
      </c>
      <c r="AB7" t="s">
        <v>632</v>
      </c>
      <c r="AC7" t="s">
        <v>633</v>
      </c>
    </row>
    <row r="8" spans="1:29" ht="15.75" x14ac:dyDescent="0.25">
      <c r="A8" s="33">
        <v>45074</v>
      </c>
      <c r="B8" s="18"/>
      <c r="C8" s="21"/>
      <c r="D8" t="s">
        <v>631</v>
      </c>
      <c r="F8" s="214">
        <f>Tabla13[[#This Row],[KG NETOS TOT]]/Tabla13[[#This Row],[KG/HA (REND)]]</f>
        <v>8.2494999999999994</v>
      </c>
      <c r="J8">
        <v>16499</v>
      </c>
      <c r="K8" s="214">
        <v>2000</v>
      </c>
      <c r="L8" s="774">
        <v>97329</v>
      </c>
      <c r="M8" s="774">
        <v>97.33</v>
      </c>
      <c r="N8" s="23">
        <f>Tabla13[[#This Row],[PRECIO UNITARIO USD/TN]]*Tabla13[[#This Row],[KG NETOS TOT]]</f>
        <v>1605847.67</v>
      </c>
      <c r="O8" s="23">
        <f>Tabla13[[#This Row],[SUBTOTAL]]*0.105</f>
        <v>168614.00534999999</v>
      </c>
      <c r="Q8" s="32">
        <f>SUM(Tabla13[[#This Row],[SUBTOTAL]:[IVA 21]])</f>
        <v>1774461.6753499999</v>
      </c>
      <c r="R8" s="23"/>
      <c r="S8" s="783"/>
      <c r="T8" s="783"/>
      <c r="U8" s="783"/>
      <c r="V8" s="783"/>
      <c r="W8" s="783"/>
      <c r="X8" s="766">
        <f>SUM(Tabla13[[#This Row],[TOTAL]])-SUM(Tabla13[[#This Row],[GASTOS ADM]:[IVA RG 2300/2007]])</f>
        <v>1774461.6753499999</v>
      </c>
      <c r="Y8" s="774">
        <v>235.75</v>
      </c>
      <c r="Z8" s="154">
        <f>Tabla13[[#This Row],[TOTAL A LIQUIDAR]]/Tabla13[[#This Row],[TIPO DE CAMBIO]]</f>
        <v>7526.878792576882</v>
      </c>
      <c r="AA8" s="274">
        <f>Tabla13[[#This Row],[TOTAL USD]]/Tabla13[[#This Row],[HAS]]</f>
        <v>912.40424178154831</v>
      </c>
      <c r="AB8" t="s">
        <v>632</v>
      </c>
      <c r="AC8" t="s">
        <v>633</v>
      </c>
    </row>
    <row r="9" spans="1:29" ht="15.75" x14ac:dyDescent="0.25">
      <c r="A9" s="33">
        <v>45075</v>
      </c>
      <c r="B9" s="18"/>
      <c r="C9" s="21"/>
      <c r="D9" t="s">
        <v>631</v>
      </c>
      <c r="F9" s="214">
        <f>Tabla13[[#This Row],[KG NETOS TOT]]/Tabla13[[#This Row],[KG/HA (REND)]]</f>
        <v>3.9119999999999999</v>
      </c>
      <c r="J9">
        <v>7824</v>
      </c>
      <c r="K9" s="214">
        <v>2000</v>
      </c>
      <c r="L9" s="774">
        <v>97329</v>
      </c>
      <c r="M9" s="774">
        <v>97.33</v>
      </c>
      <c r="N9" s="23">
        <f>Tabla13[[#This Row],[PRECIO UNITARIO USD/TN]]*Tabla13[[#This Row],[KG NETOS TOT]]</f>
        <v>761509.92</v>
      </c>
      <c r="O9" s="23">
        <f>Tabla13[[#This Row],[SUBTOTAL]]*0.105</f>
        <v>79958.541599999997</v>
      </c>
      <c r="Q9" s="32">
        <f>SUM(Tabla13[[#This Row],[SUBTOTAL]:[IVA 21]])</f>
        <v>841468.46160000004</v>
      </c>
      <c r="R9" s="23"/>
      <c r="S9" s="783"/>
      <c r="T9" s="783"/>
      <c r="U9" s="783"/>
      <c r="V9" s="783"/>
      <c r="W9" s="783"/>
      <c r="X9" s="766">
        <f>SUM(Tabla13[[#This Row],[TOTAL]])-SUM(Tabla13[[#This Row],[GASTOS ADM]:[IVA RG 2300/2007]])</f>
        <v>841468.46160000004</v>
      </c>
      <c r="Y9" s="774">
        <v>234.75</v>
      </c>
      <c r="Z9" s="154">
        <f>Tabla13[[#This Row],[TOTAL A LIQUIDAR]]/Tabla13[[#This Row],[TIPO DE CAMBIO]]</f>
        <v>3584.530187859425</v>
      </c>
      <c r="AA9" s="274">
        <f>Tabla13[[#This Row],[TOTAL USD]]/Tabla13[[#This Row],[HAS]]</f>
        <v>916.29094781682647</v>
      </c>
      <c r="AB9" t="s">
        <v>634</v>
      </c>
      <c r="AC9" t="s">
        <v>633</v>
      </c>
    </row>
    <row r="10" spans="1:29" ht="15.75" x14ac:dyDescent="0.25">
      <c r="A10" s="33">
        <v>45075</v>
      </c>
      <c r="B10" s="18"/>
      <c r="C10" s="21"/>
      <c r="D10" t="s">
        <v>635</v>
      </c>
      <c r="F10" s="214">
        <f>Tabla13[[#This Row],[KG NETOS TOT]]/Tabla13[[#This Row],[KG/HA (REND)]]</f>
        <v>6.2264999999999997</v>
      </c>
      <c r="J10">
        <v>12453</v>
      </c>
      <c r="K10" s="214">
        <v>2000</v>
      </c>
      <c r="L10" s="774">
        <v>97329</v>
      </c>
      <c r="M10" s="774">
        <v>97.33</v>
      </c>
      <c r="N10" s="23">
        <f>Tabla13[[#This Row],[PRECIO UNITARIO USD/TN]]*Tabla13[[#This Row],[KG NETOS TOT]]</f>
        <v>1212050.49</v>
      </c>
      <c r="O10" s="23">
        <f>Tabla13[[#This Row],[SUBTOTAL]]*0.105</f>
        <v>127265.30145</v>
      </c>
      <c r="Q10" s="32">
        <f>SUM(Tabla13[[#This Row],[SUBTOTAL]:[IVA 21]])</f>
        <v>1339315.7914499999</v>
      </c>
      <c r="R10" s="23"/>
      <c r="S10" s="783"/>
      <c r="T10" s="783"/>
      <c r="U10" s="783"/>
      <c r="V10" s="783"/>
      <c r="W10" s="783"/>
      <c r="X10" s="766">
        <f>SUM(Tabla13[[#This Row],[TOTAL]])-SUM(Tabla13[[#This Row],[GASTOS ADM]:[IVA RG 2300/2007]])</f>
        <v>1339315.7914499999</v>
      </c>
      <c r="Y10" s="774">
        <v>235.75</v>
      </c>
      <c r="Z10" s="154">
        <f>Tabla13[[#This Row],[TOTAL A LIQUIDAR]]/Tabla13[[#This Row],[TIPO DE CAMBIO]]</f>
        <v>5681.0850114528093</v>
      </c>
      <c r="AA10" s="274">
        <f>Tabla13[[#This Row],[TOTAL USD]]/Tabla13[[#This Row],[HAS]]</f>
        <v>912.40424178154819</v>
      </c>
      <c r="AB10" t="s">
        <v>636</v>
      </c>
      <c r="AC10" t="s">
        <v>633</v>
      </c>
    </row>
    <row r="11" spans="1:29" ht="15.75" x14ac:dyDescent="0.25">
      <c r="A11" s="33">
        <v>45076</v>
      </c>
      <c r="B11" s="18"/>
      <c r="C11" s="21"/>
      <c r="D11" t="s">
        <v>637</v>
      </c>
      <c r="F11" s="214">
        <f>Tabla13[[#This Row],[KG NETOS TOT]]/Tabla13[[#This Row],[KG/HA (REND)]]</f>
        <v>31.439</v>
      </c>
      <c r="J11">
        <v>62878</v>
      </c>
      <c r="K11" s="214">
        <v>2000</v>
      </c>
      <c r="L11" s="774">
        <v>100000</v>
      </c>
      <c r="M11" s="774">
        <v>100</v>
      </c>
      <c r="N11" s="23">
        <f>Tabla13[[#This Row],[PRECIO UNITARIO USD/TN]]*Tabla13[[#This Row],[KG NETOS TOT]]</f>
        <v>6287800</v>
      </c>
      <c r="O11" s="23">
        <f>Tabla13[[#This Row],[SUBTOTAL]]*0.105</f>
        <v>660219</v>
      </c>
      <c r="Q11" s="32">
        <f>SUM(Tabla13[[#This Row],[SUBTOTAL]:[IVA 21]])</f>
        <v>6948019</v>
      </c>
      <c r="R11" s="23"/>
      <c r="S11" s="783">
        <v>226675.19</v>
      </c>
      <c r="T11" s="783"/>
      <c r="U11" s="783">
        <v>435744.54</v>
      </c>
      <c r="V11" s="783"/>
      <c r="W11" s="783">
        <v>217872.27</v>
      </c>
      <c r="X11" s="766">
        <f>SUM(Tabla13[[#This Row],[TOTAL]])-SUM(Tabla13[[#This Row],[GASTOS ADM]:[IVA RG 2300/2007]])</f>
        <v>6067727</v>
      </c>
      <c r="Y11" s="774">
        <v>237</v>
      </c>
      <c r="Z11" s="154">
        <f>Tabla13[[#This Row],[TOTAL A LIQUIDAR]]/Tabla13[[#This Row],[TIPO DE CAMBIO]]</f>
        <v>25602.223628691983</v>
      </c>
      <c r="AA11" s="274">
        <f>Tabla13[[#This Row],[TOTAL USD]]/Tabla13[[#This Row],[HAS]]</f>
        <v>814.34599156118145</v>
      </c>
      <c r="AC11" t="s">
        <v>638</v>
      </c>
    </row>
    <row r="12" spans="1:29" ht="15.75" x14ac:dyDescent="0.25">
      <c r="A12" s="33">
        <v>45114</v>
      </c>
      <c r="B12" s="18"/>
      <c r="C12" s="21"/>
      <c r="D12" t="s">
        <v>375</v>
      </c>
      <c r="F12" s="214">
        <f>Tabla13[[#This Row],[KG NETOS TOT]]/Tabla13[[#This Row],[KG/HA (REND)]]</f>
        <v>4.0895000000000001</v>
      </c>
      <c r="J12">
        <v>8179</v>
      </c>
      <c r="K12" s="214">
        <v>2000</v>
      </c>
      <c r="L12" s="774">
        <v>87588</v>
      </c>
      <c r="M12" s="774">
        <v>63</v>
      </c>
      <c r="N12" s="23">
        <f>Tabla13[[#This Row],[PRECIO UNITARIO USD/TN]]*Tabla13[[#This Row],[KG NETOS TOT]]</f>
        <v>515277</v>
      </c>
      <c r="O12" s="23">
        <f>Tabla13[[#This Row],[SUBTOTAL]]*0.105</f>
        <v>54104.084999999999</v>
      </c>
      <c r="Q12" s="32">
        <f>SUM(Tabla13[[#This Row],[SUBTOTAL]:[IVA 21]])</f>
        <v>569381.08499999996</v>
      </c>
      <c r="R12" s="23">
        <v>586.04</v>
      </c>
      <c r="S12" s="783"/>
      <c r="T12" s="783"/>
      <c r="U12" s="783"/>
      <c r="V12" s="783"/>
      <c r="W12" s="783">
        <v>54103.56</v>
      </c>
      <c r="X12" s="766">
        <f>SUM(Tabla13[[#This Row],[TOTAL]])-SUM(Tabla13[[#This Row],[GASTOS ADM]:[IVA RG 2300/2007]])</f>
        <v>514691.48499999999</v>
      </c>
      <c r="Y12" s="774">
        <v>260</v>
      </c>
      <c r="Z12" s="154">
        <f>Tabla13[[#This Row],[TOTAL A LIQUIDAR]]/Tabla13[[#This Row],[TIPO DE CAMBIO]]</f>
        <v>1979.5826346153844</v>
      </c>
      <c r="AA12" s="274">
        <f>Tabla13[[#This Row],[TOTAL USD]]/Tabla13[[#This Row],[HAS]]</f>
        <v>484.06471075079702</v>
      </c>
      <c r="AC12" t="s">
        <v>639</v>
      </c>
    </row>
    <row r="13" spans="1:29" x14ac:dyDescent="0.25">
      <c r="A13" s="33">
        <v>45114</v>
      </c>
      <c r="B13" s="1"/>
      <c r="C13" s="24"/>
      <c r="D13" t="s">
        <v>375</v>
      </c>
      <c r="F13" s="214">
        <f>Tabla13[[#This Row],[KG NETOS TOT]]/Tabla13[[#This Row],[KG/HA (REND)]]</f>
        <v>10.765499999999999</v>
      </c>
      <c r="G13" s="11"/>
      <c r="J13">
        <v>21531</v>
      </c>
      <c r="K13" s="214">
        <v>2000</v>
      </c>
      <c r="L13" s="765">
        <v>87588.486000000004</v>
      </c>
      <c r="M13" s="765">
        <v>70.86</v>
      </c>
      <c r="N13" s="23">
        <f>Tabla13[[#This Row],[PRECIO UNITARIO USD/TN]]*Tabla13[[#This Row],[KG NETOS TOT]]</f>
        <v>1525686.66</v>
      </c>
      <c r="O13" s="23">
        <f>Tabla13[[#This Row],[SUBTOTAL]]*0.105</f>
        <v>160197.09929999997</v>
      </c>
      <c r="Q13" s="32">
        <f>SUM(Tabla13[[#This Row],[SUBTOTAL]:[IVA 21]])</f>
        <v>1685883.7592999998</v>
      </c>
      <c r="R13" s="23">
        <v>5167.6499999999996</v>
      </c>
      <c r="S13" s="783"/>
      <c r="T13" s="783"/>
      <c r="U13" s="783"/>
      <c r="V13" s="783"/>
      <c r="W13" s="783">
        <v>160200.1</v>
      </c>
      <c r="X13" s="766">
        <f>SUM(Tabla13[[#This Row],[TOTAL]])-SUM(Tabla13[[#This Row],[GASTOS ADM]:[IVA RG 2300/2007]])</f>
        <v>1520516.0092999998</v>
      </c>
      <c r="Y13" s="774">
        <v>260</v>
      </c>
      <c r="Z13" s="154">
        <f>Tabla13[[#This Row],[TOTAL A LIQUIDAR]]/Tabla13[[#This Row],[TIPO DE CAMBIO]]</f>
        <v>5848.138497307692</v>
      </c>
      <c r="AA13" s="274">
        <f>Tabla13[[#This Row],[TOTAL USD]]/Tabla13[[#This Row],[HAS]]</f>
        <v>543.22962215481789</v>
      </c>
      <c r="AC13" t="s">
        <v>639</v>
      </c>
    </row>
    <row r="14" spans="1:29" x14ac:dyDescent="0.25">
      <c r="A14" s="33"/>
      <c r="B14" s="1"/>
      <c r="C14" s="24"/>
      <c r="F14" s="598"/>
      <c r="G14" s="11"/>
      <c r="J14" s="1"/>
      <c r="K14" s="261"/>
      <c r="L14" s="765"/>
      <c r="M14" s="765"/>
      <c r="N14" s="23"/>
      <c r="O14" s="23"/>
      <c r="Q14" s="32"/>
      <c r="R14" s="32"/>
      <c r="S14" s="765"/>
      <c r="T14" s="765"/>
      <c r="U14" s="765"/>
      <c r="V14" s="765"/>
      <c r="W14" s="765"/>
      <c r="X14" s="766"/>
      <c r="Y14" s="765"/>
      <c r="Z14" s="154"/>
      <c r="AA14" s="274"/>
    </row>
    <row r="15" spans="1:29" ht="15.75" x14ac:dyDescent="0.25">
      <c r="A15" s="33"/>
      <c r="B15" s="18"/>
      <c r="C15" s="21"/>
      <c r="F15" s="214"/>
      <c r="J15" s="1"/>
      <c r="K15" s="261"/>
      <c r="L15" s="765"/>
      <c r="M15" s="765"/>
      <c r="N15" s="23"/>
      <c r="O15" s="23"/>
      <c r="Q15" s="32"/>
      <c r="R15" s="32"/>
      <c r="S15" s="765"/>
      <c r="T15" s="23"/>
      <c r="U15" s="765"/>
      <c r="V15" s="765"/>
      <c r="W15" s="765"/>
      <c r="X15" s="32"/>
      <c r="Y15" s="765"/>
      <c r="Z15" s="154"/>
      <c r="AA15" s="274"/>
    </row>
    <row r="16" spans="1:29" ht="15.75" x14ac:dyDescent="0.25">
      <c r="A16" s="33"/>
      <c r="B16" s="18"/>
      <c r="C16" s="21"/>
      <c r="F16" s="214"/>
      <c r="J16" s="1"/>
      <c r="K16" s="261"/>
      <c r="L16" s="765"/>
      <c r="M16" s="765"/>
      <c r="N16" s="23"/>
      <c r="O16" s="23"/>
      <c r="P16" s="23"/>
      <c r="Q16" s="23"/>
      <c r="R16" s="23"/>
      <c r="S16" s="765"/>
      <c r="T16" s="23"/>
      <c r="U16" s="765"/>
      <c r="V16" s="765"/>
      <c r="W16" s="765"/>
      <c r="X16" s="32"/>
      <c r="Y16" s="23"/>
      <c r="Z16" s="154"/>
      <c r="AA16" s="274"/>
    </row>
    <row r="17" spans="1:29" ht="15.75" x14ac:dyDescent="0.25">
      <c r="A17" s="33"/>
      <c r="B17" s="18"/>
      <c r="C17" s="21"/>
      <c r="F17" s="214"/>
      <c r="J17" s="1"/>
      <c r="K17" s="261"/>
      <c r="L17" s="765"/>
      <c r="M17" s="765"/>
      <c r="N17" s="23"/>
      <c r="O17" s="23"/>
      <c r="Q17" s="23"/>
      <c r="R17" s="23"/>
      <c r="S17" s="765"/>
      <c r="T17" s="23"/>
      <c r="U17" s="765"/>
      <c r="V17" s="765"/>
      <c r="W17" s="765"/>
      <c r="X17" s="32"/>
      <c r="Y17" s="23"/>
      <c r="Z17" s="154"/>
      <c r="AA17" s="274"/>
    </row>
    <row r="18" spans="1:29" ht="15.75" x14ac:dyDescent="0.25">
      <c r="A18" s="260"/>
      <c r="B18" s="258"/>
      <c r="C18" s="90" t="s">
        <v>382</v>
      </c>
      <c r="D18" s="213"/>
      <c r="E18" s="213"/>
      <c r="F18" s="90"/>
      <c r="G18" s="90"/>
      <c r="H18" s="90"/>
      <c r="I18" s="90"/>
      <c r="J18" s="90"/>
      <c r="K18" s="90"/>
      <c r="L18" s="798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0"/>
      <c r="Y18" s="94"/>
      <c r="Z18" s="400">
        <f>SUM(Z19:Z21)</f>
        <v>4886.1386138613861</v>
      </c>
      <c r="AA18" s="273">
        <f>SUM(AA19:AA21)</f>
        <v>23.719119484764011</v>
      </c>
      <c r="AB18" s="94"/>
      <c r="AC18" s="94"/>
    </row>
    <row r="19" spans="1:29" ht="15.75" x14ac:dyDescent="0.25">
      <c r="A19" s="634"/>
      <c r="B19" s="635"/>
      <c r="C19" s="636"/>
      <c r="D19" s="631" t="s">
        <v>383</v>
      </c>
      <c r="E19" s="631"/>
      <c r="F19" s="631">
        <v>206</v>
      </c>
      <c r="G19" s="631"/>
      <c r="H19" s="631"/>
      <c r="I19" s="631"/>
      <c r="J19" s="631"/>
      <c r="K19" s="631"/>
      <c r="L19" s="791"/>
      <c r="M19" s="631"/>
      <c r="N19" s="631"/>
      <c r="O19" s="631"/>
      <c r="P19" s="631"/>
      <c r="Q19" s="631"/>
      <c r="R19" s="631"/>
      <c r="S19" s="631"/>
      <c r="T19" s="631"/>
      <c r="U19" s="631"/>
      <c r="V19" s="631"/>
      <c r="W19" s="631"/>
      <c r="X19" s="820">
        <f>1974000/2</f>
        <v>987000</v>
      </c>
      <c r="Y19" s="819">
        <v>202</v>
      </c>
      <c r="Z19" s="632">
        <f>Tabla13[[#This Row],[TOTAL A LIQUIDAR]]/Tabla13[[#This Row],[TIPO DE CAMBIO]]</f>
        <v>4886.1386138613861</v>
      </c>
      <c r="AA19" s="633">
        <f>Tabla13[[#This Row],[TOTAL USD]]/Tabla13[[#This Row],[HAS]]</f>
        <v>23.719119484764011</v>
      </c>
      <c r="AB19" s="631"/>
      <c r="AC19" s="631" t="s">
        <v>72</v>
      </c>
    </row>
    <row r="20" spans="1:29" ht="15.75" x14ac:dyDescent="0.25">
      <c r="A20" s="33"/>
      <c r="B20" s="18"/>
      <c r="C20" s="21"/>
      <c r="D20" t="s">
        <v>384</v>
      </c>
      <c r="L20" s="767"/>
      <c r="X20" s="1"/>
      <c r="Y20" s="802"/>
      <c r="AA20" s="274"/>
    </row>
    <row r="21" spans="1:29" ht="15.75" x14ac:dyDescent="0.25">
      <c r="A21" s="33"/>
      <c r="B21" s="18"/>
      <c r="C21" s="21"/>
      <c r="D21" t="s">
        <v>60</v>
      </c>
      <c r="L21" s="767"/>
      <c r="N21" s="802"/>
      <c r="Q21" s="802"/>
      <c r="R21" s="802"/>
      <c r="X21" s="801"/>
      <c r="Y21" s="802"/>
      <c r="Z21" s="154"/>
      <c r="AA21" s="275"/>
      <c r="AC21" t="s">
        <v>385</v>
      </c>
    </row>
    <row r="22" spans="1:29" ht="15.75" x14ac:dyDescent="0.25">
      <c r="A22" s="260"/>
      <c r="B22" s="258"/>
      <c r="C22" s="90" t="s">
        <v>318</v>
      </c>
      <c r="D22" s="213"/>
      <c r="E22" s="213"/>
      <c r="F22" s="90"/>
      <c r="G22" s="90"/>
      <c r="H22" s="90"/>
      <c r="I22" s="90"/>
      <c r="J22" s="90"/>
      <c r="K22" s="90"/>
      <c r="L22" s="798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0"/>
      <c r="Y22" s="94"/>
      <c r="Z22" s="400">
        <f>SUM(Z23:Z59)</f>
        <v>32212.239319919863</v>
      </c>
      <c r="AA22" s="273">
        <f>SUM(AA23:AA59)</f>
        <v>162.47703209186969</v>
      </c>
      <c r="AB22" s="94"/>
      <c r="AC22" s="94"/>
    </row>
    <row r="23" spans="1:29" ht="15.75" x14ac:dyDescent="0.25">
      <c r="A23" s="33"/>
      <c r="B23" s="218"/>
      <c r="C23" s="24" t="s">
        <v>103</v>
      </c>
      <c r="D23" s="20"/>
      <c r="E23" s="20"/>
      <c r="F23" s="1"/>
      <c r="G23" s="1"/>
      <c r="H23" s="1"/>
      <c r="I23" s="1"/>
      <c r="J23" s="1"/>
      <c r="K23" s="1"/>
      <c r="L23" s="788"/>
      <c r="X23" s="1"/>
      <c r="Z23" s="154"/>
      <c r="AA23" s="810"/>
    </row>
    <row r="24" spans="1:29" x14ac:dyDescent="0.25">
      <c r="A24" s="622">
        <v>44851</v>
      </c>
      <c r="B24" s="623"/>
      <c r="C24" s="615"/>
      <c r="D24" s="617" t="s">
        <v>640</v>
      </c>
      <c r="E24" s="617"/>
      <c r="F24" s="617">
        <v>206</v>
      </c>
      <c r="G24" s="627"/>
      <c r="H24" s="628"/>
      <c r="I24" s="628"/>
      <c r="J24" s="617">
        <v>7800</v>
      </c>
      <c r="K24" s="617"/>
      <c r="L24" s="780"/>
      <c r="M24" s="818">
        <v>0.97</v>
      </c>
      <c r="N24" s="620">
        <f>Tabla13[[#This Row],[PRECIO UNITARIO USD/TN]]*Tabla13[[#This Row],[KG NETOS TOT]]*Tabla13[[#This Row],[TIPO DE CAMBIO]]</f>
        <v>1142466</v>
      </c>
      <c r="O24" s="617"/>
      <c r="P24" s="780">
        <f>Tabla13[[#This Row],[SUBTOTAL]]*0.21</f>
        <v>239917.86</v>
      </c>
      <c r="Q24" s="780">
        <f>SUM(Tabla13[[#This Row],[SUBTOTAL]:[IVA 21]])</f>
        <v>1382383.8599999999</v>
      </c>
      <c r="R24" s="780"/>
      <c r="S24" s="617"/>
      <c r="T24" s="617"/>
      <c r="U24" s="617"/>
      <c r="V24" s="617"/>
      <c r="W24" s="617"/>
      <c r="X24" s="781">
        <f>SUM(Tabla13[[#This Row],[TOTAL]:[IVA RG 2300/2007]])</f>
        <v>1382383.8599999999</v>
      </c>
      <c r="Y24" s="817">
        <v>151</v>
      </c>
      <c r="Z24" s="620">
        <f>Tabla13[[#This Row],[TOTAL A LIQUIDAR]]/Tabla13[[#This Row],[TIPO DE CAMBIO]]</f>
        <v>9154.8599999999988</v>
      </c>
      <c r="AA24" s="816">
        <f>Tabla13[[#This Row],[TOTAL USD]]/Tabla13[[#This Row],[HAS]]</f>
        <v>44.441067961165039</v>
      </c>
      <c r="AB24" s="617" t="s">
        <v>641</v>
      </c>
      <c r="AC24" s="617" t="s">
        <v>642</v>
      </c>
    </row>
    <row r="25" spans="1:29" ht="15.75" x14ac:dyDescent="0.25">
      <c r="A25" s="33"/>
      <c r="B25" s="218"/>
      <c r="C25" s="24" t="s">
        <v>56</v>
      </c>
      <c r="D25" s="20"/>
      <c r="E25" s="20"/>
      <c r="F25" s="242"/>
      <c r="G25" s="242"/>
      <c r="H25" s="1"/>
      <c r="I25" s="1"/>
      <c r="L25" s="783"/>
      <c r="X25" s="801"/>
      <c r="Z25" s="154"/>
      <c r="AA25" s="810"/>
    </row>
    <row r="26" spans="1:29" x14ac:dyDescent="0.25">
      <c r="A26" s="33">
        <v>45289</v>
      </c>
      <c r="B26" s="218"/>
      <c r="C26" s="24"/>
      <c r="D26" t="s">
        <v>387</v>
      </c>
      <c r="F26">
        <v>206</v>
      </c>
      <c r="H26" s="1"/>
      <c r="I26" s="1"/>
      <c r="L26" s="785"/>
      <c r="M26" s="785">
        <v>2131.8000000000002</v>
      </c>
      <c r="N26" s="785">
        <f>Tabla13[[#This Row],[PRECIO UNITARIO USD/TN]]*Tabla13[[#This Row],[HAS]]</f>
        <v>439150.80000000005</v>
      </c>
      <c r="O26" s="23"/>
      <c r="P26" s="23">
        <f>Tabla13[[#This Row],[SUBTOTAL]]*0.21</f>
        <v>92221.668000000005</v>
      </c>
      <c r="Q26" s="785">
        <f>SUM(Tabla13[[#This Row],[SUBTOTAL]:[IVA 21]])</f>
        <v>531372.46800000011</v>
      </c>
      <c r="R26" s="785"/>
      <c r="X26" s="811">
        <f>SUM(Tabla13[[#This Row],[TOTAL]:[IVA RG 2300/2007]])</f>
        <v>531372.46800000011</v>
      </c>
      <c r="Y26" s="765">
        <v>202</v>
      </c>
      <c r="Z26" s="154">
        <f>Tabla13[[#This Row],[TOTAL A LIQUIDAR]]/Tabla13[[#This Row],[TIPO DE CAMBIO]]</f>
        <v>2630.5567722772284</v>
      </c>
      <c r="AA26" s="810">
        <f>Tabla13[[#This Row],[TOTAL USD]]/Tabla13[[#This Row],[HAS]]</f>
        <v>12.769693069306934</v>
      </c>
      <c r="AC26" t="s">
        <v>643</v>
      </c>
    </row>
    <row r="27" spans="1:29" ht="15.75" x14ac:dyDescent="0.25">
      <c r="A27" s="33"/>
      <c r="B27" s="218"/>
      <c r="C27" s="24" t="s">
        <v>52</v>
      </c>
      <c r="D27" s="20"/>
      <c r="E27" s="20"/>
      <c r="F27" s="1"/>
      <c r="G27" s="1"/>
      <c r="H27" s="1"/>
      <c r="I27" s="1"/>
      <c r="J27" s="1"/>
      <c r="K27" s="1"/>
      <c r="L27" s="788"/>
      <c r="X27" s="775"/>
      <c r="Z27" s="154"/>
      <c r="AA27" s="810"/>
    </row>
    <row r="28" spans="1:29" ht="15.75" x14ac:dyDescent="0.25">
      <c r="A28" s="33"/>
      <c r="B28" s="218"/>
      <c r="C28" s="10" t="s">
        <v>405</v>
      </c>
      <c r="D28" s="21" t="s">
        <v>644</v>
      </c>
      <c r="H28" s="1"/>
      <c r="I28" s="1"/>
      <c r="K28" s="214"/>
      <c r="L28" s="765"/>
      <c r="M28" s="812"/>
      <c r="N28" s="23"/>
      <c r="P28" s="23"/>
      <c r="Q28" s="23"/>
      <c r="R28" s="23"/>
      <c r="X28" s="811"/>
      <c r="Y28" s="765"/>
      <c r="Z28" s="154"/>
      <c r="AA28" s="810"/>
    </row>
    <row r="29" spans="1:29" ht="15.75" x14ac:dyDescent="0.25">
      <c r="A29" s="33"/>
      <c r="B29" s="218"/>
      <c r="C29" s="10" t="s">
        <v>405</v>
      </c>
      <c r="D29" s="21" t="s">
        <v>406</v>
      </c>
      <c r="H29" s="1"/>
      <c r="I29" s="1"/>
      <c r="K29" s="214"/>
      <c r="L29" s="765"/>
      <c r="M29" s="812"/>
      <c r="N29" s="23"/>
      <c r="P29" s="23"/>
      <c r="Q29" s="23"/>
      <c r="R29" s="23"/>
      <c r="X29" s="811"/>
      <c r="Y29" s="765"/>
      <c r="Z29" s="154"/>
      <c r="AA29" s="810"/>
    </row>
    <row r="30" spans="1:29" ht="15.75" x14ac:dyDescent="0.25">
      <c r="A30" s="168"/>
      <c r="B30" s="218"/>
      <c r="C30" s="10" t="s">
        <v>389</v>
      </c>
      <c r="D30" s="21" t="s">
        <v>645</v>
      </c>
      <c r="H30" s="1"/>
      <c r="I30" s="1"/>
      <c r="K30" s="214"/>
      <c r="L30" s="765"/>
      <c r="M30" s="812"/>
      <c r="N30" s="23"/>
      <c r="P30" s="23"/>
      <c r="Q30" s="23"/>
      <c r="R30" s="23"/>
      <c r="X30" s="811"/>
      <c r="Y30" s="765"/>
      <c r="Z30" s="154"/>
      <c r="AA30" s="810"/>
    </row>
    <row r="31" spans="1:29" ht="15.75" x14ac:dyDescent="0.25">
      <c r="A31" s="168"/>
      <c r="B31" s="218"/>
      <c r="C31" s="10" t="s">
        <v>604</v>
      </c>
      <c r="D31" s="21" t="s">
        <v>646</v>
      </c>
      <c r="H31" s="1"/>
      <c r="I31" s="1"/>
      <c r="K31" s="214"/>
      <c r="L31" s="765"/>
      <c r="M31" s="812"/>
      <c r="N31" s="23"/>
      <c r="P31" s="23"/>
      <c r="Q31" s="23"/>
      <c r="R31" s="23"/>
      <c r="X31" s="811"/>
      <c r="Y31" s="765"/>
      <c r="Z31" s="154"/>
      <c r="AA31" s="810"/>
    </row>
    <row r="32" spans="1:29" ht="15.75" x14ac:dyDescent="0.25">
      <c r="A32" s="168"/>
      <c r="B32" s="218"/>
      <c r="C32" s="10" t="s">
        <v>604</v>
      </c>
      <c r="D32" s="21" t="s">
        <v>647</v>
      </c>
      <c r="H32" s="1"/>
      <c r="I32" s="1"/>
      <c r="K32" s="214"/>
      <c r="L32" s="765"/>
      <c r="M32" s="812"/>
      <c r="N32" s="23"/>
      <c r="P32" s="23"/>
      <c r="Q32" s="23"/>
      <c r="R32" s="23"/>
      <c r="X32" s="811"/>
      <c r="Y32" s="765"/>
      <c r="Z32" s="154"/>
      <c r="AA32" s="810"/>
    </row>
    <row r="33" spans="1:29" ht="15.75" x14ac:dyDescent="0.25">
      <c r="A33" s="168"/>
      <c r="B33" s="218"/>
      <c r="C33" s="10" t="s">
        <v>604</v>
      </c>
      <c r="D33" s="21" t="s">
        <v>648</v>
      </c>
      <c r="H33" s="1"/>
      <c r="I33" s="1"/>
      <c r="K33" s="214"/>
      <c r="L33" s="765"/>
      <c r="M33" s="812"/>
      <c r="N33" s="23"/>
      <c r="P33" s="23"/>
      <c r="Q33" s="23"/>
      <c r="R33" s="23"/>
      <c r="X33" s="811"/>
      <c r="Y33" s="765"/>
      <c r="Z33" s="154"/>
      <c r="AA33" s="810"/>
    </row>
    <row r="34" spans="1:29" ht="15.75" x14ac:dyDescent="0.25">
      <c r="A34" s="168"/>
      <c r="B34" s="218"/>
      <c r="C34" s="10" t="s">
        <v>604</v>
      </c>
      <c r="D34" s="21" t="s">
        <v>649</v>
      </c>
      <c r="H34" s="1"/>
      <c r="I34" s="1"/>
      <c r="K34" s="214"/>
      <c r="L34" s="765"/>
      <c r="M34" s="812"/>
      <c r="N34" s="23"/>
      <c r="P34" s="23"/>
      <c r="Q34" s="23"/>
      <c r="R34" s="23"/>
      <c r="X34" s="811"/>
      <c r="Y34" s="765"/>
      <c r="Z34" s="154"/>
      <c r="AA34" s="810"/>
    </row>
    <row r="35" spans="1:29" ht="15.75" x14ac:dyDescent="0.25">
      <c r="A35" s="168"/>
      <c r="B35" s="218"/>
      <c r="C35" s="10" t="s">
        <v>604</v>
      </c>
      <c r="D35" s="21" t="s">
        <v>650</v>
      </c>
      <c r="H35" s="1"/>
      <c r="I35" s="1"/>
      <c r="K35" s="214"/>
      <c r="L35" s="765"/>
      <c r="M35" s="812"/>
      <c r="N35" s="23"/>
      <c r="P35" s="23"/>
      <c r="Q35" s="23"/>
      <c r="R35" s="23"/>
      <c r="X35" s="811"/>
      <c r="Y35" s="765"/>
      <c r="Z35" s="154"/>
      <c r="AA35" s="810"/>
    </row>
    <row r="36" spans="1:29" ht="15.75" x14ac:dyDescent="0.25">
      <c r="A36" s="168"/>
      <c r="B36" s="218"/>
      <c r="C36" s="10" t="s">
        <v>604</v>
      </c>
      <c r="D36" s="21" t="s">
        <v>651</v>
      </c>
      <c r="H36" s="1"/>
      <c r="I36" s="1"/>
      <c r="K36" s="214"/>
      <c r="L36" s="765"/>
      <c r="M36" s="812"/>
      <c r="N36" s="23"/>
      <c r="P36" s="23"/>
      <c r="Q36" s="23"/>
      <c r="R36" s="23"/>
      <c r="X36" s="811"/>
      <c r="Y36" s="765"/>
      <c r="Z36" s="154"/>
      <c r="AA36" s="810"/>
    </row>
    <row r="37" spans="1:29" ht="15.75" x14ac:dyDescent="0.25">
      <c r="A37" s="413"/>
      <c r="B37" s="414"/>
      <c r="C37" s="415" t="s">
        <v>604</v>
      </c>
      <c r="D37" s="39" t="s">
        <v>652</v>
      </c>
      <c r="E37" s="38"/>
      <c r="F37" s="38"/>
      <c r="G37" s="38"/>
      <c r="H37" s="41"/>
      <c r="I37" s="41"/>
      <c r="J37" s="38"/>
      <c r="K37" s="416"/>
      <c r="L37" s="813"/>
      <c r="M37" s="815"/>
      <c r="N37" s="23"/>
      <c r="O37" s="38"/>
      <c r="P37" s="23"/>
      <c r="Q37" s="23"/>
      <c r="R37" s="23"/>
      <c r="S37" s="38"/>
      <c r="T37" s="38"/>
      <c r="U37" s="38"/>
      <c r="V37" s="38"/>
      <c r="W37" s="38"/>
      <c r="X37" s="814"/>
      <c r="Y37" s="813"/>
      <c r="Z37" s="417"/>
      <c r="AA37" s="799"/>
      <c r="AB37" s="38"/>
      <c r="AC37" s="38"/>
    </row>
    <row r="38" spans="1:29" ht="15.75" x14ac:dyDescent="0.25">
      <c r="A38" s="168"/>
      <c r="B38" s="218"/>
      <c r="C38" s="10" t="s">
        <v>604</v>
      </c>
      <c r="D38" s="21" t="s">
        <v>399</v>
      </c>
      <c r="H38" s="1"/>
      <c r="I38" s="1"/>
      <c r="K38" s="214"/>
      <c r="L38" s="765"/>
      <c r="M38" s="812"/>
      <c r="N38" s="23"/>
      <c r="P38" s="23"/>
      <c r="Q38" s="23"/>
      <c r="R38" s="23"/>
      <c r="X38" s="811"/>
      <c r="Y38" s="765"/>
      <c r="Z38" s="154"/>
      <c r="AA38" s="810"/>
    </row>
    <row r="39" spans="1:29" ht="15.75" x14ac:dyDescent="0.25">
      <c r="A39" s="168"/>
      <c r="B39" s="218"/>
      <c r="C39" s="24" t="s">
        <v>604</v>
      </c>
      <c r="D39" s="21" t="s">
        <v>485</v>
      </c>
      <c r="F39" s="11"/>
      <c r="G39" s="11"/>
      <c r="H39" s="1"/>
      <c r="I39" s="1"/>
      <c r="K39" s="214"/>
      <c r="L39" s="4"/>
      <c r="M39" s="812"/>
      <c r="N39" s="23"/>
      <c r="P39" s="23"/>
      <c r="Q39" s="23"/>
      <c r="R39" s="23"/>
      <c r="X39" s="811"/>
      <c r="Y39" s="765"/>
      <c r="Z39" s="154"/>
      <c r="AA39" s="810"/>
    </row>
    <row r="40" spans="1:29" ht="15.75" x14ac:dyDescent="0.25">
      <c r="A40" s="168"/>
      <c r="B40" s="218"/>
      <c r="C40" s="10" t="s">
        <v>403</v>
      </c>
      <c r="D40" s="21" t="s">
        <v>653</v>
      </c>
      <c r="H40" s="1"/>
      <c r="I40" s="1"/>
      <c r="K40" s="214"/>
      <c r="L40" s="765"/>
      <c r="M40" s="812"/>
      <c r="N40" s="23"/>
      <c r="P40" s="23"/>
      <c r="Q40" s="23"/>
      <c r="R40" s="23"/>
      <c r="X40" s="811"/>
      <c r="Y40" s="765"/>
      <c r="Z40" s="154"/>
      <c r="AA40" s="810"/>
    </row>
    <row r="41" spans="1:29" ht="15.75" x14ac:dyDescent="0.25">
      <c r="A41" s="168"/>
      <c r="B41" s="218"/>
      <c r="C41" s="10"/>
      <c r="D41" s="21" t="s">
        <v>654</v>
      </c>
      <c r="G41" s="1"/>
      <c r="H41" s="1"/>
      <c r="I41" s="1"/>
      <c r="K41" s="214"/>
      <c r="L41" s="765"/>
      <c r="M41" s="812"/>
      <c r="N41" s="23"/>
      <c r="P41" s="23"/>
      <c r="Q41" s="23"/>
      <c r="R41" s="23"/>
      <c r="X41" s="811"/>
      <c r="Y41" s="765"/>
      <c r="Z41" s="154"/>
      <c r="AA41" s="810"/>
    </row>
    <row r="42" spans="1:29" ht="15.75" x14ac:dyDescent="0.25">
      <c r="A42" s="168"/>
      <c r="B42" s="218"/>
      <c r="C42" s="10"/>
      <c r="D42" s="21" t="s">
        <v>655</v>
      </c>
      <c r="G42" s="1"/>
      <c r="H42" s="1"/>
      <c r="I42" s="1"/>
      <c r="K42" s="214"/>
      <c r="L42" s="765"/>
      <c r="M42" s="812"/>
      <c r="N42" s="23"/>
      <c r="P42" s="23"/>
      <c r="Q42" s="23"/>
      <c r="R42" s="23"/>
      <c r="X42" s="811"/>
      <c r="Y42" s="765"/>
      <c r="Z42" s="154"/>
      <c r="AA42" s="810"/>
    </row>
    <row r="43" spans="1:29" ht="15.75" x14ac:dyDescent="0.25">
      <c r="A43" s="168"/>
      <c r="B43" s="218"/>
      <c r="C43" s="10"/>
      <c r="D43" s="21" t="s">
        <v>487</v>
      </c>
      <c r="G43" s="1"/>
      <c r="H43" s="1"/>
      <c r="I43" s="1"/>
      <c r="K43" s="214"/>
      <c r="L43" s="765"/>
      <c r="M43" s="812"/>
      <c r="N43" s="23"/>
      <c r="P43" s="23"/>
      <c r="Q43" s="23"/>
      <c r="R43" s="23"/>
      <c r="X43" s="811"/>
      <c r="Y43" s="765"/>
      <c r="Z43" s="154"/>
      <c r="AA43" s="810"/>
    </row>
    <row r="44" spans="1:29" ht="15.75" x14ac:dyDescent="0.25">
      <c r="A44" s="168"/>
      <c r="B44" s="218"/>
      <c r="C44" s="10"/>
      <c r="D44" s="21" t="s">
        <v>656</v>
      </c>
      <c r="G44" s="1"/>
      <c r="H44" s="1"/>
      <c r="I44" s="1"/>
      <c r="K44" s="214"/>
      <c r="L44" s="765"/>
      <c r="M44" s="812"/>
      <c r="N44" s="23"/>
      <c r="P44" s="23"/>
      <c r="Q44" s="23"/>
      <c r="R44" s="23"/>
      <c r="X44" s="811"/>
      <c r="Y44" s="765"/>
      <c r="Z44" s="154"/>
      <c r="AA44" s="810"/>
    </row>
    <row r="45" spans="1:29" ht="15.75" x14ac:dyDescent="0.25">
      <c r="A45" s="33"/>
      <c r="B45" s="218"/>
      <c r="C45" s="10" t="s">
        <v>657</v>
      </c>
      <c r="D45" s="21" t="s">
        <v>658</v>
      </c>
      <c r="E45" t="s">
        <v>377</v>
      </c>
      <c r="F45">
        <v>145</v>
      </c>
      <c r="G45" s="242"/>
      <c r="H45" s="1"/>
      <c r="I45" s="1"/>
      <c r="J45">
        <v>2</v>
      </c>
      <c r="K45" s="1"/>
      <c r="L45" s="4"/>
      <c r="M45" s="259">
        <v>340.02</v>
      </c>
      <c r="N45" s="154">
        <f>Tabla1[[#This Row],[KG NETOS TOT]]*Tabla1[[#This Row],[PRECIO UNITARIO USD/TN]]</f>
        <v>0</v>
      </c>
      <c r="P45" s="154">
        <f>Tabla1[[#This Row],[SUBTOTAL]]*0.21</f>
        <v>0</v>
      </c>
      <c r="Q45" s="154">
        <f>Tabla1[[#This Row],[SUBTOTAL]]+Tabla1[[#This Row],[IVA 21]]</f>
        <v>0</v>
      </c>
      <c r="X45" s="826">
        <f>Tabla1[[#This Row],[TOTAL*]]*Tabla1[[#This Row],[TIPO DE CAMBIO]]</f>
        <v>0</v>
      </c>
      <c r="Y45" s="37">
        <v>155.69</v>
      </c>
      <c r="Z45" s="154">
        <f>Tabla1[[#This Row],[TOTAL*]]+Tabla1[[#This Row],[COMISIONES]]+Tabla1[[#This Row],[RETENCION IVA]]+Tabla1[[#This Row],[IVA RG 2300/2007]]-Tabla1[[#This Row],[DEDUCCIONES]]</f>
        <v>0</v>
      </c>
      <c r="AA45" s="247">
        <f>Tabla1[[#This Row],[TOTAL USD]]/Tabla1[[#This Row],[HAS]]</f>
        <v>7.1748994708994713</v>
      </c>
      <c r="AB45" t="s">
        <v>194</v>
      </c>
      <c r="AC45" t="s">
        <v>659</v>
      </c>
    </row>
    <row r="46" spans="1:29" ht="15.75" x14ac:dyDescent="0.25">
      <c r="A46" s="1"/>
      <c r="B46" s="218"/>
      <c r="C46" s="29" t="s">
        <v>154</v>
      </c>
      <c r="D46" s="20"/>
      <c r="E46" s="20"/>
      <c r="F46" s="1"/>
      <c r="G46" s="1"/>
      <c r="H46" s="1"/>
      <c r="I46" s="1"/>
      <c r="J46" s="214"/>
      <c r="K46" s="214"/>
      <c r="L46" s="765"/>
      <c r="X46" s="1"/>
      <c r="AA46" s="809"/>
    </row>
    <row r="47" spans="1:29" x14ac:dyDescent="0.25">
      <c r="A47" s="595"/>
      <c r="B47" s="590"/>
      <c r="C47" s="596"/>
      <c r="D47" s="591" t="s">
        <v>660</v>
      </c>
      <c r="E47" s="591"/>
      <c r="F47" s="591">
        <v>206</v>
      </c>
      <c r="G47" s="591"/>
      <c r="H47" s="593"/>
      <c r="I47" s="593"/>
      <c r="J47" s="597"/>
      <c r="K47" s="597"/>
      <c r="L47" s="806"/>
      <c r="M47" s="594">
        <v>4621.6893203883492</v>
      </c>
      <c r="N47" s="808">
        <v>861600</v>
      </c>
      <c r="O47" s="808">
        <f>Tabla13[[#This Row],[SUBTOTAL]]*0.105</f>
        <v>90468</v>
      </c>
      <c r="P47" s="808"/>
      <c r="Q47" s="806">
        <f>SUM(Tabla13[[#This Row],[SUBTOTAL]:[IVA 21]])</f>
        <v>952068</v>
      </c>
      <c r="R47" s="806"/>
      <c r="S47" s="591"/>
      <c r="T47" s="591"/>
      <c r="U47" s="591"/>
      <c r="V47" s="591"/>
      <c r="W47" s="591"/>
      <c r="X47" s="807">
        <f>SUM(Tabla13[[#This Row],[TOTAL]:[IVA RG 2300/2007]])</f>
        <v>952068</v>
      </c>
      <c r="Y47" s="806">
        <v>367</v>
      </c>
      <c r="Z47" s="592">
        <f>Tabla13[[#This Row],[TOTAL A LIQUIDAR]]/Tabla13[[#This Row],[TIPO DE CAMBIO]]</f>
        <v>2594.1907356948227</v>
      </c>
      <c r="AA47" s="805">
        <f>Tabla13[[#This Row],[TOTAL USD]]/Tabla13[[#This Row],[HAS]]</f>
        <v>12.593158911139916</v>
      </c>
      <c r="AB47" s="591" t="s">
        <v>661</v>
      </c>
      <c r="AC47" s="591" t="s">
        <v>662</v>
      </c>
    </row>
    <row r="48" spans="1:29" x14ac:dyDescent="0.25">
      <c r="A48" s="35"/>
      <c r="B48" s="218"/>
      <c r="C48" s="3"/>
      <c r="H48" s="1"/>
      <c r="I48" s="1"/>
      <c r="J48" s="214"/>
      <c r="K48" s="214"/>
      <c r="L48" s="765"/>
      <c r="M48" s="774"/>
      <c r="N48" s="774"/>
      <c r="O48" s="774"/>
      <c r="P48" s="774"/>
      <c r="Q48" s="802">
        <f>SUM(Tabla13[[#This Row],[SUBTOTAL]:[IVA 21]])</f>
        <v>0</v>
      </c>
      <c r="R48" s="802"/>
      <c r="X48" s="801">
        <f>SUM(Tabla13[[#This Row],[TOTAL]:[IVA RG 2300/2007]])</f>
        <v>0</v>
      </c>
      <c r="Y48" s="765"/>
      <c r="Z48" s="417"/>
      <c r="AA48" s="799"/>
    </row>
    <row r="49" spans="1:29" x14ac:dyDescent="0.25">
      <c r="A49" s="34"/>
      <c r="B49" s="218"/>
      <c r="C49" s="24" t="s">
        <v>65</v>
      </c>
      <c r="H49" s="88"/>
      <c r="I49" s="88"/>
      <c r="J49" s="215"/>
      <c r="K49" s="215"/>
      <c r="L49" s="765"/>
      <c r="M49" s="774"/>
      <c r="N49" s="774"/>
      <c r="O49" s="774"/>
      <c r="P49" s="774"/>
      <c r="Q49" s="802">
        <f>SUM(Tabla13[[#This Row],[SUBTOTAL]:[IVA 21]])</f>
        <v>0</v>
      </c>
      <c r="R49" s="802"/>
      <c r="X49" s="801">
        <f>SUM(Tabla13[[#This Row],[TOTAL]:[IVA RG 2300/2007]])</f>
        <v>0</v>
      </c>
      <c r="Y49" s="802"/>
      <c r="Z49" s="417"/>
      <c r="AA49" s="799"/>
    </row>
    <row r="50" spans="1:29" x14ac:dyDescent="0.25">
      <c r="A50" s="622">
        <v>45239</v>
      </c>
      <c r="B50" s="623"/>
      <c r="C50" s="615"/>
      <c r="D50" s="617" t="s">
        <v>663</v>
      </c>
      <c r="E50" s="617"/>
      <c r="F50" s="617">
        <v>206</v>
      </c>
      <c r="G50" s="617"/>
      <c r="H50" s="624"/>
      <c r="I50" s="624"/>
      <c r="J50" s="624"/>
      <c r="K50" s="625">
        <v>15000</v>
      </c>
      <c r="L50" s="787"/>
      <c r="M50" s="780"/>
      <c r="N50" s="780">
        <f>Tabla13[[#This Row],[HAS]]*Tabla13[[#This Row],[KG/HA (REND)]]</f>
        <v>3090000</v>
      </c>
      <c r="O50" s="780">
        <f>Tabla13[[#This Row],[SUBTOTAL]]*0.105</f>
        <v>324450</v>
      </c>
      <c r="P50" s="780"/>
      <c r="Q50" s="787">
        <f>SUM(Tabla13[[#This Row],[SUBTOTAL]:[IVA 21]])</f>
        <v>3414450</v>
      </c>
      <c r="R50" s="787"/>
      <c r="S50" s="617"/>
      <c r="T50" s="617"/>
      <c r="U50" s="617"/>
      <c r="V50" s="617"/>
      <c r="W50" s="617"/>
      <c r="X50" s="781">
        <f>SUM(Tabla13[[#This Row],[TOTAL]:[IVA RG 2300/2007]])</f>
        <v>3414450</v>
      </c>
      <c r="Y50" s="804">
        <v>350</v>
      </c>
      <c r="Z50" s="626">
        <v>10456.384091166565</v>
      </c>
      <c r="AA50" s="803">
        <f>Tabla13[[#This Row],[TOTAL USD]]/Tabla13[[#This Row],[HAS]]</f>
        <v>50.759146073624102</v>
      </c>
      <c r="AB50" s="617" t="s">
        <v>664</v>
      </c>
      <c r="AC50" s="617" t="s">
        <v>663</v>
      </c>
    </row>
    <row r="51" spans="1:29" x14ac:dyDescent="0.25">
      <c r="A51" s="622">
        <v>45208</v>
      </c>
      <c r="B51" s="623"/>
      <c r="C51" s="615"/>
      <c r="D51" s="617" t="s">
        <v>663</v>
      </c>
      <c r="E51" s="617"/>
      <c r="F51" s="617">
        <v>206</v>
      </c>
      <c r="G51" s="617"/>
      <c r="H51" s="624"/>
      <c r="I51" s="624"/>
      <c r="J51" s="617"/>
      <c r="K51" s="617"/>
      <c r="L51" s="618"/>
      <c r="M51" s="625">
        <v>8894.41</v>
      </c>
      <c r="N51" s="787">
        <v>2072397.53</v>
      </c>
      <c r="O51" s="618">
        <v>217601.74064999999</v>
      </c>
      <c r="P51" s="780"/>
      <c r="Q51" s="780">
        <v>2289999.2706499998</v>
      </c>
      <c r="R51" s="787"/>
      <c r="S51" s="617"/>
      <c r="T51" s="617"/>
      <c r="U51" s="617"/>
      <c r="V51" s="617"/>
      <c r="W51" s="617"/>
      <c r="X51" s="781">
        <v>2289999.2706499998</v>
      </c>
      <c r="Y51" s="804">
        <v>320</v>
      </c>
      <c r="Z51" s="626">
        <v>7156.2477207812499</v>
      </c>
      <c r="AA51" s="803">
        <f>Tabla13[[#This Row],[TOTAL USD]]/Tabla13[[#This Row],[HAS]]</f>
        <v>34.739066605734223</v>
      </c>
      <c r="AB51" s="617" t="s">
        <v>665</v>
      </c>
      <c r="AC51" s="617" t="s">
        <v>666</v>
      </c>
    </row>
    <row r="52" spans="1:29" x14ac:dyDescent="0.25">
      <c r="A52" s="33"/>
      <c r="B52" s="218"/>
      <c r="C52" s="24" t="s">
        <v>89</v>
      </c>
      <c r="H52" s="88"/>
      <c r="I52" s="88"/>
      <c r="J52" s="88"/>
      <c r="K52" s="88"/>
      <c r="L52" s="765"/>
      <c r="M52" s="774"/>
      <c r="N52" s="774"/>
      <c r="O52" s="774"/>
      <c r="P52" s="774"/>
      <c r="Q52" s="802"/>
      <c r="R52" s="802"/>
      <c r="S52" s="774"/>
      <c r="T52" s="774"/>
      <c r="U52" s="774"/>
      <c r="V52" s="774"/>
      <c r="W52" s="774"/>
      <c r="X52" s="801">
        <f>SUM(Tabla13[[#This Row],[TOTAL]:[IVA RG 2300/2007]])</f>
        <v>0</v>
      </c>
      <c r="Y52" s="800"/>
      <c r="Z52" s="417"/>
      <c r="AA52" s="799"/>
    </row>
    <row r="53" spans="1:29" x14ac:dyDescent="0.25">
      <c r="A53" s="33"/>
      <c r="B53" s="218"/>
      <c r="C53" s="24"/>
      <c r="D53" t="s">
        <v>667</v>
      </c>
      <c r="H53" s="88"/>
      <c r="I53" s="88"/>
      <c r="J53" s="38">
        <v>6</v>
      </c>
      <c r="K53" s="88"/>
      <c r="L53" s="765">
        <v>5500</v>
      </c>
      <c r="M53" s="774"/>
      <c r="N53" s="774">
        <f>Tabla13[[#This Row],[KG NETOS TOT]]*Tabla13[[#This Row],[$/TN]]</f>
        <v>33000</v>
      </c>
      <c r="O53" s="774"/>
      <c r="P53" s="774"/>
      <c r="Q53" s="802">
        <f>SUM(Tabla13[[#This Row],[SUBTOTAL]:[IVA 21]])</f>
        <v>33000</v>
      </c>
      <c r="W53" s="774"/>
      <c r="X53" s="801">
        <f>SUM(Tabla13[[#This Row],[TOTAL]:[IVA RG 2300/2007]])</f>
        <v>33000</v>
      </c>
      <c r="Y53" s="800">
        <v>150</v>
      </c>
      <c r="Z53" s="417">
        <f>Tabla13[[#This Row],[TOTAL A LIQUIDAR]]/Tabla13[[#This Row],[TIPO DE CAMBIO]]</f>
        <v>220</v>
      </c>
      <c r="AA53" s="799"/>
      <c r="AB53" t="s">
        <v>43</v>
      </c>
      <c r="AC53" t="s">
        <v>90</v>
      </c>
    </row>
    <row r="54" spans="1:29" x14ac:dyDescent="0.25">
      <c r="A54" s="33"/>
      <c r="B54" s="218"/>
      <c r="C54" s="24"/>
      <c r="H54" s="88"/>
      <c r="I54" s="88"/>
      <c r="J54" s="88"/>
      <c r="K54" s="88"/>
      <c r="L54" s="765"/>
      <c r="Q54" s="802"/>
      <c r="R54" s="802"/>
      <c r="X54" s="801"/>
      <c r="Y54" s="800"/>
      <c r="Z54" s="417"/>
      <c r="AA54" s="799"/>
    </row>
    <row r="55" spans="1:29" x14ac:dyDescent="0.25">
      <c r="A55" s="33"/>
      <c r="B55" s="218"/>
      <c r="C55" s="24" t="s">
        <v>94</v>
      </c>
      <c r="H55" s="88"/>
      <c r="I55" s="88"/>
      <c r="J55" s="88"/>
      <c r="K55" s="88"/>
      <c r="L55" s="765"/>
      <c r="X55" s="1"/>
      <c r="Y55" s="800"/>
      <c r="Z55" s="417"/>
      <c r="AA55" s="799"/>
    </row>
    <row r="56" spans="1:29" x14ac:dyDescent="0.25">
      <c r="A56" s="33"/>
      <c r="B56" s="218"/>
      <c r="C56" s="24"/>
      <c r="G56" s="11"/>
      <c r="L56" s="765"/>
      <c r="X56" s="1"/>
      <c r="Y56" s="38"/>
      <c r="Z56" s="38"/>
      <c r="AA56" s="84"/>
    </row>
    <row r="57" spans="1:29" x14ac:dyDescent="0.25">
      <c r="A57" s="33"/>
      <c r="B57" s="218"/>
      <c r="C57" s="24" t="s">
        <v>322</v>
      </c>
      <c r="L57" s="767"/>
      <c r="X57" s="1"/>
      <c r="AA57" s="274"/>
    </row>
    <row r="58" spans="1:29" x14ac:dyDescent="0.25">
      <c r="A58" s="33"/>
      <c r="B58" s="218"/>
      <c r="C58" s="218"/>
      <c r="D58" t="s">
        <v>193</v>
      </c>
      <c r="L58" s="767"/>
      <c r="X58" s="766"/>
      <c r="Y58" s="765"/>
      <c r="Z58" s="154"/>
      <c r="AA58" s="274"/>
    </row>
    <row r="59" spans="1:29" x14ac:dyDescent="0.25">
      <c r="A59" s="33"/>
      <c r="B59" s="218"/>
      <c r="C59" s="24"/>
      <c r="L59" s="767"/>
      <c r="X59" s="1"/>
      <c r="AA59" s="55"/>
    </row>
    <row r="60" spans="1:29" ht="15.75" x14ac:dyDescent="0.25">
      <c r="A60" s="260"/>
      <c r="B60" s="258"/>
      <c r="C60" s="90" t="s">
        <v>338</v>
      </c>
      <c r="D60" s="213"/>
      <c r="E60" s="213"/>
      <c r="F60" s="90"/>
      <c r="G60" s="90"/>
      <c r="H60" s="90"/>
      <c r="I60" s="90"/>
      <c r="J60" s="90"/>
      <c r="K60" s="90"/>
      <c r="L60" s="798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0"/>
      <c r="Y60" s="94"/>
      <c r="Z60" s="94"/>
      <c r="AA60" s="797"/>
      <c r="AB60" s="94"/>
      <c r="AC60" s="94"/>
    </row>
    <row r="61" spans="1:29" ht="15.75" x14ac:dyDescent="0.25">
      <c r="A61" s="33"/>
      <c r="B61" s="218"/>
      <c r="D61" t="s">
        <v>460</v>
      </c>
      <c r="E61" s="21"/>
      <c r="L61" s="767"/>
      <c r="X61" s="1"/>
      <c r="AA61" s="55"/>
    </row>
    <row r="62" spans="1:29" ht="15.75" x14ac:dyDescent="0.25">
      <c r="A62" s="168"/>
      <c r="B62" s="14"/>
      <c r="C62" s="21"/>
      <c r="D62" s="21"/>
      <c r="E62" s="21"/>
      <c r="L62" s="767"/>
      <c r="X62" s="1"/>
      <c r="AA62" s="55"/>
    </row>
    <row r="63" spans="1:29" ht="15.75" x14ac:dyDescent="0.25">
      <c r="A63" s="168"/>
      <c r="B63" s="16"/>
      <c r="C63" s="20"/>
      <c r="D63" s="20"/>
      <c r="E63" s="20"/>
      <c r="F63" s="18"/>
      <c r="G63" s="18"/>
      <c r="H63" s="18"/>
      <c r="I63" s="18"/>
      <c r="J63" s="18"/>
      <c r="K63" s="18"/>
      <c r="L63" s="796"/>
      <c r="X63" s="1"/>
      <c r="AA63" s="55"/>
    </row>
    <row r="64" spans="1:29" ht="15.75" x14ac:dyDescent="0.25">
      <c r="A64" s="257"/>
      <c r="B64" s="250" t="s">
        <v>111</v>
      </c>
      <c r="C64" s="256"/>
      <c r="D64" s="256"/>
      <c r="E64" s="256"/>
      <c r="F64" s="256"/>
      <c r="G64" s="256"/>
      <c r="H64" s="256"/>
      <c r="I64" s="256"/>
      <c r="J64" s="256"/>
      <c r="K64" s="256"/>
      <c r="L64" s="795"/>
      <c r="M64" s="248"/>
      <c r="N64" s="248"/>
      <c r="O64" s="248"/>
      <c r="P64" s="248"/>
      <c r="Q64" s="248"/>
      <c r="R64" s="248"/>
      <c r="S64" s="248"/>
      <c r="T64" s="248"/>
      <c r="U64" s="248"/>
      <c r="V64" s="248"/>
      <c r="W64" s="248"/>
      <c r="X64" s="601"/>
      <c r="Y64" s="248"/>
      <c r="Z64" s="280">
        <f>Z65-Z79-Z83</f>
        <v>46253.003412905251</v>
      </c>
      <c r="AA64" s="404">
        <f>AA65-AA79-AA83</f>
        <v>967.47136126231817</v>
      </c>
      <c r="AB64" s="248"/>
      <c r="AC64" s="248"/>
    </row>
    <row r="65" spans="1:29" x14ac:dyDescent="0.25">
      <c r="A65" s="401"/>
      <c r="B65" s="269"/>
      <c r="C65" s="266" t="s">
        <v>463</v>
      </c>
      <c r="D65" s="269"/>
      <c r="E65" s="269"/>
      <c r="F65" s="405">
        <f>SUM(F66:F77)</f>
        <v>79.598166666666671</v>
      </c>
      <c r="G65" s="94"/>
      <c r="H65" s="94"/>
      <c r="I65" s="94"/>
      <c r="J65" s="94"/>
      <c r="K65" s="94"/>
      <c r="L65" s="769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0"/>
      <c r="Y65" s="94"/>
      <c r="Z65" s="400">
        <f>SUM(Z66:Z78)</f>
        <v>103034.73902907172</v>
      </c>
      <c r="AA65" s="402">
        <f>Tabla13[[#This Row],[TOTAL USD]]/Tabla13[[#This Row],[HAS]]</f>
        <v>1294.4360824357977</v>
      </c>
      <c r="AB65" s="94"/>
      <c r="AC65" s="94"/>
    </row>
    <row r="66" spans="1:29" x14ac:dyDescent="0.25">
      <c r="A66" s="168">
        <v>44986</v>
      </c>
      <c r="B66" s="218"/>
      <c r="C66" s="24"/>
      <c r="D66" s="14" t="s">
        <v>668</v>
      </c>
      <c r="E66" s="14"/>
      <c r="F66" s="598">
        <f>Tabla13[[#This Row],[KG NETOS TOT]]/Tabla13[[#This Row],[KG/HA (REND)]]</f>
        <v>0.5688333333333333</v>
      </c>
      <c r="G66" s="11"/>
      <c r="J66">
        <v>3413</v>
      </c>
      <c r="K66" s="214">
        <v>6000</v>
      </c>
      <c r="L66" s="765">
        <v>49099.7</v>
      </c>
      <c r="M66" s="793">
        <v>49.1</v>
      </c>
      <c r="N66" s="217">
        <f>Tabla13[[#This Row],[PRECIO UNITARIO USD/TN]]*Tabla13[[#This Row],[KG NETOS TOT]]</f>
        <v>167578.30000000002</v>
      </c>
      <c r="O66" s="217">
        <f>Tabla13[[#This Row],[SUBTOTAL]]*0.105</f>
        <v>17595.7215</v>
      </c>
      <c r="Q66" s="23">
        <f>SUM(Tabla13[[#This Row],[SUBTOTAL]:[IVA 21]])</f>
        <v>185174.02150000003</v>
      </c>
      <c r="R66" s="774"/>
      <c r="S66" s="774">
        <v>685.94</v>
      </c>
      <c r="T66" s="774"/>
      <c r="U66" s="774"/>
      <c r="V66" s="774"/>
      <c r="W66" s="774"/>
      <c r="X66" s="775">
        <f>SUM(Tabla13[[#This Row],[TOTAL]])-SUM(Tabla13[[#This Row],[GASTOS ADM]:[IVA RG 2300/2007]])</f>
        <v>184488.08150000003</v>
      </c>
      <c r="Y66" s="774">
        <v>196</v>
      </c>
      <c r="Z66" s="154">
        <f>Tabla13[[#This Row],[TOTAL A LIQUIDAR]]/Tabla13[[#This Row],[TIPO DE CAMBIO]]</f>
        <v>941.26572193877564</v>
      </c>
      <c r="AA66" s="274">
        <f>Tabla13[[#This Row],[TOTAL USD]]/Tabla13[[#This Row],[HAS]]</f>
        <v>1654.7302465961484</v>
      </c>
      <c r="AB66" t="s">
        <v>669</v>
      </c>
      <c r="AC66" t="s">
        <v>670</v>
      </c>
    </row>
    <row r="67" spans="1:29" x14ac:dyDescent="0.25">
      <c r="A67" s="168">
        <v>44986</v>
      </c>
      <c r="B67" s="218"/>
      <c r="C67" s="24"/>
      <c r="D67" s="14" t="s">
        <v>671</v>
      </c>
      <c r="E67" s="14"/>
      <c r="F67" s="598">
        <f>Tabla13[[#This Row],[KG NETOS TOT]]/Tabla13[[#This Row],[KG/HA (REND)]]</f>
        <v>0.26450000000000001</v>
      </c>
      <c r="G67" s="11"/>
      <c r="J67">
        <v>1587</v>
      </c>
      <c r="K67" s="214">
        <v>6000</v>
      </c>
      <c r="L67" s="765">
        <v>49847.4</v>
      </c>
      <c r="M67" s="793">
        <v>49.85</v>
      </c>
      <c r="N67" s="217">
        <f>Tabla13[[#This Row],[PRECIO UNITARIO USD/TN]]*Tabla13[[#This Row],[KG NETOS TOT]]</f>
        <v>79111.95</v>
      </c>
      <c r="O67" s="217">
        <f>Tabla13[[#This Row],[SUBTOTAL]]*0.105</f>
        <v>8306.7547500000001</v>
      </c>
      <c r="Q67" s="23">
        <f>SUM(Tabla13[[#This Row],[SUBTOTAL]:[IVA 21]])</f>
        <v>87418.704750000004</v>
      </c>
      <c r="R67" s="774"/>
      <c r="S67" s="774">
        <v>1739.22</v>
      </c>
      <c r="T67" s="774"/>
      <c r="U67" s="774">
        <v>5454.48</v>
      </c>
      <c r="V67" s="774"/>
      <c r="W67" s="774">
        <v>2727.24</v>
      </c>
      <c r="X67" s="775">
        <f>SUM(Tabla13[[#This Row],[TOTAL]])-SUM(Tabla13[[#This Row],[GASTOS ADM]:[IVA RG 2300/2007]])</f>
        <v>77497.764750000002</v>
      </c>
      <c r="Y67" s="774">
        <v>196</v>
      </c>
      <c r="Z67" s="154">
        <f>Tabla13[[#This Row],[TOTAL A LIQUIDAR]]/Tabla13[[#This Row],[TIPO DE CAMBIO]]</f>
        <v>395.39675892857144</v>
      </c>
      <c r="AA67" s="274">
        <f>Tabla13[[#This Row],[TOTAL USD]]/Tabla13[[#This Row],[HAS]]</f>
        <v>1494.8837766675667</v>
      </c>
      <c r="AB67" t="s">
        <v>672</v>
      </c>
      <c r="AC67" t="s">
        <v>670</v>
      </c>
    </row>
    <row r="68" spans="1:29" x14ac:dyDescent="0.25">
      <c r="A68" s="168">
        <v>45138</v>
      </c>
      <c r="B68" s="218"/>
      <c r="C68" s="24"/>
      <c r="D68" s="14" t="s">
        <v>673</v>
      </c>
      <c r="E68" s="14"/>
      <c r="F68" s="598">
        <f>Tabla13[[#This Row],[KG NETOS TOT]]/Tabla13[[#This Row],[KG/HA (REND)]]</f>
        <v>9.5214999999999996</v>
      </c>
      <c r="G68" s="11"/>
      <c r="J68">
        <v>57129</v>
      </c>
      <c r="K68" s="214">
        <v>6000</v>
      </c>
      <c r="L68" s="765">
        <v>62000</v>
      </c>
      <c r="M68" s="793">
        <v>62</v>
      </c>
      <c r="N68" s="217">
        <f>Tabla13[[#This Row],[PRECIO UNITARIO USD/TN]]*Tabla13[[#This Row],[KG NETOS TOT]]</f>
        <v>3541998</v>
      </c>
      <c r="O68" s="217">
        <f>Tabla13[[#This Row],[SUBTOTAL]]*0.105</f>
        <v>371909.79</v>
      </c>
      <c r="Q68" s="23">
        <f>SUM(Tabla13[[#This Row],[SUBTOTAL]:[IVA 21]])</f>
        <v>3913907.79</v>
      </c>
      <c r="R68" s="774"/>
      <c r="S68" s="774"/>
      <c r="T68" s="774"/>
      <c r="U68" s="774"/>
      <c r="V68" s="774"/>
      <c r="W68" s="774">
        <v>371909.79</v>
      </c>
      <c r="X68" s="775">
        <f>SUM(Tabla13[[#This Row],[TOTAL]])-SUM(Tabla13[[#This Row],[GASTOS ADM]:[IVA RG 2300/2007]])</f>
        <v>3541998</v>
      </c>
      <c r="Y68" s="774">
        <v>274.5</v>
      </c>
      <c r="Z68" s="154">
        <f>Tabla13[[#This Row],[TOTAL A LIQUIDAR]]/Tabla13[[#This Row],[TIPO DE CAMBIO]]</f>
        <v>12903.453551912567</v>
      </c>
      <c r="AA68" s="274">
        <f>Tabla13[[#This Row],[TOTAL USD]]/Tabla13[[#This Row],[HAS]]</f>
        <v>1355.1912568306011</v>
      </c>
      <c r="AC68" t="s">
        <v>674</v>
      </c>
    </row>
    <row r="69" spans="1:29" x14ac:dyDescent="0.25">
      <c r="A69" s="168">
        <v>45141</v>
      </c>
      <c r="B69" s="218"/>
      <c r="C69" s="24"/>
      <c r="D69" s="14" t="s">
        <v>671</v>
      </c>
      <c r="E69" s="14"/>
      <c r="F69" s="598">
        <f>Tabla13[[#This Row],[KG NETOS TOT]]/Tabla13[[#This Row],[KG/HA (REND)]]</f>
        <v>11.073333333333334</v>
      </c>
      <c r="G69" s="11"/>
      <c r="J69">
        <v>66440</v>
      </c>
      <c r="K69" s="214">
        <v>6000</v>
      </c>
      <c r="L69" s="765">
        <v>63000</v>
      </c>
      <c r="M69" s="793">
        <v>63</v>
      </c>
      <c r="N69" s="217">
        <f>Tabla13[[#This Row],[PRECIO UNITARIO USD/TN]]*Tabla13[[#This Row],[KG NETOS TOT]]</f>
        <v>4185720</v>
      </c>
      <c r="O69" s="217">
        <f>Tabla13[[#This Row],[SUBTOTAL]]*0.105</f>
        <v>439500.6</v>
      </c>
      <c r="Q69" s="23">
        <f>SUM(Tabla13[[#This Row],[SUBTOTAL]:[IVA 21]])</f>
        <v>4625220.5999999996</v>
      </c>
      <c r="R69" s="774">
        <v>279092.31</v>
      </c>
      <c r="S69" s="774"/>
      <c r="T69" s="774"/>
      <c r="U69" s="774">
        <v>369471.79</v>
      </c>
      <c r="V69" s="774"/>
      <c r="W69" s="774">
        <v>144302.70000000001</v>
      </c>
      <c r="X69" s="775">
        <f>SUM(Tabla13[[#This Row],[TOTAL]])-SUM(Tabla13[[#This Row],[GASTOS ADM]:[IVA RG 2300/2007]])</f>
        <v>3832353.8</v>
      </c>
      <c r="Y69" s="774">
        <v>274.5</v>
      </c>
      <c r="Z69" s="154">
        <f>Tabla13[[#This Row],[TOTAL A LIQUIDAR]]/Tabla13[[#This Row],[TIPO DE CAMBIO]]</f>
        <v>13961.216029143898</v>
      </c>
      <c r="AA69" s="274">
        <f>Tabla13[[#This Row],[TOTAL USD]]/Tabla13[[#This Row],[HAS]]</f>
        <v>1260.7961495313573</v>
      </c>
      <c r="AB69" t="s">
        <v>675</v>
      </c>
      <c r="AC69" t="s">
        <v>670</v>
      </c>
    </row>
    <row r="70" spans="1:29" x14ac:dyDescent="0.25">
      <c r="A70" s="168">
        <v>45145</v>
      </c>
      <c r="B70" s="218"/>
      <c r="C70" s="24"/>
      <c r="D70" s="14" t="s">
        <v>676</v>
      </c>
      <c r="E70" s="14"/>
      <c r="F70" s="598">
        <f>Tabla13[[#This Row],[KG NETOS TOT]]/Tabla13[[#This Row],[KG/HA (REND)]]</f>
        <v>10.953333333333333</v>
      </c>
      <c r="G70" s="11"/>
      <c r="J70">
        <v>65720</v>
      </c>
      <c r="K70" s="214">
        <v>6000</v>
      </c>
      <c r="L70" s="765">
        <v>63000</v>
      </c>
      <c r="M70" s="793">
        <v>63</v>
      </c>
      <c r="N70" s="217">
        <f>Tabla13[[#This Row],[PRECIO UNITARIO USD/TN]]*Tabla13[[#This Row],[KG NETOS TOT]]</f>
        <v>4140360</v>
      </c>
      <c r="O70" s="217">
        <f>Tabla13[[#This Row],[SUBTOTAL]]*0.105</f>
        <v>434737.8</v>
      </c>
      <c r="Q70" s="23">
        <f>SUM(Tabla13[[#This Row],[SUBTOTAL]:[IVA 21]])</f>
        <v>4575097.8</v>
      </c>
      <c r="R70" s="774"/>
      <c r="S70" s="774">
        <v>172135.47</v>
      </c>
      <c r="T70" s="774"/>
      <c r="U70" s="774">
        <v>285477.82</v>
      </c>
      <c r="V70" s="774"/>
      <c r="W70" s="774">
        <v>142738.91</v>
      </c>
      <c r="X70" s="775">
        <f>SUM(Tabla13[[#This Row],[TOTAL]])-SUM(Tabla13[[#This Row],[GASTOS ADM]:[IVA RG 2300/2007]])</f>
        <v>3974745.5999999996</v>
      </c>
      <c r="Y70" s="774">
        <v>281</v>
      </c>
      <c r="Z70" s="154">
        <f>Tabla13[[#This Row],[TOTAL A LIQUIDAR]]/Tabla13[[#This Row],[TIPO DE CAMBIO]]</f>
        <v>14145.002135231316</v>
      </c>
      <c r="AA70" s="274">
        <f>Tabla13[[#This Row],[TOTAL USD]]/Tabla13[[#This Row],[HAS]]</f>
        <v>1291.3879003558718</v>
      </c>
      <c r="AC70" t="s">
        <v>677</v>
      </c>
    </row>
    <row r="71" spans="1:29" x14ac:dyDescent="0.25">
      <c r="A71" s="168">
        <v>45146</v>
      </c>
      <c r="B71" s="218"/>
      <c r="C71" s="24"/>
      <c r="D71" s="14" t="s">
        <v>671</v>
      </c>
      <c r="E71" s="14"/>
      <c r="F71" s="598">
        <f>Tabla13[[#This Row],[KG NETOS TOT]]/Tabla13[[#This Row],[KG/HA (REND)]]</f>
        <v>8.0835000000000008</v>
      </c>
      <c r="G71" s="11"/>
      <c r="J71">
        <v>48501</v>
      </c>
      <c r="K71" s="214">
        <v>6000</v>
      </c>
      <c r="L71" s="765">
        <v>63000</v>
      </c>
      <c r="M71" s="793">
        <v>63</v>
      </c>
      <c r="N71" s="217">
        <f>Tabla13[[#This Row],[PRECIO UNITARIO USD/TN]]*Tabla13[[#This Row],[KG NETOS TOT]]</f>
        <v>3055563</v>
      </c>
      <c r="O71" s="217">
        <f>Tabla13[[#This Row],[SUBTOTAL]]*0.105</f>
        <v>320834.11499999999</v>
      </c>
      <c r="Q71" s="23">
        <f>SUM(Tabla13[[#This Row],[SUBTOTAL]:[IVA 21]])</f>
        <v>3376397.1150000002</v>
      </c>
      <c r="R71" s="794">
        <v>428</v>
      </c>
      <c r="S71" t="s">
        <v>678</v>
      </c>
      <c r="T71" s="792">
        <v>50645.96</v>
      </c>
      <c r="U71" s="792">
        <f>58263.26+210681.07</f>
        <v>268944.33</v>
      </c>
      <c r="V71" s="792">
        <v>152778.15</v>
      </c>
      <c r="W71" s="792">
        <v>105340.54</v>
      </c>
      <c r="X71" s="775">
        <f>SUM(Tabla13[[#This Row],[TOTAL]])-SUM(Tabla13[[#This Row],[GASTOS ADM]:[IVA RG 2300/2007]])</f>
        <v>2798260.1350000002</v>
      </c>
      <c r="Y71" s="774">
        <v>283</v>
      </c>
      <c r="Z71" s="154">
        <f>Tabla13[[#This Row],[TOTAL A LIQUIDAR]]/Tabla13[[#This Row],[TIPO DE CAMBIO]]</f>
        <v>9887.8450000000012</v>
      </c>
      <c r="AA71" s="274">
        <f>Tabla13[[#This Row],[TOTAL USD]]/Tabla13[[#This Row],[HAS]]</f>
        <v>1223.2133358075091</v>
      </c>
      <c r="AB71" t="s">
        <v>675</v>
      </c>
      <c r="AC71" t="s">
        <v>670</v>
      </c>
    </row>
    <row r="72" spans="1:29" x14ac:dyDescent="0.25">
      <c r="A72" s="168">
        <v>45146</v>
      </c>
      <c r="B72" s="218"/>
      <c r="C72" s="24"/>
      <c r="D72" s="14" t="s">
        <v>671</v>
      </c>
      <c r="E72" s="14"/>
      <c r="F72" s="598">
        <f>Tabla13[[#This Row],[KG NETOS TOT]]/Tabla13[[#This Row],[KG/HA (REND)]]</f>
        <v>7.7498333333333331</v>
      </c>
      <c r="G72" s="11"/>
      <c r="J72">
        <v>46499</v>
      </c>
      <c r="K72" s="214">
        <v>6000</v>
      </c>
      <c r="L72" s="765">
        <v>62055</v>
      </c>
      <c r="M72" s="793">
        <v>62.06</v>
      </c>
      <c r="N72" s="217">
        <f>Tabla13[[#This Row],[PRECIO UNITARIO USD/TN]]*Tabla13[[#This Row],[KG NETOS TOT]]</f>
        <v>2885727.94</v>
      </c>
      <c r="O72" s="217">
        <f>Tabla13[[#This Row],[SUBTOTAL]]*0.105</f>
        <v>303001.43369999999</v>
      </c>
      <c r="Q72" s="23">
        <f>SUM(Tabla13[[#This Row],[SUBTOTAL]:[IVA 21]])</f>
        <v>3188729.3736999999</v>
      </c>
      <c r="R72" s="794">
        <v>156073.48000000001</v>
      </c>
      <c r="T72" s="792"/>
      <c r="U72" s="792"/>
      <c r="V72" s="792"/>
      <c r="W72" s="792"/>
      <c r="X72" s="775">
        <f>SUM(Tabla13[[#This Row],[TOTAL]])-SUM(Tabla13[[#This Row],[GASTOS ADM]:[IVA RG 2300/2007]])</f>
        <v>3032655.8936999999</v>
      </c>
      <c r="Y72" s="774">
        <v>283</v>
      </c>
      <c r="Z72" s="154">
        <f>Tabla13[[#This Row],[TOTAL A LIQUIDAR]]/Tabla13[[#This Row],[TIPO DE CAMBIO]]</f>
        <v>10716.098564310954</v>
      </c>
      <c r="AA72" s="274">
        <f>Tabla13[[#This Row],[TOTAL USD]]/Tabla13[[#This Row],[HAS]]</f>
        <v>1382.7521319999512</v>
      </c>
      <c r="AB72" t="s">
        <v>679</v>
      </c>
      <c r="AC72" t="s">
        <v>670</v>
      </c>
    </row>
    <row r="73" spans="1:29" x14ac:dyDescent="0.25">
      <c r="A73" s="168">
        <v>45149</v>
      </c>
      <c r="B73" s="218"/>
      <c r="C73" s="24"/>
      <c r="D73" s="14" t="s">
        <v>676</v>
      </c>
      <c r="E73" s="14"/>
      <c r="F73" s="598">
        <f>Tabla13[[#This Row],[KG NETOS TOT]]/Tabla13[[#This Row],[KG/HA (REND)]]</f>
        <v>31.15</v>
      </c>
      <c r="G73" s="11"/>
      <c r="J73">
        <v>186900</v>
      </c>
      <c r="K73" s="214">
        <v>6000</v>
      </c>
      <c r="L73" s="765">
        <v>63000</v>
      </c>
      <c r="M73" s="793">
        <v>63</v>
      </c>
      <c r="N73" s="217">
        <f>Tabla13[[#This Row],[PRECIO UNITARIO USD/TN]]*Tabla13[[#This Row],[KG NETOS TOT]]</f>
        <v>11774700</v>
      </c>
      <c r="O73" s="217">
        <f>Tabla13[[#This Row],[SUBTOTAL]]*0.105</f>
        <v>1236343.5</v>
      </c>
      <c r="Q73" s="23">
        <f>SUM(Tabla13[[#This Row],[SUBTOTAL]:[IVA 21]])</f>
        <v>13011043.5</v>
      </c>
      <c r="R73" s="774"/>
      <c r="S73" s="774">
        <v>294367.5</v>
      </c>
      <c r="T73" s="774">
        <v>195165.65</v>
      </c>
      <c r="U73" s="774">
        <v>811865.56</v>
      </c>
      <c r="V73" s="774"/>
      <c r="W73" s="774">
        <v>405932.79</v>
      </c>
      <c r="X73" s="775">
        <f>SUM(Tabla13[[#This Row],[TOTAL]])-SUM(Tabla13[[#This Row],[GASTOS ADM]:[IVA RG 2300/2007]])</f>
        <v>11303712</v>
      </c>
      <c r="Y73" s="774">
        <v>284</v>
      </c>
      <c r="Z73" s="154">
        <f>Tabla13[[#This Row],[TOTAL A LIQUIDAR]]/Tabla13[[#This Row],[TIPO DE CAMBIO]]</f>
        <v>39801.802816901407</v>
      </c>
      <c r="AA73" s="274">
        <f>Tabla13[[#This Row],[TOTAL USD]]/Tabla13[[#This Row],[HAS]]</f>
        <v>1277.7464788732395</v>
      </c>
      <c r="AC73" t="s">
        <v>677</v>
      </c>
    </row>
    <row r="74" spans="1:29" x14ac:dyDescent="0.25">
      <c r="A74" s="168">
        <v>45149</v>
      </c>
      <c r="B74" s="218"/>
      <c r="C74" s="24"/>
      <c r="D74" s="14" t="s">
        <v>671</v>
      </c>
      <c r="E74" s="14"/>
      <c r="F74" s="598">
        <f>Tabla13[[#This Row],[KG NETOS TOT]]/Tabla13[[#This Row],[KG/HA (REND)]]</f>
        <v>0.23333333333333334</v>
      </c>
      <c r="G74" s="11"/>
      <c r="J74">
        <v>1400</v>
      </c>
      <c r="K74" s="214">
        <v>6000</v>
      </c>
      <c r="L74" s="765">
        <v>63001</v>
      </c>
      <c r="M74" s="793">
        <v>63</v>
      </c>
      <c r="N74" s="217">
        <f>Tabla13[[#This Row],[PRECIO UNITARIO USD/TN]]*Tabla13[[#This Row],[KG NETOS TOT]]</f>
        <v>88200</v>
      </c>
      <c r="O74" s="217">
        <f>Tabla13[[#This Row],[SUBTOTAL]]*0.105</f>
        <v>9261</v>
      </c>
      <c r="Q74" s="23">
        <f>SUM(Tabla13[[#This Row],[SUBTOTAL]:[IVA 21]])</f>
        <v>97461</v>
      </c>
      <c r="R74" s="792">
        <v>428</v>
      </c>
      <c r="S74" s="792"/>
      <c r="T74" s="792">
        <v>1461.92</v>
      </c>
      <c r="U74" s="792">
        <v>7845.39</v>
      </c>
      <c r="V74" s="792">
        <v>4410</v>
      </c>
      <c r="W74" s="792">
        <v>3040.69</v>
      </c>
      <c r="X74" s="775">
        <f>SUM(Tabla13[[#This Row],[TOTAL]])-SUM(Tabla13[[#This Row],[GASTOS ADM]:[IVA RG 2300/2007]])</f>
        <v>80275</v>
      </c>
      <c r="Y74" s="774">
        <v>284</v>
      </c>
      <c r="Z74" s="154">
        <f>Tabla13[[#This Row],[TOTAL A LIQUIDAR]]/Tabla13[[#This Row],[TIPO DE CAMBIO]]</f>
        <v>282.65845070422534</v>
      </c>
      <c r="AA74" s="274">
        <f>Tabla13[[#This Row],[TOTAL USD]]/Tabla13[[#This Row],[HAS]]</f>
        <v>1211.3933601609658</v>
      </c>
      <c r="AB74" t="s">
        <v>680</v>
      </c>
      <c r="AC74" t="s">
        <v>670</v>
      </c>
    </row>
    <row r="75" spans="1:29" x14ac:dyDescent="0.25">
      <c r="A75" s="168"/>
      <c r="B75" s="218"/>
      <c r="C75" s="24"/>
      <c r="D75" s="14"/>
      <c r="E75" s="14"/>
      <c r="F75" s="279"/>
      <c r="G75" s="11"/>
      <c r="K75" s="214"/>
      <c r="L75" s="767"/>
      <c r="M75" s="774"/>
      <c r="N75" s="23"/>
      <c r="O75" s="23"/>
      <c r="Q75" s="23"/>
      <c r="R75" s="23"/>
      <c r="X75" s="775"/>
      <c r="Y75" s="774"/>
      <c r="Z75" s="154"/>
      <c r="AA75" s="274"/>
    </row>
    <row r="76" spans="1:29" x14ac:dyDescent="0.25">
      <c r="D76" s="14"/>
      <c r="X76" s="1"/>
      <c r="AA76" s="55"/>
    </row>
    <row r="77" spans="1:29" x14ac:dyDescent="0.25">
      <c r="X77" s="1"/>
      <c r="AA77" s="55"/>
    </row>
    <row r="78" spans="1:29" x14ac:dyDescent="0.25">
      <c r="A78" s="168"/>
      <c r="B78" s="218"/>
      <c r="C78" s="24"/>
      <c r="D78" s="14"/>
      <c r="E78" s="14"/>
      <c r="F78" s="11"/>
      <c r="G78" s="11"/>
      <c r="L78" s="765"/>
      <c r="X78" s="1"/>
      <c r="AA78" s="55"/>
    </row>
    <row r="79" spans="1:29" x14ac:dyDescent="0.25">
      <c r="A79" s="401"/>
      <c r="B79" s="94"/>
      <c r="C79" s="90" t="s">
        <v>382</v>
      </c>
      <c r="D79" s="90"/>
      <c r="E79" s="90"/>
      <c r="F79" s="94"/>
      <c r="G79" s="94"/>
      <c r="H79" s="94"/>
      <c r="I79" s="94"/>
      <c r="J79" s="94"/>
      <c r="K79" s="94"/>
      <c r="L79" s="769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0"/>
      <c r="Y79" s="94"/>
      <c r="Z79" s="400">
        <f>SUM(Z80:Z82)</f>
        <v>17888.23327883174</v>
      </c>
      <c r="AA79" s="273">
        <f>SUM(AA80:AA82)</f>
        <v>57.334081021896601</v>
      </c>
      <c r="AB79" s="94"/>
      <c r="AC79" s="94"/>
    </row>
    <row r="80" spans="1:29" x14ac:dyDescent="0.25">
      <c r="A80" s="630"/>
      <c r="B80" s="631"/>
      <c r="C80" s="631"/>
      <c r="D80" s="631" t="s">
        <v>383</v>
      </c>
      <c r="E80" s="631"/>
      <c r="F80" s="631">
        <v>312</v>
      </c>
      <c r="G80" s="631"/>
      <c r="H80" s="631"/>
      <c r="I80" s="631"/>
      <c r="J80" s="631"/>
      <c r="K80" s="631"/>
      <c r="L80" s="791"/>
      <c r="M80" s="631"/>
      <c r="N80" s="631"/>
      <c r="O80" s="631"/>
      <c r="P80" s="631"/>
      <c r="Q80" s="631"/>
      <c r="R80" s="631"/>
      <c r="S80" s="631"/>
      <c r="T80" s="631"/>
      <c r="U80" s="631"/>
      <c r="V80" s="631"/>
      <c r="W80" s="631"/>
      <c r="X80" s="790">
        <v>2465877.8719918458</v>
      </c>
      <c r="Y80" s="789">
        <v>521</v>
      </c>
      <c r="Z80" s="632">
        <f>Tabla13[[#This Row],[TOTAL A LIQUIDAR]]/Tabla13[[#This Row],[TIPO DE CAMBIO]]</f>
        <v>4732.9709635160189</v>
      </c>
      <c r="AA80" s="633">
        <f>Tabla13[[#This Row],[TOTAL USD]]/Tabla13[[#This Row],[HAS]]</f>
        <v>15.16977872921801</v>
      </c>
      <c r="AB80" s="631"/>
      <c r="AC80" s="631" t="s">
        <v>681</v>
      </c>
    </row>
    <row r="81" spans="1:29" x14ac:dyDescent="0.25">
      <c r="A81" s="630"/>
      <c r="B81" s="631"/>
      <c r="C81" s="631"/>
      <c r="D81" s="631" t="s">
        <v>682</v>
      </c>
      <c r="E81" s="631"/>
      <c r="F81" s="631">
        <v>312</v>
      </c>
      <c r="G81" s="631"/>
      <c r="H81" s="631"/>
      <c r="I81" s="631"/>
      <c r="J81" s="631"/>
      <c r="K81" s="631"/>
      <c r="L81" s="791"/>
      <c r="M81" s="631"/>
      <c r="N81" s="631"/>
      <c r="O81" s="631"/>
      <c r="P81" s="631"/>
      <c r="Q81" s="631"/>
      <c r="R81" s="631"/>
      <c r="S81" s="631"/>
      <c r="T81" s="631"/>
      <c r="U81" s="631"/>
      <c r="V81" s="631"/>
      <c r="W81" s="631"/>
      <c r="X81" s="790">
        <v>4973854.7998304386</v>
      </c>
      <c r="Y81" s="789">
        <f>(190+250+350+800)/4</f>
        <v>397.5</v>
      </c>
      <c r="Z81" s="632">
        <v>12512.842263724375</v>
      </c>
      <c r="AA81" s="633">
        <f>Tabla13[[#This Row],[TOTAL USD]]/Tabla13[[#This Row],[HAS]]</f>
        <v>40.105263665783255</v>
      </c>
      <c r="AB81" s="631"/>
      <c r="AC81" s="631" t="s">
        <v>683</v>
      </c>
    </row>
    <row r="82" spans="1:29" x14ac:dyDescent="0.25">
      <c r="A82" s="630"/>
      <c r="B82" s="631"/>
      <c r="C82" s="631"/>
      <c r="D82" s="631" t="s">
        <v>60</v>
      </c>
      <c r="E82" s="631"/>
      <c r="F82" s="631">
        <v>312</v>
      </c>
      <c r="G82" s="631"/>
      <c r="H82" s="631"/>
      <c r="I82" s="631"/>
      <c r="J82" s="631"/>
      <c r="K82" s="631"/>
      <c r="L82" s="791"/>
      <c r="M82" s="631"/>
      <c r="N82" s="631"/>
      <c r="O82" s="631"/>
      <c r="P82" s="631"/>
      <c r="Q82" s="631"/>
      <c r="R82" s="631"/>
      <c r="S82" s="631"/>
      <c r="T82" s="631"/>
      <c r="U82" s="631"/>
      <c r="V82" s="631"/>
      <c r="W82" s="631"/>
      <c r="X82" s="790">
        <f>Tabla13[[#This Row],[TOTAL USD]]*Tabla13[[#This Row],[TIPO DE CAMBIO]]</f>
        <v>167671.63346534132</v>
      </c>
      <c r="Y82" s="789">
        <v>261</v>
      </c>
      <c r="Z82" s="632">
        <v>642.42005159134601</v>
      </c>
      <c r="AA82" s="633">
        <f>Tabla13[[#This Row],[TOTAL USD]]/Tabla13[[#This Row],[HAS]]</f>
        <v>2.0590386268953398</v>
      </c>
      <c r="AB82" s="631"/>
      <c r="AC82" s="631"/>
    </row>
    <row r="83" spans="1:29" x14ac:dyDescent="0.25">
      <c r="A83" s="401"/>
      <c r="B83" s="94"/>
      <c r="C83" s="90" t="s">
        <v>318</v>
      </c>
      <c r="D83" s="90"/>
      <c r="E83" s="90"/>
      <c r="F83" s="94"/>
      <c r="G83" s="94"/>
      <c r="H83" s="94"/>
      <c r="I83" s="94"/>
      <c r="J83" s="94"/>
      <c r="K83" s="94"/>
      <c r="L83" s="769"/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0"/>
      <c r="Y83" s="94"/>
      <c r="Z83" s="400">
        <f>SUM(Z84:Z111)</f>
        <v>38893.502337334721</v>
      </c>
      <c r="AA83" s="273">
        <f>SUM(AA84:AA111)</f>
        <v>269.63064015158301</v>
      </c>
      <c r="AB83" s="94"/>
      <c r="AC83" s="94"/>
    </row>
    <row r="84" spans="1:29" x14ac:dyDescent="0.25">
      <c r="A84" s="168"/>
      <c r="B84" s="1"/>
      <c r="C84" s="24"/>
      <c r="D84" s="24"/>
      <c r="E84" s="24"/>
      <c r="F84" s="1"/>
      <c r="G84" s="1"/>
      <c r="H84" s="1"/>
      <c r="I84" s="1"/>
      <c r="J84" s="1"/>
      <c r="K84" s="1"/>
      <c r="L84" s="788"/>
      <c r="X84" s="1"/>
      <c r="AA84" s="55"/>
    </row>
    <row r="85" spans="1:29" x14ac:dyDescent="0.25">
      <c r="A85" s="168"/>
      <c r="B85" s="14"/>
      <c r="C85" s="24" t="s">
        <v>103</v>
      </c>
      <c r="D85" s="24"/>
      <c r="E85" s="24"/>
      <c r="L85" s="767"/>
      <c r="X85" s="1"/>
      <c r="AA85" s="55"/>
    </row>
    <row r="86" spans="1:29" x14ac:dyDescent="0.25">
      <c r="A86" s="168"/>
      <c r="B86" s="14"/>
      <c r="D86" s="11" t="s">
        <v>684</v>
      </c>
      <c r="E86" s="11"/>
      <c r="F86">
        <v>312</v>
      </c>
      <c r="J86">
        <v>25</v>
      </c>
      <c r="L86" s="785"/>
      <c r="M86" s="785">
        <v>174.36</v>
      </c>
      <c r="N86" s="154">
        <f>Tabla13[[#This Row],[KG NETOS TOT]]*Tabla13[[#This Row],[PRECIO UNITARIO USD/TN]]</f>
        <v>4359</v>
      </c>
      <c r="P86" s="154">
        <f>Tabla13[[#This Row],[SUBTOTAL]]*0.21</f>
        <v>915.39</v>
      </c>
      <c r="Q86" s="154">
        <f>SUM(Tabla13[[#This Row],[SUBTOTAL]:[IVA 21]])</f>
        <v>5274.39</v>
      </c>
      <c r="R86" s="154"/>
      <c r="W86" s="154"/>
      <c r="X86" s="775">
        <f>Tabla13[[#This Row],[TIPO DE CAMBIO]]*Tabla13[[#This Row],[TOTAL USD]]</f>
        <v>879504.53250000009</v>
      </c>
      <c r="Y86" s="774">
        <v>166.75</v>
      </c>
      <c r="Z86" s="154">
        <v>5274.39</v>
      </c>
      <c r="AA86" s="274">
        <f>Tabla13[[#This Row],[TOTAL USD]]/Tabla13[[#This Row],[HAS]]</f>
        <v>16.905096153846156</v>
      </c>
    </row>
    <row r="87" spans="1:29" x14ac:dyDescent="0.25">
      <c r="A87" s="168"/>
      <c r="B87" s="14"/>
      <c r="D87" s="11"/>
      <c r="E87" s="11"/>
      <c r="L87" s="785"/>
      <c r="M87" s="154"/>
      <c r="N87" s="154"/>
      <c r="Q87" s="154"/>
      <c r="R87" s="154"/>
      <c r="W87" s="154"/>
      <c r="X87" s="775"/>
      <c r="Y87" s="774"/>
      <c r="Z87" s="154"/>
      <c r="AA87" s="274"/>
    </row>
    <row r="88" spans="1:29" x14ac:dyDescent="0.25">
      <c r="A88" s="168"/>
      <c r="B88" s="14"/>
      <c r="D88" s="11"/>
      <c r="E88" s="11"/>
      <c r="L88" s="785"/>
      <c r="M88" s="154"/>
      <c r="N88" s="154"/>
      <c r="Q88" s="154"/>
      <c r="R88" s="154"/>
      <c r="W88" s="154"/>
      <c r="X88" s="775"/>
      <c r="Y88" s="774"/>
      <c r="Z88" s="154"/>
      <c r="AA88" s="274"/>
    </row>
    <row r="89" spans="1:29" x14ac:dyDescent="0.25">
      <c r="A89" s="168"/>
      <c r="B89" s="14"/>
      <c r="C89" s="24" t="s">
        <v>56</v>
      </c>
      <c r="D89" s="11"/>
      <c r="E89" s="11"/>
      <c r="L89" s="767"/>
      <c r="N89" s="765">
        <f>Tabla13[[#This Row],[$/TN]]*Tabla13[[#This Row],[HAS]]</f>
        <v>0</v>
      </c>
      <c r="X89" s="775"/>
      <c r="Y89" s="774"/>
      <c r="Z89" s="154"/>
      <c r="AA89" s="274"/>
    </row>
    <row r="90" spans="1:29" ht="18" customHeight="1" x14ac:dyDescent="0.25">
      <c r="A90" s="613">
        <v>44971</v>
      </c>
      <c r="B90" s="614"/>
      <c r="C90" s="617"/>
      <c r="D90" s="616" t="s">
        <v>685</v>
      </c>
      <c r="E90" s="616"/>
      <c r="F90" s="617">
        <v>312</v>
      </c>
      <c r="G90" s="617"/>
      <c r="H90" s="617"/>
      <c r="I90" s="617"/>
      <c r="J90" s="617"/>
      <c r="K90" s="617"/>
      <c r="L90" s="787"/>
      <c r="M90" s="780">
        <v>9200</v>
      </c>
      <c r="N90" s="787">
        <v>2597647.0588235296</v>
      </c>
      <c r="O90" s="619">
        <f>Tabla13[[#This Row],[SUBTOTAL]]*0.105</f>
        <v>272752.9411764706</v>
      </c>
      <c r="P90" s="617"/>
      <c r="Q90" s="619">
        <f>SUM(Tabla13[[#This Row],[SUBTOTAL]:[IVA 21]])</f>
        <v>2870400</v>
      </c>
      <c r="R90" s="619"/>
      <c r="S90" s="617"/>
      <c r="T90" s="617"/>
      <c r="U90" s="617"/>
      <c r="V90" s="617"/>
      <c r="W90" s="617"/>
      <c r="X90" s="786">
        <f>SUM(Tabla13[[#This Row],[TOTAL]:[IVA RG 2300/2007]])</f>
        <v>2870400</v>
      </c>
      <c r="Y90" s="780">
        <v>192</v>
      </c>
      <c r="Z90" s="620">
        <v>13789.824884792626</v>
      </c>
      <c r="AA90" s="621">
        <f>Tabla13[[#This Row],[TOTAL USD]]/Tabla13[[#This Row],[HAS]]</f>
        <v>44.198156682027651</v>
      </c>
      <c r="AB90" s="617"/>
      <c r="AC90" s="617" t="s">
        <v>643</v>
      </c>
    </row>
    <row r="91" spans="1:29" x14ac:dyDescent="0.25">
      <c r="A91" s="168"/>
      <c r="B91" s="14"/>
      <c r="D91" s="11"/>
      <c r="E91" s="31"/>
      <c r="L91" s="785"/>
      <c r="X91" s="775"/>
      <c r="Y91" s="774"/>
      <c r="Z91" s="154"/>
      <c r="AA91" s="274"/>
    </row>
    <row r="92" spans="1:29" x14ac:dyDescent="0.25">
      <c r="A92" s="168"/>
      <c r="B92" s="14"/>
      <c r="D92" s="11"/>
      <c r="E92" s="11"/>
      <c r="L92" s="767"/>
      <c r="X92" s="1"/>
      <c r="Y92" s="774"/>
      <c r="Z92" s="154"/>
      <c r="AA92" s="55"/>
    </row>
    <row r="93" spans="1:29" x14ac:dyDescent="0.25">
      <c r="A93" s="168"/>
      <c r="B93" s="14"/>
      <c r="C93" s="24" t="s">
        <v>52</v>
      </c>
      <c r="D93" s="29"/>
      <c r="E93" s="29"/>
      <c r="L93" s="767"/>
      <c r="X93" s="1"/>
      <c r="Y93" s="774"/>
      <c r="Z93" s="154"/>
      <c r="AA93" s="55"/>
    </row>
    <row r="94" spans="1:29" x14ac:dyDescent="0.25">
      <c r="A94" s="33"/>
      <c r="B94" s="218"/>
      <c r="C94" s="24"/>
      <c r="D94" s="11"/>
      <c r="E94" s="11"/>
      <c r="F94" s="11"/>
      <c r="G94" s="11"/>
      <c r="L94" s="765"/>
      <c r="M94" s="784"/>
      <c r="N94" s="765"/>
      <c r="O94" s="774"/>
      <c r="Q94" s="774"/>
      <c r="R94" s="774"/>
      <c r="W94" s="774"/>
      <c r="X94" s="32"/>
      <c r="Y94" s="774"/>
      <c r="Z94" s="154"/>
      <c r="AA94" s="274"/>
    </row>
    <row r="95" spans="1:29" x14ac:dyDescent="0.25">
      <c r="A95" s="33"/>
      <c r="B95" s="218"/>
      <c r="C95" s="24"/>
      <c r="D95" s="11"/>
      <c r="E95" s="11"/>
      <c r="F95" s="11"/>
      <c r="G95" s="11"/>
      <c r="L95" s="765"/>
      <c r="M95" s="784"/>
      <c r="N95" s="765"/>
      <c r="O95" s="774"/>
      <c r="Q95" s="774"/>
      <c r="R95" s="774"/>
      <c r="W95" s="774"/>
      <c r="X95" s="32"/>
      <c r="Y95" s="774"/>
      <c r="Z95" s="154"/>
      <c r="AA95" s="274"/>
    </row>
    <row r="96" spans="1:29" x14ac:dyDescent="0.25">
      <c r="A96" s="33"/>
      <c r="B96" s="218"/>
      <c r="C96" s="24"/>
      <c r="D96" s="11"/>
      <c r="E96" s="11"/>
      <c r="F96" s="11"/>
      <c r="G96" s="11"/>
      <c r="L96" s="765"/>
      <c r="M96" s="784"/>
      <c r="N96" s="765"/>
      <c r="O96" s="774"/>
      <c r="Q96" s="774"/>
      <c r="R96" s="774"/>
      <c r="W96" s="774"/>
      <c r="X96" s="32"/>
      <c r="Y96" s="774"/>
      <c r="Z96" s="154"/>
      <c r="AA96" s="274"/>
    </row>
    <row r="97" spans="1:29" x14ac:dyDescent="0.25">
      <c r="A97" s="33"/>
      <c r="B97" s="218"/>
      <c r="C97" s="24"/>
      <c r="D97" s="11"/>
      <c r="E97" s="11"/>
      <c r="F97" s="11"/>
      <c r="G97" s="11"/>
      <c r="L97" s="765"/>
      <c r="M97" s="784"/>
      <c r="N97" s="765"/>
      <c r="O97" s="774"/>
      <c r="Q97" s="774"/>
      <c r="R97" s="774"/>
      <c r="W97" s="774"/>
      <c r="X97" s="32"/>
      <c r="Y97" s="774"/>
      <c r="Z97" s="154"/>
      <c r="AA97" s="274"/>
    </row>
    <row r="98" spans="1:29" x14ac:dyDescent="0.25">
      <c r="A98" s="33"/>
      <c r="B98" s="218"/>
      <c r="C98" s="24"/>
      <c r="D98" s="11"/>
      <c r="E98" s="11"/>
      <c r="F98" s="11"/>
      <c r="G98" s="11"/>
      <c r="L98" s="765"/>
      <c r="M98" s="783"/>
      <c r="N98" s="765"/>
      <c r="O98" s="774"/>
      <c r="P98" s="774"/>
      <c r="Q98" s="774"/>
      <c r="R98" s="774"/>
      <c r="S98" s="774"/>
      <c r="W98" s="774"/>
      <c r="X98" s="32"/>
      <c r="Y98" s="774"/>
      <c r="Z98" s="154"/>
      <c r="AA98" s="274"/>
    </row>
    <row r="99" spans="1:29" x14ac:dyDescent="0.25">
      <c r="A99" s="33"/>
      <c r="B99" s="14"/>
      <c r="C99" s="24" t="s">
        <v>154</v>
      </c>
      <c r="D99" s="14"/>
      <c r="E99" s="14"/>
      <c r="L99" s="767"/>
      <c r="M99" s="774"/>
      <c r="N99" s="774"/>
      <c r="O99" s="774"/>
      <c r="P99" s="774"/>
      <c r="Q99" s="774"/>
      <c r="R99" s="774"/>
      <c r="S99" s="774"/>
      <c r="X99" s="1"/>
      <c r="Y99" s="774"/>
      <c r="Z99" s="154"/>
      <c r="AA99" s="55"/>
    </row>
    <row r="100" spans="1:29" x14ac:dyDescent="0.25">
      <c r="A100" s="33">
        <v>44958</v>
      </c>
      <c r="B100" s="14"/>
      <c r="C100" s="14"/>
      <c r="D100" s="14" t="s">
        <v>686</v>
      </c>
      <c r="E100" s="14"/>
      <c r="F100">
        <v>172</v>
      </c>
      <c r="L100" s="767"/>
      <c r="M100" s="774">
        <v>2120</v>
      </c>
      <c r="N100" s="774">
        <f>Tabla13[[#This Row],[PRECIO UNITARIO USD/TN]]*Tabla13[[#This Row],[HAS]]</f>
        <v>364640</v>
      </c>
      <c r="O100" s="774">
        <f>Tabla13[[#This Row],[SUBTOTAL]]*0.105</f>
        <v>38287.199999999997</v>
      </c>
      <c r="P100" s="774"/>
      <c r="Q100" s="774">
        <f>SUM(Tabla13[[#This Row],[SUBTOTAL]:[IVA 21]])</f>
        <v>402927.2</v>
      </c>
      <c r="R100" s="774"/>
      <c r="S100" s="774"/>
      <c r="X100" s="775">
        <f>SUM(Tabla13[[#This Row],[TOTAL]:[IVA RG 2300/2007]])</f>
        <v>402927.2</v>
      </c>
      <c r="Y100" s="774">
        <v>202</v>
      </c>
      <c r="Z100" s="154">
        <f>Tabla13[[#This Row],[TOTAL A LIQUIDAR]]/Tabla13[[#This Row],[TIPO DE CAMBIO]]</f>
        <v>1994.689108910891</v>
      </c>
      <c r="AA100" s="274">
        <f>Tabla13[[#This Row],[TOTAL USD]]/Tabla13[[#This Row],[HAS]]</f>
        <v>11.597029702970296</v>
      </c>
      <c r="AB100" t="s">
        <v>687</v>
      </c>
      <c r="AC100" t="s">
        <v>688</v>
      </c>
    </row>
    <row r="101" spans="1:29" x14ac:dyDescent="0.25">
      <c r="A101" s="33">
        <v>45008</v>
      </c>
      <c r="B101" s="14"/>
      <c r="C101" s="14"/>
      <c r="D101" s="14" t="s">
        <v>689</v>
      </c>
      <c r="E101" s="14"/>
      <c r="F101">
        <v>120</v>
      </c>
      <c r="L101" s="767"/>
      <c r="M101" s="154">
        <v>9.5</v>
      </c>
      <c r="N101" s="774">
        <f>Tabla13[[#This Row],[PRECIO UNITARIO USD/TN]]*Tabla13[[#This Row],[HAS]]*Tabla13[[#This Row],[TIPO DE CAMBIO]]</f>
        <v>231420</v>
      </c>
      <c r="O101" s="774">
        <f>Tabla13[[#This Row],[SUBTOTAL]]*0.105</f>
        <v>24299.1</v>
      </c>
      <c r="P101" s="774"/>
      <c r="Q101" s="774">
        <f>SUM(Tabla13[[#This Row],[SUBTOTAL]:[IVA 21]])</f>
        <v>255719.1</v>
      </c>
      <c r="R101" s="774"/>
      <c r="S101" s="774"/>
      <c r="X101" s="775">
        <f>SUM(Tabla13[[#This Row],[TOTAL]:[IVA RG 2300/2007]])</f>
        <v>255719.1</v>
      </c>
      <c r="Y101" s="774">
        <v>203</v>
      </c>
      <c r="Z101" s="154">
        <f>Tabla13[[#This Row],[TOTAL A LIQUIDAR]]/Tabla13[[#This Row],[TIPO DE CAMBIO]]</f>
        <v>1259.7</v>
      </c>
      <c r="AA101" s="274">
        <f>Tabla13[[#This Row],[TOTAL USD]]/Tabla13[[#This Row],[HAS]]</f>
        <v>10.4975</v>
      </c>
      <c r="AB101" t="s">
        <v>690</v>
      </c>
      <c r="AC101" t="s">
        <v>176</v>
      </c>
    </row>
    <row r="102" spans="1:29" x14ac:dyDescent="0.25">
      <c r="A102" s="33"/>
      <c r="B102" s="14"/>
      <c r="C102" s="24" t="s">
        <v>65</v>
      </c>
      <c r="D102" s="14"/>
      <c r="E102" s="14"/>
      <c r="L102" s="767"/>
      <c r="Q102" s="774">
        <f>SUM(Tabla13[[#This Row],[SUBTOTAL]:[IVA 21]])</f>
        <v>0</v>
      </c>
      <c r="R102" s="774"/>
      <c r="X102" s="1"/>
      <c r="Y102" s="774"/>
      <c r="Z102" s="154"/>
      <c r="AA102" s="55"/>
    </row>
    <row r="103" spans="1:29" x14ac:dyDescent="0.25">
      <c r="A103" s="613">
        <v>45208</v>
      </c>
      <c r="B103" s="614"/>
      <c r="C103" s="615"/>
      <c r="D103" s="616" t="s">
        <v>691</v>
      </c>
      <c r="E103" s="614"/>
      <c r="F103" s="617">
        <v>264</v>
      </c>
      <c r="G103" s="617"/>
      <c r="H103" s="617"/>
      <c r="I103" s="617"/>
      <c r="J103" s="617"/>
      <c r="K103" s="617"/>
      <c r="L103" s="782"/>
      <c r="M103" s="780">
        <v>20000</v>
      </c>
      <c r="N103" s="780">
        <f>Tabla13[[#This Row],[PRECIO UNITARIO USD/TN]]*Tabla13[[#This Row],[HAS]]</f>
        <v>5280000</v>
      </c>
      <c r="O103" s="619">
        <f>Tabla13[[#This Row],[SUBTOTAL]]*0.105</f>
        <v>554400</v>
      </c>
      <c r="P103" s="617"/>
      <c r="Q103" s="780">
        <f>SUM(Tabla13[[#This Row],[SUBTOTAL]:[IVA 21]])</f>
        <v>5834400</v>
      </c>
      <c r="R103" s="780"/>
      <c r="S103" s="617"/>
      <c r="T103" s="617"/>
      <c r="U103" s="617"/>
      <c r="V103" s="617"/>
      <c r="W103" s="617"/>
      <c r="X103" s="781">
        <f>SUM(Tabla13[[#This Row],[TOTAL]:[IVA RG 2300/2007]])</f>
        <v>5834400</v>
      </c>
      <c r="Y103" s="780">
        <v>350</v>
      </c>
      <c r="Z103" s="620">
        <v>9135.2451936755679</v>
      </c>
      <c r="AA103" s="621">
        <f>Tabla13[[#This Row],[TOTAL USD]]/Tabla13[[#This Row],[HAS]]</f>
        <v>34.603201491195335</v>
      </c>
      <c r="AB103" s="617" t="s">
        <v>500</v>
      </c>
      <c r="AC103" s="617" t="s">
        <v>122</v>
      </c>
    </row>
    <row r="104" spans="1:29" x14ac:dyDescent="0.25">
      <c r="A104" s="168"/>
      <c r="B104" s="14"/>
      <c r="C104" s="24" t="s">
        <v>94</v>
      </c>
      <c r="D104" s="11"/>
      <c r="E104" s="14"/>
      <c r="L104" s="767"/>
      <c r="X104" s="766">
        <f>SUM(Tabla13[[#This Row],[TOTAL]:[IVA RG 2300/2007]])</f>
        <v>0</v>
      </c>
      <c r="Z104" s="154"/>
      <c r="AA104" s="274"/>
    </row>
    <row r="105" spans="1:29" x14ac:dyDescent="0.25">
      <c r="A105" s="168"/>
      <c r="B105" s="14"/>
      <c r="C105" s="24"/>
      <c r="D105" s="11"/>
      <c r="E105" s="14"/>
      <c r="L105" s="767"/>
      <c r="X105" s="766">
        <f>SUM(Tabla13[[#This Row],[TOTAL]:[IVA RG 2300/2007]])</f>
        <v>0</v>
      </c>
      <c r="Z105" s="154"/>
      <c r="AA105" s="274"/>
    </row>
    <row r="106" spans="1:29" x14ac:dyDescent="0.25">
      <c r="A106" s="168"/>
      <c r="B106" s="14"/>
      <c r="C106" s="24" t="s">
        <v>325</v>
      </c>
      <c r="D106" s="14" t="s">
        <v>692</v>
      </c>
      <c r="E106" s="14"/>
      <c r="F106">
        <v>49</v>
      </c>
      <c r="K106">
        <v>1.3</v>
      </c>
      <c r="L106" s="765">
        <v>408870</v>
      </c>
      <c r="N106" s="765">
        <f>Tabla13[[#This Row],[KG/HA (REND)]]*Tabla13[[#This Row],[$/TN]]</f>
        <v>531531</v>
      </c>
      <c r="O106" s="765"/>
      <c r="P106" s="765"/>
      <c r="Q106" s="765">
        <f>SUM(Tabla13[[#This Row],[SUBTOTAL]:[IVA 21]])</f>
        <v>531531</v>
      </c>
      <c r="R106" s="765"/>
      <c r="S106" s="765"/>
      <c r="T106" s="765"/>
      <c r="U106" s="765"/>
      <c r="V106" s="765"/>
      <c r="W106" s="765"/>
      <c r="X106" s="766">
        <f>SUM(Tabla13[[#This Row],[TOTAL]:[IVA RG 2300/2007]])</f>
        <v>531531</v>
      </c>
      <c r="Y106" s="765">
        <v>230</v>
      </c>
      <c r="Z106" s="154">
        <f>Tabla13[[#This Row],[TOTAL A LIQUIDAR]]/Tabla13[[#This Row],[TIPO DE CAMBIO]]</f>
        <v>2311.0043478260868</v>
      </c>
      <c r="AA106" s="274">
        <f>Tabla13[[#This Row],[TOTAL USD]]/Tabla13[[#This Row],[HAS]]</f>
        <v>47.163354037267077</v>
      </c>
      <c r="AC106" t="s">
        <v>693</v>
      </c>
    </row>
    <row r="107" spans="1:29" x14ac:dyDescent="0.25">
      <c r="A107" s="168"/>
      <c r="B107" s="14"/>
      <c r="C107" s="24"/>
      <c r="D107" s="11" t="s">
        <v>694</v>
      </c>
      <c r="E107" s="14"/>
      <c r="F107">
        <v>49</v>
      </c>
      <c r="J107">
        <v>1062.4000000000001</v>
      </c>
      <c r="K107">
        <f>Tabla13[[#This Row],[KG NETOS TOT]]/Tabla13[[#This Row],[HAS]]</f>
        <v>21.681632653061225</v>
      </c>
      <c r="L107" s="765">
        <v>54405</v>
      </c>
      <c r="N107" s="765">
        <f>Tabla13[[#This Row],[KG/HA (REND)]]*Tabla13[[#This Row],[$/TN]]</f>
        <v>1179589.224489796</v>
      </c>
      <c r="O107" s="765"/>
      <c r="P107" s="765"/>
      <c r="Q107" s="765">
        <f>SUM(Tabla13[[#This Row],[SUBTOTAL]:[IVA 21]])</f>
        <v>1179589.224489796</v>
      </c>
      <c r="R107" s="765"/>
      <c r="S107" s="765"/>
      <c r="T107" s="765"/>
      <c r="U107" s="765"/>
      <c r="V107" s="765"/>
      <c r="W107" s="765"/>
      <c r="X107" s="766">
        <f>SUM(Tabla13[[#This Row],[TOTAL]:[IVA RG 2300/2007]])</f>
        <v>1179589.224489796</v>
      </c>
      <c r="Y107" s="765">
        <v>230</v>
      </c>
      <c r="Z107" s="154">
        <f>Tabla13[[#This Row],[TOTAL A LIQUIDAR]]/Tabla13[[#This Row],[TIPO DE CAMBIO]]</f>
        <v>5128.6488021295481</v>
      </c>
      <c r="AA107" s="274">
        <f>Tabla13[[#This Row],[TOTAL USD]]/Tabla13[[#This Row],[HAS]]</f>
        <v>104.6663020842765</v>
      </c>
      <c r="AC107" t="s">
        <v>694</v>
      </c>
    </row>
    <row r="108" spans="1:29" x14ac:dyDescent="0.25">
      <c r="A108" s="168"/>
      <c r="B108" s="14"/>
      <c r="C108" s="24" t="s">
        <v>523</v>
      </c>
      <c r="D108" s="14"/>
      <c r="E108" s="14"/>
      <c r="F108" s="279"/>
      <c r="K108" s="214"/>
      <c r="L108" s="767"/>
      <c r="M108" s="774"/>
      <c r="N108" s="23"/>
      <c r="O108" s="23"/>
      <c r="Q108" s="23"/>
      <c r="R108" s="23"/>
      <c r="X108" s="775"/>
      <c r="Y108" s="774"/>
      <c r="Z108" s="154"/>
      <c r="AA108" s="274"/>
    </row>
    <row r="109" spans="1:29" x14ac:dyDescent="0.25">
      <c r="A109" s="168"/>
      <c r="B109" s="14"/>
      <c r="C109" s="24"/>
      <c r="E109" s="14"/>
      <c r="F109" s="279"/>
      <c r="K109" s="214"/>
      <c r="L109" s="767"/>
      <c r="M109" s="774"/>
      <c r="N109" s="23"/>
      <c r="O109" s="23"/>
      <c r="Q109" s="23"/>
      <c r="R109" s="23"/>
      <c r="X109" s="775"/>
      <c r="Y109" s="774"/>
      <c r="Z109" s="154"/>
      <c r="AA109" s="274"/>
    </row>
    <row r="110" spans="1:29" x14ac:dyDescent="0.25">
      <c r="A110" s="168"/>
      <c r="B110" s="14"/>
      <c r="L110" s="767"/>
      <c r="X110" s="1"/>
      <c r="AA110" s="55"/>
    </row>
    <row r="111" spans="1:29" x14ac:dyDescent="0.25">
      <c r="A111" s="168"/>
      <c r="B111" s="14"/>
      <c r="L111" s="767"/>
      <c r="X111" s="1"/>
      <c r="AA111" s="55"/>
    </row>
    <row r="112" spans="1:29" ht="15.75" x14ac:dyDescent="0.25">
      <c r="A112" s="255"/>
      <c r="B112" s="254" t="s">
        <v>695</v>
      </c>
      <c r="C112" s="253"/>
      <c r="D112" s="253"/>
      <c r="E112" s="253"/>
      <c r="F112" s="252"/>
      <c r="G112" s="252"/>
      <c r="H112" s="252"/>
      <c r="I112" s="252"/>
      <c r="J112" s="252"/>
      <c r="K112" s="252"/>
      <c r="L112" s="779"/>
      <c r="M112" s="251"/>
      <c r="N112" s="251"/>
      <c r="O112" s="251"/>
      <c r="P112" s="251"/>
      <c r="Q112" s="251"/>
      <c r="R112" s="251"/>
      <c r="S112" s="251"/>
      <c r="T112" s="251"/>
      <c r="U112" s="251"/>
      <c r="V112" s="251"/>
      <c r="W112" s="251"/>
      <c r="X112" s="600"/>
      <c r="Y112" s="251"/>
      <c r="Z112" s="251"/>
      <c r="AA112" s="271"/>
      <c r="AB112" s="251"/>
      <c r="AC112" s="251"/>
    </row>
    <row r="113" spans="1:29" ht="15.75" x14ac:dyDescent="0.25">
      <c r="A113" s="248"/>
      <c r="B113" s="250" t="s">
        <v>40</v>
      </c>
      <c r="C113" s="249"/>
      <c r="D113" s="249"/>
      <c r="E113" s="249"/>
      <c r="F113" s="248"/>
      <c r="G113" s="248"/>
      <c r="H113" s="248"/>
      <c r="I113" s="248"/>
      <c r="J113" s="248"/>
      <c r="K113" s="248"/>
      <c r="L113" s="771"/>
      <c r="M113" s="248"/>
      <c r="N113" s="248"/>
      <c r="O113" s="248"/>
      <c r="P113" s="248"/>
      <c r="Q113" s="248"/>
      <c r="R113" s="248"/>
      <c r="S113" s="248"/>
      <c r="T113" s="248"/>
      <c r="U113" s="248"/>
      <c r="V113" s="248"/>
      <c r="W113" s="248"/>
      <c r="X113" s="602">
        <f>X114-X119</f>
        <v>-607418.875</v>
      </c>
      <c r="Y113" s="248"/>
      <c r="Z113" s="280">
        <f>Z114-Z119</f>
        <v>-2613.8660714285716</v>
      </c>
      <c r="AA113" s="272">
        <f>AA114-AA119</f>
        <v>-87.128869047619048</v>
      </c>
      <c r="AB113" s="248"/>
      <c r="AC113" s="248"/>
    </row>
    <row r="114" spans="1:29" ht="15.75" x14ac:dyDescent="0.25">
      <c r="A114" s="260"/>
      <c r="B114" s="90"/>
      <c r="C114" s="277" t="s">
        <v>170</v>
      </c>
      <c r="D114" s="270"/>
      <c r="E114" s="270"/>
      <c r="F114" s="267"/>
      <c r="G114" s="267"/>
      <c r="H114" s="265"/>
      <c r="I114" s="265"/>
      <c r="J114" s="94"/>
      <c r="K114" s="94"/>
      <c r="L114" s="778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770">
        <f>SUM(X115:X118)</f>
        <v>0</v>
      </c>
      <c r="Y114" s="777"/>
      <c r="Z114" s="776">
        <f>SUM(Z115:Z118)</f>
        <v>0</v>
      </c>
      <c r="AA114" s="776">
        <f>SUM(AA115:AA118)</f>
        <v>0</v>
      </c>
      <c r="AB114" s="94"/>
      <c r="AC114" s="94"/>
    </row>
    <row r="115" spans="1:29" ht="15.75" x14ac:dyDescent="0.25">
      <c r="A115" s="33"/>
      <c r="B115" s="1"/>
      <c r="D115" s="16"/>
      <c r="E115" s="16"/>
      <c r="F115" s="18"/>
      <c r="G115" s="18"/>
      <c r="H115" s="18"/>
      <c r="I115" s="18"/>
      <c r="L115" s="765"/>
      <c r="N115" s="23"/>
      <c r="X115" s="775"/>
      <c r="Y115" s="774"/>
      <c r="Z115" s="773"/>
      <c r="AA115" s="274"/>
    </row>
    <row r="116" spans="1:29" ht="15.75" x14ac:dyDescent="0.25">
      <c r="A116" s="33"/>
      <c r="B116" s="1"/>
      <c r="D116" s="16"/>
      <c r="E116" s="16"/>
      <c r="F116" s="18"/>
      <c r="G116" s="18"/>
      <c r="H116" s="18"/>
      <c r="I116" s="18"/>
      <c r="L116" s="765"/>
      <c r="X116" s="775"/>
      <c r="Y116" s="774"/>
      <c r="Z116" s="773"/>
      <c r="AA116" s="274"/>
    </row>
    <row r="117" spans="1:29" ht="15.75" x14ac:dyDescent="0.25">
      <c r="A117" s="33"/>
      <c r="B117" s="1"/>
      <c r="D117" s="16"/>
      <c r="E117" s="16"/>
      <c r="F117" s="18"/>
      <c r="G117" s="18"/>
      <c r="H117" s="18"/>
      <c r="I117" s="18"/>
      <c r="L117" s="765"/>
      <c r="X117" s="775"/>
      <c r="Y117" s="774"/>
      <c r="Z117" s="773"/>
      <c r="AA117" s="274"/>
    </row>
    <row r="118" spans="1:29" ht="15.75" x14ac:dyDescent="0.25">
      <c r="A118" s="33"/>
      <c r="B118" s="1"/>
      <c r="D118" s="16"/>
      <c r="E118" s="16"/>
      <c r="F118" s="18"/>
      <c r="G118" s="18"/>
      <c r="H118" s="18"/>
      <c r="I118" s="18"/>
      <c r="L118" s="765"/>
      <c r="X118" s="775"/>
      <c r="Y118" s="774"/>
      <c r="Z118" s="773"/>
      <c r="AA118" s="274"/>
    </row>
    <row r="119" spans="1:29" x14ac:dyDescent="0.25">
      <c r="A119" s="260"/>
      <c r="B119" s="90"/>
      <c r="C119" s="277" t="s">
        <v>318</v>
      </c>
      <c r="D119" s="90"/>
      <c r="E119" s="90"/>
      <c r="F119" s="94"/>
      <c r="G119" s="94"/>
      <c r="H119" s="94"/>
      <c r="I119" s="94"/>
      <c r="J119" s="94"/>
      <c r="K119" s="94"/>
      <c r="L119" s="769"/>
      <c r="M119" s="94"/>
      <c r="N119" s="94"/>
      <c r="O119" s="94"/>
      <c r="P119" s="94"/>
      <c r="Q119" s="94"/>
      <c r="R119" s="94"/>
      <c r="S119" s="94"/>
      <c r="T119" s="94"/>
      <c r="U119" s="94"/>
      <c r="V119" s="94"/>
      <c r="W119" s="94"/>
      <c r="X119" s="770">
        <f>SUM(X120:X123)</f>
        <v>607418.875</v>
      </c>
      <c r="Y119" s="777"/>
      <c r="Z119" s="776">
        <f>SUM(Z120:Z123)</f>
        <v>2613.8660714285716</v>
      </c>
      <c r="AA119" s="776">
        <f>SUM(AA120:AA123)</f>
        <v>87.128869047619048</v>
      </c>
      <c r="AB119" s="94"/>
      <c r="AC119" s="94"/>
    </row>
    <row r="120" spans="1:29" x14ac:dyDescent="0.25">
      <c r="A120" s="168">
        <v>45001</v>
      </c>
      <c r="B120" s="1"/>
      <c r="C120" t="s">
        <v>103</v>
      </c>
      <c r="D120" t="s">
        <v>531</v>
      </c>
      <c r="E120" s="1"/>
      <c r="F120">
        <v>30</v>
      </c>
      <c r="G120" s="242"/>
      <c r="J120">
        <v>125</v>
      </c>
      <c r="L120" s="767"/>
      <c r="M120" s="773">
        <v>10.55</v>
      </c>
      <c r="N120" s="765">
        <f>Tabla13[[#This Row],[PRECIO UNITARIO USD/TN]]*Tabla13[[#This Row],[KG NETOS TOT]]*202</f>
        <v>266387.5</v>
      </c>
      <c r="P120" s="23">
        <f>Tabla13[[#This Row],[SUBTOTAL]]*0.21</f>
        <v>55941.375</v>
      </c>
      <c r="Q120" s="774">
        <f>SUM(Tabla13[[#This Row],[SUBTOTAL]:[IVA 21]])</f>
        <v>322328.875</v>
      </c>
      <c r="R120" s="774"/>
      <c r="X120" s="775">
        <f>SUM(Tabla13[[#This Row],[TOTAL]:[IVA RG 2300/2007]])</f>
        <v>322328.875</v>
      </c>
      <c r="Y120" s="765">
        <v>202</v>
      </c>
      <c r="Z120" s="773">
        <f>Tabla13[[#This Row],[TOTAL A LIQUIDAR]]/Tabla13[[#This Row],[TIPO DE CAMBIO]]</f>
        <v>1595.6875</v>
      </c>
      <c r="AA120" s="772">
        <f>Tabla13[[#This Row],[TOTAL USD]]/Tabla13[[#This Row],[HAS]]</f>
        <v>53.189583333333331</v>
      </c>
      <c r="AB120" t="s">
        <v>696</v>
      </c>
      <c r="AC120" t="s">
        <v>104</v>
      </c>
    </row>
    <row r="121" spans="1:29" x14ac:dyDescent="0.25">
      <c r="A121" s="33">
        <v>45085</v>
      </c>
      <c r="C121" t="s">
        <v>56</v>
      </c>
      <c r="D121" t="s">
        <v>697</v>
      </c>
      <c r="F121">
        <v>30</v>
      </c>
      <c r="L121" s="767"/>
      <c r="M121" s="774">
        <v>8600</v>
      </c>
      <c r="N121" s="774">
        <f>Tabla13[[#This Row],[HAS]]*Tabla13[[#This Row],[PRECIO UNITARIO USD/TN]]</f>
        <v>258000</v>
      </c>
      <c r="O121" s="23">
        <f>Tabla13[[#This Row],[SUBTOTAL]]*0.105</f>
        <v>27090</v>
      </c>
      <c r="Q121" s="774">
        <f>SUM(Tabla13[[#This Row],[SUBTOTAL]:[IVA 21]])</f>
        <v>285090</v>
      </c>
      <c r="R121" s="774"/>
      <c r="S121" s="774"/>
      <c r="T121" s="774"/>
      <c r="U121" s="774"/>
      <c r="V121" s="774"/>
      <c r="W121" s="774"/>
      <c r="X121" s="775">
        <f>SUM(Tabla13[[#This Row],[TOTAL]:[IVA RG 2300/2007]])</f>
        <v>285090</v>
      </c>
      <c r="Y121" s="774">
        <v>280</v>
      </c>
      <c r="Z121" s="773">
        <f>Tabla13[[#This Row],[TOTAL A LIQUIDAR]]/Tabla13[[#This Row],[TIPO DE CAMBIO]]</f>
        <v>1018.1785714285714</v>
      </c>
      <c r="AA121" s="772">
        <f>Tabla13[[#This Row],[TOTAL USD]]/Tabla13[[#This Row],[HAS]]</f>
        <v>33.939285714285717</v>
      </c>
      <c r="AB121" t="s">
        <v>698</v>
      </c>
      <c r="AC121" t="s">
        <v>388</v>
      </c>
    </row>
    <row r="122" spans="1:29" x14ac:dyDescent="0.25">
      <c r="A122" s="33"/>
      <c r="L122" s="767"/>
      <c r="X122" s="1"/>
      <c r="Z122" s="154"/>
      <c r="AA122" s="274"/>
    </row>
    <row r="123" spans="1:29" x14ac:dyDescent="0.25">
      <c r="A123" s="33"/>
      <c r="L123" s="767"/>
      <c r="X123" s="1"/>
      <c r="Z123" s="154"/>
      <c r="AA123" s="274"/>
    </row>
    <row r="124" spans="1:29" ht="15.75" x14ac:dyDescent="0.25">
      <c r="A124" s="248"/>
      <c r="B124" s="250" t="s">
        <v>535</v>
      </c>
      <c r="C124" s="249"/>
      <c r="D124" s="249"/>
      <c r="E124" s="249"/>
      <c r="F124" s="248"/>
      <c r="G124" s="248"/>
      <c r="H124" s="248"/>
      <c r="I124" s="248"/>
      <c r="J124" s="248"/>
      <c r="K124" s="248"/>
      <c r="L124" s="771"/>
      <c r="M124" s="248"/>
      <c r="N124" s="248"/>
      <c r="O124" s="248"/>
      <c r="P124" s="248"/>
      <c r="Q124" s="248"/>
      <c r="R124" s="248"/>
      <c r="S124" s="248"/>
      <c r="T124" s="248"/>
      <c r="U124" s="248"/>
      <c r="V124" s="248"/>
      <c r="W124" s="248"/>
      <c r="X124" s="602">
        <f>X125-X128</f>
        <v>0</v>
      </c>
      <c r="Y124" s="248"/>
      <c r="Z124" s="280">
        <f>Z125-Z128</f>
        <v>0</v>
      </c>
      <c r="AA124" s="272">
        <f>AA125-AA128</f>
        <v>0</v>
      </c>
      <c r="AB124" s="248"/>
      <c r="AC124" s="248"/>
    </row>
    <row r="125" spans="1:29" x14ac:dyDescent="0.25">
      <c r="A125" s="260"/>
      <c r="B125" s="94"/>
      <c r="C125" s="278" t="s">
        <v>170</v>
      </c>
      <c r="D125" s="94"/>
      <c r="E125" s="94"/>
      <c r="F125" s="94"/>
      <c r="G125" s="94"/>
      <c r="H125" s="94"/>
      <c r="I125" s="94"/>
      <c r="J125" s="94"/>
      <c r="K125" s="94"/>
      <c r="L125" s="769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4"/>
      <c r="X125" s="770">
        <f>SUM(X126:X127)</f>
        <v>0</v>
      </c>
      <c r="Y125" s="94"/>
      <c r="Z125" s="588">
        <f>SUM(Z126:Z127)</f>
        <v>0</v>
      </c>
      <c r="AA125" s="589">
        <f>SUM(AA126:AA127)</f>
        <v>0</v>
      </c>
      <c r="AB125" s="94"/>
      <c r="AC125" s="94"/>
    </row>
    <row r="126" spans="1:29" x14ac:dyDescent="0.25">
      <c r="A126" s="33"/>
      <c r="B126" s="1"/>
      <c r="C126" s="24"/>
      <c r="F126" s="11"/>
      <c r="G126" s="11"/>
      <c r="L126" s="765"/>
      <c r="X126" s="1"/>
      <c r="AA126" s="55"/>
    </row>
    <row r="127" spans="1:29" x14ac:dyDescent="0.25">
      <c r="A127" s="33"/>
      <c r="B127" s="1"/>
      <c r="C127" s="24"/>
      <c r="F127" s="11"/>
      <c r="G127" s="11"/>
      <c r="L127" s="765"/>
      <c r="X127" s="1"/>
      <c r="AA127" s="55"/>
    </row>
    <row r="128" spans="1:29" x14ac:dyDescent="0.25">
      <c r="A128" s="260"/>
      <c r="B128" s="90"/>
      <c r="C128" s="278" t="s">
        <v>318</v>
      </c>
      <c r="D128" s="90"/>
      <c r="E128" s="90"/>
      <c r="F128" s="94"/>
      <c r="G128" s="94"/>
      <c r="H128" s="94"/>
      <c r="I128" s="94"/>
      <c r="J128" s="94"/>
      <c r="K128" s="94"/>
      <c r="L128" s="769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1">
        <f>SUM(X129:X133)</f>
        <v>0</v>
      </c>
      <c r="Y128" s="94"/>
      <c r="Z128" s="588">
        <f>SUM(Z129:Z133)</f>
        <v>0</v>
      </c>
      <c r="AA128" s="589">
        <f>SUM(AA129:AA134)</f>
        <v>0</v>
      </c>
      <c r="AB128" s="94"/>
      <c r="AC128" s="94"/>
    </row>
    <row r="129" spans="1:27" x14ac:dyDescent="0.25">
      <c r="A129" s="33"/>
      <c r="B129" s="1"/>
      <c r="C129" s="24" t="s">
        <v>103</v>
      </c>
      <c r="F129" s="11"/>
      <c r="G129" s="11"/>
      <c r="L129" s="765"/>
      <c r="N129" s="765"/>
      <c r="O129" s="23"/>
      <c r="P129" s="23"/>
      <c r="Q129" s="23"/>
      <c r="R129" s="23"/>
      <c r="X129" s="32"/>
      <c r="Y129" s="765"/>
      <c r="Z129" s="154"/>
      <c r="AA129" s="274"/>
    </row>
    <row r="130" spans="1:27" x14ac:dyDescent="0.25">
      <c r="A130" s="33"/>
      <c r="B130" s="1"/>
      <c r="C130" s="24"/>
      <c r="G130" s="11"/>
      <c r="L130" s="765"/>
      <c r="N130" s="765"/>
      <c r="O130" s="23"/>
      <c r="P130" s="23"/>
      <c r="Q130" s="23"/>
      <c r="R130" s="23"/>
      <c r="X130" s="32"/>
      <c r="Y130" s="768"/>
      <c r="Z130" s="154"/>
      <c r="AA130" s="274"/>
    </row>
    <row r="131" spans="1:27" x14ac:dyDescent="0.25">
      <c r="A131" s="33"/>
      <c r="B131" s="1"/>
      <c r="C131" s="29"/>
      <c r="L131" s="767"/>
      <c r="N131" s="765"/>
      <c r="X131" s="766"/>
      <c r="Y131" s="765"/>
      <c r="Z131" s="154"/>
      <c r="AA131" s="274"/>
    </row>
    <row r="132" spans="1:27" x14ac:dyDescent="0.25">
      <c r="A132" s="33"/>
      <c r="B132" s="1"/>
      <c r="C132" s="24" t="s">
        <v>65</v>
      </c>
      <c r="L132" s="765"/>
      <c r="N132" s="765"/>
      <c r="O132" s="23"/>
      <c r="P132" s="23"/>
      <c r="Q132" s="23"/>
      <c r="R132" s="23"/>
      <c r="X132" s="32"/>
      <c r="Y132" s="765"/>
      <c r="Z132" s="154"/>
      <c r="AA132" s="274"/>
    </row>
    <row r="133" spans="1:27" x14ac:dyDescent="0.25">
      <c r="A133" s="168"/>
      <c r="B133" s="1"/>
      <c r="C133" s="24" t="s">
        <v>56</v>
      </c>
      <c r="F133" s="11"/>
      <c r="G133" s="11"/>
      <c r="L133" s="765"/>
      <c r="X133" s="1"/>
      <c r="AA133" s="55"/>
    </row>
    <row r="134" spans="1:27" x14ac:dyDescent="0.25">
      <c r="A134" s="168"/>
      <c r="B134" s="1"/>
      <c r="C134" s="24"/>
      <c r="F134" s="11"/>
      <c r="G134" s="11"/>
      <c r="L134" s="765"/>
      <c r="X134" s="1"/>
      <c r="AA134" s="276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41715-0EDF-4994-837F-1A539AFC279E}">
  <sheetPr>
    <tabColor rgb="FF00B050"/>
  </sheetPr>
  <dimension ref="A1:XEY108"/>
  <sheetViews>
    <sheetView topLeftCell="A82" zoomScale="85" zoomScaleNormal="85" workbookViewId="0">
      <pane xSplit="4" topLeftCell="E1" activePane="topRight" state="frozen"/>
      <selection pane="topRight" activeCell="F94" sqref="F94"/>
    </sheetView>
  </sheetViews>
  <sheetFormatPr baseColWidth="10" defaultColWidth="11.42578125" defaultRowHeight="15" x14ac:dyDescent="0.25"/>
  <cols>
    <col min="1" max="1" width="11.140625" customWidth="1"/>
    <col min="2" max="2" width="14.28515625" customWidth="1"/>
    <col min="3" max="3" width="19.140625" customWidth="1"/>
    <col min="4" max="4" width="26.85546875" bestFit="1" customWidth="1"/>
    <col min="5" max="5" width="8.5703125" customWidth="1"/>
    <col min="6" max="9" width="8.140625" customWidth="1"/>
    <col min="10" max="10" width="17.42578125" customWidth="1"/>
    <col min="11" max="11" width="7.140625" customWidth="1"/>
    <col min="12" max="12" width="15.42578125" customWidth="1"/>
    <col min="13" max="13" width="11.7109375" customWidth="1"/>
    <col min="14" max="14" width="19.42578125" customWidth="1"/>
    <col min="15" max="15" width="10.7109375" customWidth="1"/>
    <col min="16" max="16" width="17" bestFit="1" customWidth="1"/>
    <col min="17" max="17" width="17.140625" customWidth="1"/>
    <col min="18" max="18" width="18.140625" bestFit="1" customWidth="1"/>
    <col min="19" max="19" width="18.7109375" customWidth="1"/>
    <col min="20" max="20" width="16.5703125" customWidth="1"/>
    <col min="21" max="21" width="17.7109375" customWidth="1"/>
    <col min="22" max="22" width="19.28515625" customWidth="1"/>
    <col min="23" max="23" width="13.42578125" customWidth="1"/>
    <col min="24" max="24" width="12.42578125" customWidth="1"/>
    <col min="25" max="25" width="18.7109375" customWidth="1"/>
    <col min="26" max="26" width="19.85546875" bestFit="1" customWidth="1"/>
    <col min="27" max="27" width="16.7109375" customWidth="1"/>
    <col min="28" max="28" width="22.7109375" customWidth="1"/>
  </cols>
  <sheetData>
    <row r="1" spans="1:28" ht="38.25" customHeight="1" x14ac:dyDescent="0.25">
      <c r="A1" s="1596" t="s">
        <v>699</v>
      </c>
      <c r="B1" s="1597"/>
      <c r="C1" s="1597"/>
      <c r="D1" s="1597"/>
      <c r="E1" s="58"/>
      <c r="F1" s="58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8"/>
    </row>
    <row r="2" spans="1:28" s="13" customFormat="1" ht="30.75" customHeight="1" x14ac:dyDescent="0.25">
      <c r="A2" s="59" t="s">
        <v>0</v>
      </c>
      <c r="B2" s="44" t="s">
        <v>1</v>
      </c>
      <c r="C2" s="44" t="s">
        <v>14</v>
      </c>
      <c r="D2" s="45" t="s">
        <v>15</v>
      </c>
      <c r="E2" s="44" t="s">
        <v>351</v>
      </c>
      <c r="F2" s="44" t="s">
        <v>352</v>
      </c>
      <c r="G2" s="44" t="s">
        <v>354</v>
      </c>
      <c r="H2" s="44" t="s">
        <v>355</v>
      </c>
      <c r="I2" s="44" t="s">
        <v>356</v>
      </c>
      <c r="J2" s="44" t="s">
        <v>700</v>
      </c>
      <c r="K2" s="44" t="s">
        <v>701</v>
      </c>
      <c r="L2" s="44" t="s">
        <v>702</v>
      </c>
      <c r="M2" s="44" t="s">
        <v>703</v>
      </c>
      <c r="N2" s="46" t="s">
        <v>704</v>
      </c>
      <c r="O2" s="46" t="s">
        <v>705</v>
      </c>
      <c r="P2" s="46" t="s">
        <v>361</v>
      </c>
      <c r="Q2" s="46" t="s">
        <v>362</v>
      </c>
      <c r="R2" s="44" t="s">
        <v>557</v>
      </c>
      <c r="S2" s="46" t="s">
        <v>706</v>
      </c>
      <c r="T2" s="46" t="s">
        <v>707</v>
      </c>
      <c r="U2" s="46" t="s">
        <v>708</v>
      </c>
      <c r="V2" s="46" t="s">
        <v>709</v>
      </c>
      <c r="W2" s="44" t="s">
        <v>710</v>
      </c>
      <c r="X2" s="44" t="s">
        <v>711</v>
      </c>
      <c r="Y2" s="51" t="s">
        <v>712</v>
      </c>
      <c r="Z2" s="51" t="s">
        <v>713</v>
      </c>
      <c r="AA2" s="44" t="s">
        <v>714</v>
      </c>
      <c r="AB2" s="45" t="s">
        <v>371</v>
      </c>
    </row>
    <row r="3" spans="1:28" s="12" customFormat="1" ht="15.75" x14ac:dyDescent="0.25">
      <c r="A3" s="173" t="s">
        <v>629</v>
      </c>
      <c r="B3" s="148"/>
      <c r="C3" s="148"/>
      <c r="D3" s="174"/>
      <c r="E3" s="148"/>
      <c r="F3" s="149"/>
      <c r="G3" s="149"/>
      <c r="H3" s="149"/>
      <c r="I3" s="149"/>
      <c r="J3" s="149"/>
      <c r="K3" s="149"/>
      <c r="L3" s="150"/>
      <c r="M3" s="150"/>
      <c r="N3" s="175">
        <f>N4+N88</f>
        <v>5078098</v>
      </c>
      <c r="O3" s="151">
        <f>O4+O88</f>
        <v>0</v>
      </c>
      <c r="P3" s="151">
        <f>P4+P88</f>
        <v>0</v>
      </c>
      <c r="Q3" s="151">
        <f>Q4+Q88</f>
        <v>0</v>
      </c>
      <c r="R3" s="151">
        <f>R4+R88</f>
        <v>0</v>
      </c>
      <c r="S3" s="151"/>
      <c r="T3" s="151"/>
      <c r="U3" s="151"/>
      <c r="V3" s="151"/>
      <c r="W3" s="151"/>
      <c r="X3" s="176"/>
      <c r="Y3" s="85">
        <f>Y4+Y88</f>
        <v>0</v>
      </c>
      <c r="Z3" s="86">
        <f>Z4+Z88</f>
        <v>0</v>
      </c>
      <c r="AA3" s="149"/>
      <c r="AB3" s="87"/>
    </row>
    <row r="4" spans="1:28" ht="15.75" x14ac:dyDescent="0.25">
      <c r="A4" s="188"/>
      <c r="B4" s="189" t="s">
        <v>715</v>
      </c>
      <c r="C4" s="189"/>
      <c r="D4" s="189"/>
      <c r="E4" s="189"/>
      <c r="F4" s="190"/>
      <c r="G4" s="190"/>
      <c r="H4" s="190"/>
      <c r="I4" s="190"/>
      <c r="J4" s="191"/>
      <c r="K4" s="190"/>
      <c r="L4" s="192"/>
      <c r="M4" s="192"/>
      <c r="N4" s="193">
        <f t="shared" ref="N4:U4" si="0">N54+N86</f>
        <v>0</v>
      </c>
      <c r="O4" s="192">
        <f t="shared" si="0"/>
        <v>0</v>
      </c>
      <c r="P4" s="192">
        <f t="shared" si="0"/>
        <v>0</v>
      </c>
      <c r="Q4" s="192">
        <f t="shared" si="0"/>
        <v>0</v>
      </c>
      <c r="R4" s="192">
        <f t="shared" si="0"/>
        <v>0</v>
      </c>
      <c r="S4" s="192">
        <f t="shared" si="0"/>
        <v>0</v>
      </c>
      <c r="T4" s="192">
        <f t="shared" si="0"/>
        <v>0</v>
      </c>
      <c r="U4" s="192">
        <f t="shared" si="0"/>
        <v>0</v>
      </c>
      <c r="V4" s="192"/>
      <c r="W4" s="192"/>
      <c r="X4" s="194"/>
      <c r="Y4" s="192">
        <f>Y54+Y86</f>
        <v>0</v>
      </c>
      <c r="Z4" s="195">
        <f>Z54+Z86</f>
        <v>0</v>
      </c>
      <c r="AA4" s="190"/>
      <c r="AB4" s="196"/>
    </row>
    <row r="5" spans="1:28" ht="15.75" x14ac:dyDescent="0.25">
      <c r="A5" s="245"/>
      <c r="B5" s="177" t="s">
        <v>55</v>
      </c>
      <c r="C5" s="178"/>
      <c r="D5" s="178"/>
      <c r="E5" s="178"/>
      <c r="F5" s="179"/>
      <c r="G5" s="179"/>
      <c r="H5" s="179"/>
      <c r="I5" s="179"/>
      <c r="J5" s="180"/>
      <c r="K5" s="179"/>
      <c r="L5" s="180"/>
      <c r="M5" s="181"/>
      <c r="N5" s="182">
        <f>SUM(N6:N10)</f>
        <v>0</v>
      </c>
      <c r="O5" s="182"/>
      <c r="P5" s="182">
        <f>SUM(P6:P10)</f>
        <v>0</v>
      </c>
      <c r="Q5" s="183">
        <f>SUM(Q6:Q10)</f>
        <v>0</v>
      </c>
      <c r="R5" s="183">
        <f>SUM(R6:R10)</f>
        <v>0</v>
      </c>
      <c r="S5" s="182">
        <f t="shared" ref="S5:Y5" si="1">SUM(S6:S10)</f>
        <v>0</v>
      </c>
      <c r="T5" s="182">
        <f t="shared" si="1"/>
        <v>0</v>
      </c>
      <c r="U5" s="183">
        <f t="shared" si="1"/>
        <v>0</v>
      </c>
      <c r="V5" s="183">
        <f t="shared" si="1"/>
        <v>0</v>
      </c>
      <c r="W5" s="183"/>
      <c r="X5" s="184">
        <f>SUM(X6:X10)</f>
        <v>0</v>
      </c>
      <c r="Y5" s="185">
        <f t="shared" si="1"/>
        <v>0</v>
      </c>
      <c r="Z5" s="186">
        <f>SUM(Z6:Z10)</f>
        <v>0</v>
      </c>
      <c r="AA5" s="179"/>
      <c r="AB5" s="187"/>
    </row>
    <row r="6" spans="1:28" ht="15.75" x14ac:dyDescent="0.25">
      <c r="A6" s="201"/>
      <c r="B6" s="202"/>
      <c r="C6" s="122" t="s">
        <v>375</v>
      </c>
      <c r="D6" s="203"/>
      <c r="E6" s="204"/>
      <c r="F6" s="205"/>
      <c r="G6" s="206"/>
      <c r="H6" s="206"/>
      <c r="I6" s="206"/>
      <c r="J6" s="207"/>
      <c r="K6" s="206"/>
      <c r="L6" s="207"/>
      <c r="M6" s="208"/>
      <c r="N6" s="209"/>
      <c r="O6" s="209"/>
      <c r="P6" s="209"/>
      <c r="Q6" s="209"/>
      <c r="R6" s="209"/>
      <c r="S6" s="209"/>
      <c r="T6" s="209"/>
      <c r="U6" s="209"/>
      <c r="V6" s="209"/>
      <c r="W6" s="209"/>
      <c r="X6" s="210"/>
      <c r="Y6" s="211"/>
      <c r="Z6" s="212"/>
      <c r="AA6" s="6"/>
      <c r="AB6" s="87"/>
    </row>
    <row r="7" spans="1:28" ht="15.75" x14ac:dyDescent="0.25">
      <c r="A7" s="152"/>
      <c r="B7" s="60"/>
      <c r="C7" s="21"/>
      <c r="D7" s="2"/>
      <c r="J7" s="4"/>
      <c r="L7" s="68"/>
      <c r="M7" s="4"/>
      <c r="N7" s="9"/>
      <c r="O7" s="23"/>
      <c r="P7" s="23"/>
      <c r="Q7" s="23"/>
      <c r="R7" s="23"/>
      <c r="S7" s="23"/>
      <c r="T7" s="23"/>
      <c r="U7" s="23"/>
      <c r="V7" s="23"/>
      <c r="W7" s="23"/>
      <c r="X7" s="89"/>
      <c r="Y7" s="52"/>
      <c r="Z7" s="84"/>
      <c r="AB7" s="2"/>
    </row>
    <row r="8" spans="1:28" ht="15.75" x14ac:dyDescent="0.25">
      <c r="A8" s="152"/>
      <c r="B8" s="60"/>
      <c r="C8" s="21"/>
      <c r="D8" s="2"/>
      <c r="J8" s="4"/>
      <c r="L8" s="68"/>
      <c r="M8" s="4"/>
      <c r="N8" s="9"/>
      <c r="O8" s="23"/>
      <c r="P8" s="23"/>
      <c r="Q8" s="23"/>
      <c r="R8" s="23"/>
      <c r="S8" s="23"/>
      <c r="T8" s="23"/>
      <c r="U8" s="23"/>
      <c r="V8" s="23"/>
      <c r="W8" s="23"/>
      <c r="X8" s="89"/>
      <c r="Y8" s="52"/>
      <c r="Z8" s="84"/>
      <c r="AB8" s="2"/>
    </row>
    <row r="9" spans="1:28" ht="15.75" x14ac:dyDescent="0.25">
      <c r="A9" s="152"/>
      <c r="B9" s="60"/>
      <c r="C9" s="21"/>
      <c r="D9" s="2"/>
      <c r="H9" s="36"/>
      <c r="J9" s="4"/>
      <c r="L9" s="68"/>
      <c r="M9" s="4"/>
      <c r="N9" s="9"/>
      <c r="O9" s="23"/>
      <c r="P9" s="23"/>
      <c r="Q9" s="23"/>
      <c r="R9" s="23"/>
      <c r="S9" s="23"/>
      <c r="T9" s="23"/>
      <c r="U9" s="23"/>
      <c r="V9" s="23"/>
      <c r="W9" s="23"/>
      <c r="X9" s="89"/>
      <c r="Y9" s="52"/>
      <c r="Z9" s="84"/>
      <c r="AB9" s="2"/>
    </row>
    <row r="10" spans="1:28" ht="15.75" x14ac:dyDescent="0.25">
      <c r="A10" s="152"/>
      <c r="B10" s="60"/>
      <c r="C10" s="21"/>
      <c r="D10" s="2"/>
      <c r="J10" s="68"/>
      <c r="L10" s="68"/>
      <c r="M10" s="4"/>
      <c r="N10" s="9"/>
      <c r="O10" s="23"/>
      <c r="P10" s="23"/>
      <c r="Q10" s="23"/>
      <c r="R10" s="23"/>
      <c r="S10" s="23"/>
      <c r="T10" s="23"/>
      <c r="U10" s="23"/>
      <c r="V10" s="23"/>
      <c r="W10" s="23"/>
      <c r="X10" s="89"/>
      <c r="Y10" s="52"/>
      <c r="Z10" s="84"/>
      <c r="AB10" s="50"/>
    </row>
    <row r="11" spans="1:28" ht="15.75" x14ac:dyDescent="0.25">
      <c r="A11" s="152"/>
      <c r="B11" s="60"/>
      <c r="C11" s="21"/>
      <c r="D11" s="2"/>
      <c r="J11" s="68"/>
      <c r="L11" s="68"/>
      <c r="M11" s="4"/>
      <c r="N11" s="9"/>
      <c r="O11" s="23"/>
      <c r="P11" s="23"/>
      <c r="Q11" s="23"/>
      <c r="R11" s="23"/>
      <c r="S11" s="23"/>
      <c r="T11" s="23"/>
      <c r="U11" s="23"/>
      <c r="V11" s="23"/>
      <c r="W11" s="23"/>
      <c r="X11" s="89"/>
      <c r="Y11" s="52"/>
      <c r="Z11" s="84"/>
      <c r="AB11" s="50"/>
    </row>
    <row r="12" spans="1:28" ht="15.75" x14ac:dyDescent="0.25">
      <c r="A12" s="152"/>
      <c r="B12" s="60"/>
      <c r="C12" s="21"/>
      <c r="D12" s="2"/>
      <c r="J12" s="68"/>
      <c r="L12" s="68"/>
      <c r="M12" s="4"/>
      <c r="N12" s="9"/>
      <c r="O12" s="23"/>
      <c r="P12" s="23"/>
      <c r="Q12" s="23"/>
      <c r="R12" s="23"/>
      <c r="S12" s="23"/>
      <c r="T12" s="23"/>
      <c r="U12" s="23"/>
      <c r="V12" s="23"/>
      <c r="W12" s="23"/>
      <c r="X12" s="89"/>
      <c r="Y12" s="52"/>
      <c r="Z12" s="84"/>
      <c r="AB12" s="50"/>
    </row>
    <row r="13" spans="1:28" ht="15.75" x14ac:dyDescent="0.25">
      <c r="A13" s="152"/>
      <c r="B13" s="60"/>
      <c r="C13" s="21"/>
      <c r="D13" s="2"/>
      <c r="J13" s="68"/>
      <c r="L13" s="68"/>
      <c r="M13" s="4"/>
      <c r="N13" s="9"/>
      <c r="O13" s="23"/>
      <c r="P13" s="23"/>
      <c r="Q13" s="23"/>
      <c r="R13" s="23"/>
      <c r="S13" s="23"/>
      <c r="T13" s="23"/>
      <c r="U13" s="23"/>
      <c r="V13" s="23"/>
      <c r="W13" s="23"/>
      <c r="X13" s="89"/>
      <c r="Y13" s="52"/>
      <c r="Z13" s="84"/>
      <c r="AB13" s="50"/>
    </row>
    <row r="14" spans="1:28" s="1" customFormat="1" ht="15.75" collapsed="1" x14ac:dyDescent="0.25">
      <c r="A14" s="152"/>
      <c r="B14" s="131"/>
      <c r="C14" s="90" t="s">
        <v>318</v>
      </c>
      <c r="D14" s="43"/>
      <c r="E14" s="213"/>
      <c r="F14" s="90"/>
      <c r="G14" s="90"/>
      <c r="H14" s="90"/>
      <c r="I14" s="90"/>
      <c r="J14" s="70"/>
      <c r="K14" s="90"/>
      <c r="L14" s="62"/>
      <c r="M14" s="71"/>
      <c r="N14" s="91">
        <f>SUM(N15:N50)</f>
        <v>0</v>
      </c>
      <c r="O14" s="91"/>
      <c r="P14" s="91">
        <f>SUM(P42:P44)</f>
        <v>0</v>
      </c>
      <c r="Q14" s="91">
        <f>SUM(Q15:Q50)</f>
        <v>0</v>
      </c>
      <c r="R14" s="91">
        <f>SUM(R15:R50)</f>
        <v>0</v>
      </c>
      <c r="S14" s="91"/>
      <c r="T14" s="91"/>
      <c r="U14" s="91"/>
      <c r="V14" s="91"/>
      <c r="W14" s="91"/>
      <c r="X14" s="92">
        <f>SUM(X15:X50)</f>
        <v>223.61765000000003</v>
      </c>
      <c r="Y14" s="53">
        <f>SUM(Y15:Y50)</f>
        <v>0</v>
      </c>
      <c r="Z14" s="53">
        <f>SUM(Z15:Z50)</f>
        <v>0</v>
      </c>
      <c r="AA14" s="90"/>
      <c r="AB14" s="64"/>
    </row>
    <row r="15" spans="1:28" s="1" customFormat="1" ht="15.75" x14ac:dyDescent="0.25">
      <c r="A15" s="152">
        <v>45566</v>
      </c>
      <c r="B15" s="113"/>
      <c r="C15" s="24" t="s">
        <v>56</v>
      </c>
      <c r="D15" s="19"/>
      <c r="E15" s="20"/>
      <c r="J15" s="47"/>
      <c r="L15" s="68"/>
      <c r="M15" s="7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93"/>
      <c r="Y15" s="54"/>
      <c r="Z15" s="78"/>
      <c r="AB15" s="50"/>
    </row>
    <row r="16" spans="1:28" s="1" customFormat="1" x14ac:dyDescent="0.25">
      <c r="A16" s="152"/>
      <c r="B16" s="113"/>
      <c r="C16" s="24"/>
      <c r="D16" s="2"/>
      <c r="E16"/>
      <c r="F16"/>
      <c r="I16"/>
      <c r="J16" s="48"/>
      <c r="K16"/>
      <c r="L16" s="68"/>
      <c r="M16" s="73"/>
      <c r="N16" s="23"/>
      <c r="O16" s="32"/>
      <c r="P16" s="42"/>
      <c r="Q16" s="32"/>
      <c r="R16" s="42"/>
      <c r="S16" s="23"/>
      <c r="T16" s="23"/>
      <c r="U16" s="23"/>
      <c r="V16" s="32"/>
      <c r="W16" s="32"/>
      <c r="X16" s="89"/>
      <c r="Y16" s="52"/>
      <c r="Z16" s="84"/>
      <c r="AA16"/>
      <c r="AB16" s="2"/>
    </row>
    <row r="17" spans="1:28" s="1" customFormat="1" x14ac:dyDescent="0.25">
      <c r="A17" s="152"/>
      <c r="B17" s="113"/>
      <c r="C17" s="24"/>
      <c r="D17" s="2"/>
      <c r="E17"/>
      <c r="F17"/>
      <c r="I17"/>
      <c r="J17" s="48"/>
      <c r="K17"/>
      <c r="L17" s="68"/>
      <c r="M17" s="73"/>
      <c r="N17" s="23"/>
      <c r="O17" s="32"/>
      <c r="P17" s="42"/>
      <c r="Q17" s="32"/>
      <c r="R17" s="42"/>
      <c r="S17" s="23"/>
      <c r="T17" s="23"/>
      <c r="U17" s="23"/>
      <c r="V17" s="32"/>
      <c r="W17" s="32"/>
      <c r="X17" s="89"/>
      <c r="Y17" s="52"/>
      <c r="Z17" s="84"/>
      <c r="AA17"/>
      <c r="AB17" s="2"/>
    </row>
    <row r="18" spans="1:28" s="1" customFormat="1" x14ac:dyDescent="0.25">
      <c r="A18" s="152"/>
      <c r="B18" s="113"/>
      <c r="C18" s="24"/>
      <c r="D18" s="2"/>
      <c r="E18"/>
      <c r="F18"/>
      <c r="I18"/>
      <c r="J18" s="48"/>
      <c r="K18"/>
      <c r="L18" s="68"/>
      <c r="M18" s="73"/>
      <c r="N18" s="23"/>
      <c r="O18" s="32"/>
      <c r="P18" s="42"/>
      <c r="Q18" s="32"/>
      <c r="R18" s="42"/>
      <c r="S18" s="23"/>
      <c r="T18" s="23"/>
      <c r="U18" s="23"/>
      <c r="V18" s="32"/>
      <c r="W18" s="32"/>
      <c r="X18" s="89"/>
      <c r="Y18" s="52"/>
      <c r="Z18" s="84"/>
      <c r="AA18"/>
      <c r="AB18" s="2"/>
    </row>
    <row r="19" spans="1:28" s="1" customFormat="1" x14ac:dyDescent="0.25">
      <c r="A19" s="152"/>
      <c r="B19" s="113"/>
      <c r="C19" s="24"/>
      <c r="D19" s="2"/>
      <c r="E19"/>
      <c r="F19"/>
      <c r="I19"/>
      <c r="J19" s="48"/>
      <c r="K19"/>
      <c r="L19" s="68"/>
      <c r="M19" s="73"/>
      <c r="N19" s="23"/>
      <c r="O19" s="32"/>
      <c r="P19" s="42"/>
      <c r="Q19" s="32"/>
      <c r="R19" s="42"/>
      <c r="S19" s="23"/>
      <c r="T19" s="23"/>
      <c r="U19" s="23"/>
      <c r="V19" s="32"/>
      <c r="W19" s="32"/>
      <c r="X19" s="89"/>
      <c r="Y19" s="52"/>
      <c r="Z19" s="84"/>
      <c r="AA19"/>
      <c r="AB19" s="2"/>
    </row>
    <row r="20" spans="1:28" s="1" customFormat="1" x14ac:dyDescent="0.25">
      <c r="A20" s="152"/>
      <c r="B20" s="113"/>
      <c r="C20" s="24"/>
      <c r="D20" s="2"/>
      <c r="E20"/>
      <c r="F20"/>
      <c r="I20"/>
      <c r="J20" s="48"/>
      <c r="K20"/>
      <c r="L20" s="68"/>
      <c r="M20" s="73"/>
      <c r="N20" s="23"/>
      <c r="O20" s="32"/>
      <c r="P20" s="42"/>
      <c r="Q20" s="32"/>
      <c r="R20" s="42"/>
      <c r="S20" s="23"/>
      <c r="T20" s="23"/>
      <c r="U20" s="23"/>
      <c r="V20" s="32"/>
      <c r="W20" s="32"/>
      <c r="X20" s="89"/>
      <c r="Y20" s="52"/>
      <c r="Z20" s="84"/>
      <c r="AA20"/>
      <c r="AB20" s="2"/>
    </row>
    <row r="21" spans="1:28" s="1" customFormat="1" ht="17.25" customHeight="1" x14ac:dyDescent="0.25">
      <c r="A21" s="152"/>
      <c r="B21" s="246" t="s">
        <v>716</v>
      </c>
      <c r="C21" s="24" t="s">
        <v>52</v>
      </c>
      <c r="D21" s="19"/>
      <c r="E21" s="20"/>
      <c r="J21" s="47"/>
      <c r="L21" s="68"/>
      <c r="M21" s="7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93"/>
      <c r="Y21" s="54"/>
      <c r="Z21" s="78"/>
      <c r="AB21" s="50"/>
    </row>
    <row r="22" spans="1:28" s="1" customFormat="1" ht="17.25" customHeight="1" x14ac:dyDescent="0.25">
      <c r="A22" s="152"/>
      <c r="B22" s="113"/>
      <c r="C22" s="10" t="s">
        <v>389</v>
      </c>
      <c r="D22" s="22" t="s">
        <v>390</v>
      </c>
      <c r="E22" t="s">
        <v>377</v>
      </c>
      <c r="F22">
        <v>260</v>
      </c>
      <c r="I22" s="214">
        <v>3.5</v>
      </c>
      <c r="J22" s="48">
        <v>1.3</v>
      </c>
      <c r="K22" t="s">
        <v>717</v>
      </c>
      <c r="L22" s="68">
        <f>Tabla15[[#This Row],[KG NETOS TOT]]*Tabla15[[#This Row],[U$S/TN]]</f>
        <v>4.55</v>
      </c>
      <c r="M22" s="7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89">
        <v>4.55</v>
      </c>
      <c r="Y22" s="54"/>
      <c r="Z22" s="78"/>
      <c r="AB22" s="50"/>
    </row>
    <row r="23" spans="1:28" s="1" customFormat="1" ht="17.25" customHeight="1" x14ac:dyDescent="0.25">
      <c r="A23" s="152"/>
      <c r="B23" s="113"/>
      <c r="C23" s="10" t="s">
        <v>389</v>
      </c>
      <c r="D23" s="22" t="s">
        <v>718</v>
      </c>
      <c r="E23" t="s">
        <v>377</v>
      </c>
      <c r="F23">
        <v>260</v>
      </c>
      <c r="I23" s="214">
        <v>0</v>
      </c>
      <c r="J23" s="48">
        <v>16.2</v>
      </c>
      <c r="K23" t="s">
        <v>717</v>
      </c>
      <c r="L23" s="68">
        <f>Tabla15[[#This Row],[KG NETOS TOT]]*Tabla15[[#This Row],[U$S/TN]]</f>
        <v>0</v>
      </c>
      <c r="M23" s="7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89">
        <v>0</v>
      </c>
      <c r="Y23" s="54"/>
      <c r="Z23" s="78"/>
      <c r="AB23" s="50"/>
    </row>
    <row r="24" spans="1:28" s="1" customFormat="1" ht="17.25" customHeight="1" x14ac:dyDescent="0.25">
      <c r="A24" s="67"/>
      <c r="B24" s="113"/>
      <c r="C24" s="10" t="s">
        <v>392</v>
      </c>
      <c r="D24" s="22" t="s">
        <v>719</v>
      </c>
      <c r="E24" t="s">
        <v>377</v>
      </c>
      <c r="F24">
        <v>260</v>
      </c>
      <c r="I24" s="214">
        <v>0</v>
      </c>
      <c r="J24" s="48">
        <v>4.88</v>
      </c>
      <c r="K24" t="s">
        <v>717</v>
      </c>
      <c r="L24" s="68">
        <f>Tabla15[[#This Row],[KG NETOS TOT]]*Tabla15[[#This Row],[U$S/TN]]</f>
        <v>0</v>
      </c>
      <c r="M24" s="7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89">
        <v>0</v>
      </c>
      <c r="Y24" s="54"/>
      <c r="Z24" s="78"/>
      <c r="AB24" s="50"/>
    </row>
    <row r="25" spans="1:28" s="1" customFormat="1" ht="17.25" customHeight="1" x14ac:dyDescent="0.25">
      <c r="A25" s="67"/>
      <c r="B25" s="113"/>
      <c r="C25" s="10" t="s">
        <v>392</v>
      </c>
      <c r="D25" s="22" t="s">
        <v>393</v>
      </c>
      <c r="E25" t="s">
        <v>377</v>
      </c>
      <c r="F25">
        <v>260</v>
      </c>
      <c r="I25" s="214">
        <v>5.6</v>
      </c>
      <c r="J25" s="48">
        <v>11.4</v>
      </c>
      <c r="K25" t="s">
        <v>717</v>
      </c>
      <c r="L25" s="68">
        <f>Tabla15[[#This Row],[KG NETOS TOT]]*Tabla15[[#This Row],[U$S/TN]]</f>
        <v>63.839999999999996</v>
      </c>
      <c r="M25" s="7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89">
        <v>63.839999999999996</v>
      </c>
      <c r="Y25" s="54"/>
      <c r="Z25" s="78"/>
      <c r="AB25" s="50"/>
    </row>
    <row r="26" spans="1:28" s="1" customFormat="1" ht="17.25" customHeight="1" x14ac:dyDescent="0.25">
      <c r="A26" s="67"/>
      <c r="B26" s="113"/>
      <c r="C26" s="10" t="s">
        <v>392</v>
      </c>
      <c r="D26" s="22" t="s">
        <v>605</v>
      </c>
      <c r="E26" t="s">
        <v>377</v>
      </c>
      <c r="F26">
        <v>260</v>
      </c>
      <c r="I26" s="214">
        <v>2.4</v>
      </c>
      <c r="J26" s="48">
        <v>9.6999999999999993</v>
      </c>
      <c r="K26" t="s">
        <v>717</v>
      </c>
      <c r="L26" s="68">
        <f>Tabla15[[#This Row],[KG NETOS TOT]]*Tabla15[[#This Row],[U$S/TN]]</f>
        <v>23.279999999999998</v>
      </c>
      <c r="M26" s="7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89">
        <v>23.279999999999998</v>
      </c>
      <c r="Y26" s="54"/>
      <c r="Z26" s="78"/>
      <c r="AB26" s="50"/>
    </row>
    <row r="27" spans="1:28" s="1" customFormat="1" ht="17.25" customHeight="1" x14ac:dyDescent="0.25">
      <c r="A27" s="67"/>
      <c r="B27" s="113"/>
      <c r="C27" s="10" t="s">
        <v>392</v>
      </c>
      <c r="D27" s="22" t="s">
        <v>395</v>
      </c>
      <c r="E27" t="s">
        <v>377</v>
      </c>
      <c r="F27">
        <v>260</v>
      </c>
      <c r="I27" s="214">
        <v>1.8</v>
      </c>
      <c r="J27" s="48">
        <v>13.7</v>
      </c>
      <c r="K27" t="s">
        <v>717</v>
      </c>
      <c r="L27" s="68">
        <f>Tabla15[[#This Row],[KG NETOS TOT]]*Tabla15[[#This Row],[U$S/TN]]</f>
        <v>24.66</v>
      </c>
      <c r="M27" s="7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89">
        <v>24.66</v>
      </c>
      <c r="Y27" s="54"/>
      <c r="Z27" s="78"/>
      <c r="AB27" s="50"/>
    </row>
    <row r="28" spans="1:28" s="1" customFormat="1" ht="17.25" customHeight="1" x14ac:dyDescent="0.25">
      <c r="A28" s="67"/>
      <c r="B28" s="113"/>
      <c r="C28" s="10" t="s">
        <v>392</v>
      </c>
      <c r="D28" s="22" t="s">
        <v>720</v>
      </c>
      <c r="E28" t="s">
        <v>377</v>
      </c>
      <c r="F28">
        <v>260</v>
      </c>
      <c r="I28" s="214">
        <v>0</v>
      </c>
      <c r="J28" s="48">
        <v>3.83</v>
      </c>
      <c r="K28" t="s">
        <v>717</v>
      </c>
      <c r="L28" s="68">
        <f>Tabla15[[#This Row],[KG NETOS TOT]]*Tabla15[[#This Row],[U$S/TN]]</f>
        <v>0</v>
      </c>
      <c r="M28" s="7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89">
        <v>0</v>
      </c>
      <c r="Y28" s="54"/>
      <c r="Z28" s="78"/>
      <c r="AB28" s="50"/>
    </row>
    <row r="29" spans="1:28" s="1" customFormat="1" ht="17.25" customHeight="1" x14ac:dyDescent="0.25">
      <c r="A29" s="67"/>
      <c r="B29" s="113"/>
      <c r="C29" s="10" t="s">
        <v>392</v>
      </c>
      <c r="D29" s="22" t="s">
        <v>721</v>
      </c>
      <c r="E29" t="s">
        <v>377</v>
      </c>
      <c r="F29">
        <v>260</v>
      </c>
      <c r="I29" s="214">
        <v>0</v>
      </c>
      <c r="J29" s="48">
        <v>90</v>
      </c>
      <c r="K29" t="s">
        <v>717</v>
      </c>
      <c r="L29" s="68">
        <f>Tabla15[[#This Row],[KG NETOS TOT]]*Tabla15[[#This Row],[U$S/TN]]</f>
        <v>0</v>
      </c>
      <c r="M29" s="7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89">
        <v>0</v>
      </c>
      <c r="Y29" s="54"/>
      <c r="Z29" s="78"/>
      <c r="AB29" s="50"/>
    </row>
    <row r="30" spans="1:28" s="1" customFormat="1" ht="17.25" customHeight="1" x14ac:dyDescent="0.25">
      <c r="A30" s="67"/>
      <c r="B30" s="113"/>
      <c r="C30" s="10" t="s">
        <v>389</v>
      </c>
      <c r="D30" s="22" t="s">
        <v>396</v>
      </c>
      <c r="E30" t="s">
        <v>377</v>
      </c>
      <c r="F30">
        <v>260</v>
      </c>
      <c r="I30" s="214">
        <v>0.5</v>
      </c>
      <c r="J30" s="48">
        <v>18</v>
      </c>
      <c r="K30" t="s">
        <v>717</v>
      </c>
      <c r="L30" s="68">
        <f>Tabla15[[#This Row],[KG NETOS TOT]]*Tabla15[[#This Row],[U$S/TN]]</f>
        <v>9</v>
      </c>
      <c r="M30" s="7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89">
        <v>9</v>
      </c>
      <c r="Y30" s="54"/>
      <c r="Z30" s="78"/>
      <c r="AB30" s="50"/>
    </row>
    <row r="31" spans="1:28" s="1" customFormat="1" ht="17.25" customHeight="1" x14ac:dyDescent="0.25">
      <c r="A31" s="67"/>
      <c r="B31" s="113"/>
      <c r="C31" s="10" t="s">
        <v>604</v>
      </c>
      <c r="D31" s="22" t="s">
        <v>397</v>
      </c>
      <c r="E31" t="s">
        <v>377</v>
      </c>
      <c r="F31">
        <v>260</v>
      </c>
      <c r="I31" s="214">
        <v>0.03</v>
      </c>
      <c r="J31" s="48">
        <v>269</v>
      </c>
      <c r="K31" t="s">
        <v>717</v>
      </c>
      <c r="L31" s="68">
        <f>Tabla15[[#This Row],[KG NETOS TOT]]*Tabla15[[#This Row],[U$S/TN]]</f>
        <v>8.07</v>
      </c>
      <c r="M31" s="7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89">
        <v>8.07</v>
      </c>
      <c r="Y31" s="54"/>
      <c r="Z31" s="78"/>
      <c r="AB31" s="50"/>
    </row>
    <row r="32" spans="1:28" s="1" customFormat="1" ht="17.25" customHeight="1" x14ac:dyDescent="0.25">
      <c r="A32" s="67"/>
      <c r="B32" s="113"/>
      <c r="C32" s="10" t="s">
        <v>392</v>
      </c>
      <c r="D32" s="22" t="s">
        <v>398</v>
      </c>
      <c r="E32" t="s">
        <v>377</v>
      </c>
      <c r="F32">
        <v>260</v>
      </c>
      <c r="I32" s="214">
        <v>1.5</v>
      </c>
      <c r="J32" s="48">
        <v>8.85</v>
      </c>
      <c r="K32" t="s">
        <v>717</v>
      </c>
      <c r="L32" s="68">
        <f>Tabla15[[#This Row],[KG NETOS TOT]]*Tabla15[[#This Row],[U$S/TN]]</f>
        <v>13.274999999999999</v>
      </c>
      <c r="M32" s="7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89">
        <v>13.274999999999999</v>
      </c>
      <c r="Y32" s="54"/>
      <c r="Z32" s="78"/>
      <c r="AB32" s="50"/>
    </row>
    <row r="33" spans="1:28" s="1" customFormat="1" ht="17.25" customHeight="1" x14ac:dyDescent="0.25">
      <c r="A33" s="67"/>
      <c r="B33" s="113"/>
      <c r="C33" s="10" t="s">
        <v>392</v>
      </c>
      <c r="D33" s="22" t="s">
        <v>399</v>
      </c>
      <c r="E33" t="s">
        <v>377</v>
      </c>
      <c r="F33">
        <v>260</v>
      </c>
      <c r="I33" s="214">
        <v>0.28000000000000003</v>
      </c>
      <c r="J33" s="48">
        <v>29.6</v>
      </c>
      <c r="K33" t="s">
        <v>717</v>
      </c>
      <c r="L33" s="68">
        <f>Tabla15[[#This Row],[KG NETOS TOT]]*Tabla15[[#This Row],[U$S/TN]]</f>
        <v>8.288000000000002</v>
      </c>
      <c r="M33" s="7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89">
        <v>8.288000000000002</v>
      </c>
      <c r="Y33" s="54"/>
      <c r="Z33" s="78"/>
      <c r="AB33" s="50"/>
    </row>
    <row r="34" spans="1:28" s="1" customFormat="1" ht="17.25" customHeight="1" x14ac:dyDescent="0.25">
      <c r="A34" s="67"/>
      <c r="B34" s="113"/>
      <c r="C34" s="10" t="s">
        <v>392</v>
      </c>
      <c r="D34" s="22" t="s">
        <v>400</v>
      </c>
      <c r="E34" t="s">
        <v>377</v>
      </c>
      <c r="F34">
        <v>260</v>
      </c>
      <c r="I34" s="214">
        <v>4</v>
      </c>
      <c r="J34" s="48">
        <v>5.2</v>
      </c>
      <c r="K34" t="s">
        <v>717</v>
      </c>
      <c r="L34" s="68">
        <f>Tabla15[[#This Row],[KG NETOS TOT]]*Tabla15[[#This Row],[U$S/TN]]</f>
        <v>20.8</v>
      </c>
      <c r="M34" s="7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89">
        <v>20.8</v>
      </c>
      <c r="Y34" s="54"/>
      <c r="Z34" s="78"/>
      <c r="AB34" s="50"/>
    </row>
    <row r="35" spans="1:28" s="1" customFormat="1" ht="17.25" customHeight="1" x14ac:dyDescent="0.25">
      <c r="A35" s="67"/>
      <c r="B35" s="113"/>
      <c r="C35" s="10" t="s">
        <v>392</v>
      </c>
      <c r="D35" s="22" t="s">
        <v>401</v>
      </c>
      <c r="E35" t="s">
        <v>377</v>
      </c>
      <c r="F35">
        <v>260</v>
      </c>
      <c r="I35" s="214">
        <v>1.5</v>
      </c>
      <c r="J35" s="48">
        <v>7.4</v>
      </c>
      <c r="K35" t="s">
        <v>717</v>
      </c>
      <c r="L35" s="68">
        <f>Tabla15[[#This Row],[KG NETOS TOT]]*Tabla15[[#This Row],[U$S/TN]]</f>
        <v>11.100000000000001</v>
      </c>
      <c r="M35" s="7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89">
        <v>11.100000000000001</v>
      </c>
      <c r="Y35" s="54"/>
      <c r="Z35" s="78"/>
      <c r="AB35" s="50"/>
    </row>
    <row r="36" spans="1:28" s="1" customFormat="1" ht="17.25" customHeight="1" x14ac:dyDescent="0.25">
      <c r="A36" s="67"/>
      <c r="B36" s="113"/>
      <c r="C36" s="10" t="s">
        <v>392</v>
      </c>
      <c r="D36" s="22" t="s">
        <v>402</v>
      </c>
      <c r="E36" t="s">
        <v>377</v>
      </c>
      <c r="F36">
        <v>260</v>
      </c>
      <c r="I36" s="214">
        <v>0.3</v>
      </c>
      <c r="J36" s="48">
        <v>10.9</v>
      </c>
      <c r="K36" t="s">
        <v>717</v>
      </c>
      <c r="L36" s="68">
        <f>Tabla15[[#This Row],[KG NETOS TOT]]*Tabla15[[#This Row],[U$S/TN]]</f>
        <v>3.27</v>
      </c>
      <c r="M36" s="7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89">
        <v>3.27</v>
      </c>
      <c r="Y36" s="54"/>
      <c r="Z36" s="78"/>
      <c r="AB36" s="50"/>
    </row>
    <row r="37" spans="1:28" s="1" customFormat="1" ht="17.25" customHeight="1" x14ac:dyDescent="0.25">
      <c r="A37" s="67"/>
      <c r="B37" s="113"/>
      <c r="C37" s="10" t="s">
        <v>403</v>
      </c>
      <c r="D37" s="22" t="s">
        <v>404</v>
      </c>
      <c r="E37" t="s">
        <v>377</v>
      </c>
      <c r="F37">
        <v>260</v>
      </c>
      <c r="I37" s="214">
        <v>0.1</v>
      </c>
      <c r="J37" s="48">
        <v>270</v>
      </c>
      <c r="K37" t="s">
        <v>717</v>
      </c>
      <c r="L37" s="68">
        <f>Tabla15[[#This Row],[KG NETOS TOT]]*Tabla15[[#This Row],[U$S/TN]]</f>
        <v>27</v>
      </c>
      <c r="M37" s="7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89">
        <v>27</v>
      </c>
      <c r="Y37" s="54"/>
      <c r="Z37" s="78"/>
      <c r="AB37" s="50"/>
    </row>
    <row r="38" spans="1:28" s="1" customFormat="1" ht="17.25" customHeight="1" x14ac:dyDescent="0.25">
      <c r="A38" s="67"/>
      <c r="B38" s="113"/>
      <c r="C38" s="10" t="s">
        <v>405</v>
      </c>
      <c r="D38" s="22" t="s">
        <v>406</v>
      </c>
      <c r="E38" t="s">
        <v>377</v>
      </c>
      <c r="F38">
        <v>260</v>
      </c>
      <c r="I38" s="214">
        <v>0.255</v>
      </c>
      <c r="J38" s="48">
        <v>25.43</v>
      </c>
      <c r="K38" t="s">
        <v>717</v>
      </c>
      <c r="L38" s="68">
        <f>Tabla15[[#This Row],[KG NETOS TOT]]*Tabla15[[#This Row],[U$S/TN]]</f>
        <v>6.4846500000000002</v>
      </c>
      <c r="M38" s="7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89">
        <v>6.4846500000000002</v>
      </c>
      <c r="Y38" s="54"/>
      <c r="Z38" s="78"/>
      <c r="AB38" s="50"/>
    </row>
    <row r="39" spans="1:28" s="1" customFormat="1" ht="17.25" customHeight="1" x14ac:dyDescent="0.25">
      <c r="A39" s="67"/>
      <c r="B39" s="113"/>
      <c r="C39" s="24"/>
      <c r="D39" s="19"/>
      <c r="E39" s="20"/>
      <c r="I39" s="214"/>
      <c r="J39" s="47"/>
      <c r="L39" s="68"/>
      <c r="M39" s="7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89"/>
      <c r="Y39" s="54"/>
      <c r="Z39" s="78"/>
      <c r="AB39" s="50"/>
    </row>
    <row r="40" spans="1:28" s="1" customFormat="1" ht="15.75" x14ac:dyDescent="0.25">
      <c r="A40" s="69"/>
      <c r="B40" s="113"/>
      <c r="C40" s="24" t="s">
        <v>154</v>
      </c>
      <c r="D40" s="19"/>
      <c r="E40" s="20"/>
      <c r="I40" s="214"/>
      <c r="J40" s="47"/>
      <c r="L40" s="68"/>
      <c r="M40" s="72"/>
      <c r="N40" s="32"/>
      <c r="O40" s="32"/>
      <c r="P40" s="40"/>
      <c r="Q40" s="32"/>
      <c r="R40" s="32"/>
      <c r="S40" s="23"/>
      <c r="T40" s="23"/>
      <c r="U40" s="23"/>
      <c r="V40" s="32"/>
      <c r="W40" s="32"/>
      <c r="X40" s="89"/>
      <c r="Y40" s="52"/>
      <c r="Z40" s="84"/>
      <c r="AB40" s="2"/>
    </row>
    <row r="41" spans="1:28" s="1" customFormat="1" ht="15.75" x14ac:dyDescent="0.25">
      <c r="A41" s="156"/>
      <c r="B41" s="113"/>
      <c r="C41" s="3"/>
      <c r="D41" s="2"/>
      <c r="E41" s="20"/>
      <c r="I41" s="214"/>
      <c r="J41" s="47"/>
      <c r="L41" s="68"/>
      <c r="M41" s="72"/>
      <c r="N41" s="32"/>
      <c r="O41" s="32"/>
      <c r="P41" s="40"/>
      <c r="Q41" s="32"/>
      <c r="R41" s="32"/>
      <c r="S41" s="23"/>
      <c r="T41" s="23"/>
      <c r="U41" s="23"/>
      <c r="V41" s="32"/>
      <c r="W41" s="32"/>
      <c r="X41" s="89"/>
      <c r="Y41" s="52"/>
      <c r="Z41" s="84"/>
      <c r="AB41" s="2"/>
    </row>
    <row r="42" spans="1:28" s="1" customFormat="1" x14ac:dyDescent="0.25">
      <c r="A42" s="155"/>
      <c r="B42" s="113"/>
      <c r="C42" s="24" t="s">
        <v>65</v>
      </c>
      <c r="D42" s="2"/>
      <c r="E42"/>
      <c r="F42"/>
      <c r="G42" s="88"/>
      <c r="H42" s="88"/>
      <c r="I42" s="215"/>
      <c r="J42" s="65"/>
      <c r="K42" s="88"/>
      <c r="L42" s="65"/>
      <c r="M42" s="66"/>
      <c r="N42" s="216"/>
      <c r="O42" s="216"/>
      <c r="P42" s="42"/>
      <c r="Q42" s="216"/>
      <c r="R42" s="216"/>
      <c r="S42" s="216"/>
      <c r="T42" s="216"/>
      <c r="U42" s="23"/>
      <c r="V42" s="216"/>
      <c r="W42" s="216"/>
      <c r="X42" s="89"/>
      <c r="Y42" s="52"/>
      <c r="Z42" s="84"/>
      <c r="AA42"/>
      <c r="AB42" s="50"/>
    </row>
    <row r="43" spans="1:28" s="1" customFormat="1" x14ac:dyDescent="0.25">
      <c r="A43" s="152"/>
      <c r="B43" s="113"/>
      <c r="C43" s="24"/>
      <c r="D43" s="2"/>
      <c r="E43"/>
      <c r="F43"/>
      <c r="G43" s="88"/>
      <c r="H43" s="88"/>
      <c r="I43" s="88"/>
      <c r="J43" s="74"/>
      <c r="K43" s="38"/>
      <c r="L43" s="65"/>
      <c r="M43" s="66"/>
      <c r="N43" s="216"/>
      <c r="O43" s="216"/>
      <c r="P43" s="216"/>
      <c r="Q43" s="216"/>
      <c r="R43" s="216"/>
      <c r="S43" s="216"/>
      <c r="T43" s="216"/>
      <c r="U43" s="23"/>
      <c r="V43" s="216"/>
      <c r="W43" s="216"/>
      <c r="X43" s="89"/>
      <c r="Y43" s="52"/>
      <c r="Z43" s="84"/>
      <c r="AA43"/>
      <c r="AB43" s="50"/>
    </row>
    <row r="44" spans="1:28" x14ac:dyDescent="0.25">
      <c r="A44" s="152"/>
      <c r="B44" s="113"/>
      <c r="C44" s="24" t="s">
        <v>94</v>
      </c>
      <c r="D44" s="2"/>
      <c r="G44" s="88"/>
      <c r="H44" s="88"/>
      <c r="I44" s="88"/>
      <c r="J44" s="65"/>
      <c r="K44" s="88"/>
      <c r="L44" s="65"/>
      <c r="M44" s="66"/>
      <c r="N44" s="216"/>
      <c r="O44" s="216"/>
      <c r="P44" s="216"/>
      <c r="Q44" s="216"/>
      <c r="R44" s="216"/>
      <c r="S44" s="216"/>
      <c r="T44" s="216"/>
      <c r="U44" s="23"/>
      <c r="V44" s="216"/>
      <c r="W44" s="216"/>
      <c r="X44" s="89"/>
      <c r="Y44" s="52"/>
      <c r="Z44" s="84"/>
      <c r="AB44" s="50"/>
    </row>
    <row r="45" spans="1:28" x14ac:dyDescent="0.25">
      <c r="A45" s="152"/>
      <c r="B45" s="113"/>
      <c r="C45" s="24"/>
      <c r="D45" s="2"/>
      <c r="G45" s="88"/>
      <c r="H45" s="88"/>
      <c r="I45" s="38"/>
      <c r="J45" s="49"/>
      <c r="L45" s="49"/>
      <c r="M45" s="75"/>
      <c r="N45" s="42"/>
      <c r="O45" s="216"/>
      <c r="P45" s="216"/>
      <c r="Q45" s="76"/>
      <c r="R45" s="76"/>
      <c r="S45" s="216"/>
      <c r="T45" s="216"/>
      <c r="U45" s="23"/>
      <c r="V45" s="216"/>
      <c r="W45" s="42"/>
      <c r="X45" s="89"/>
      <c r="Y45" s="52"/>
      <c r="Z45" s="84"/>
      <c r="AB45" s="2"/>
    </row>
    <row r="46" spans="1:28" x14ac:dyDescent="0.25">
      <c r="A46" s="152"/>
      <c r="B46" s="113"/>
      <c r="C46" s="24"/>
      <c r="D46" s="2"/>
      <c r="J46" s="68"/>
      <c r="L46" s="68"/>
      <c r="M46" s="4"/>
      <c r="N46" s="217"/>
      <c r="O46" s="1"/>
      <c r="P46" s="1"/>
      <c r="Q46" s="9"/>
      <c r="R46" s="9"/>
      <c r="S46" s="1"/>
      <c r="T46" s="1"/>
      <c r="U46" s="23"/>
      <c r="V46" s="1"/>
      <c r="W46" s="23"/>
      <c r="X46" s="89"/>
      <c r="Y46" s="52"/>
      <c r="Z46" s="84"/>
      <c r="AB46" s="2"/>
    </row>
    <row r="47" spans="1:28" x14ac:dyDescent="0.25">
      <c r="A47" s="152"/>
      <c r="B47" s="113"/>
      <c r="C47" s="24"/>
      <c r="D47" s="2"/>
      <c r="J47" s="68"/>
      <c r="L47" s="68"/>
      <c r="M47" s="4"/>
      <c r="N47" s="217"/>
      <c r="O47" s="1"/>
      <c r="P47" s="1"/>
      <c r="Q47" s="9"/>
      <c r="R47" s="9"/>
      <c r="S47" s="1"/>
      <c r="T47" s="1"/>
      <c r="U47" s="23"/>
      <c r="V47" s="1"/>
      <c r="W47" s="23"/>
      <c r="X47" s="89"/>
      <c r="Y47" s="52"/>
      <c r="Z47" s="84"/>
      <c r="AB47" s="2"/>
    </row>
    <row r="48" spans="1:28" x14ac:dyDescent="0.25">
      <c r="A48" s="152"/>
      <c r="B48" s="113"/>
      <c r="C48" s="24" t="s">
        <v>322</v>
      </c>
      <c r="D48" s="2"/>
      <c r="J48" s="68"/>
      <c r="L48" s="68"/>
      <c r="M48" s="4"/>
      <c r="N48" s="217"/>
      <c r="O48" s="1"/>
      <c r="P48" s="1"/>
      <c r="Q48" s="9"/>
      <c r="R48" s="9"/>
      <c r="S48" s="1"/>
      <c r="T48" s="1"/>
      <c r="U48" s="23"/>
      <c r="V48" s="1"/>
      <c r="W48" s="23"/>
      <c r="X48" s="89"/>
      <c r="Y48" s="52"/>
      <c r="Z48" s="84"/>
      <c r="AB48" s="50"/>
    </row>
    <row r="49" spans="1:28" x14ac:dyDescent="0.25">
      <c r="A49" s="152"/>
      <c r="B49" s="113"/>
      <c r="C49" s="218"/>
      <c r="D49" s="2"/>
      <c r="J49" s="68"/>
      <c r="L49" s="68"/>
      <c r="M49" s="4"/>
      <c r="N49" s="217"/>
      <c r="O49" s="1"/>
      <c r="P49" s="1"/>
      <c r="Q49" s="81"/>
      <c r="R49" s="81"/>
      <c r="S49" s="1"/>
      <c r="T49" s="9"/>
      <c r="U49" s="23"/>
      <c r="V49" s="1"/>
      <c r="W49" s="23"/>
      <c r="X49" s="89"/>
      <c r="Y49" s="52"/>
      <c r="Z49" s="84"/>
      <c r="AB49" s="50"/>
    </row>
    <row r="50" spans="1:28" x14ac:dyDescent="0.25">
      <c r="A50" s="152"/>
      <c r="B50" s="113"/>
      <c r="C50" s="24"/>
      <c r="D50" s="2"/>
      <c r="J50" s="68"/>
      <c r="L50" s="68"/>
      <c r="M50" s="4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89"/>
      <c r="Y50" s="52"/>
      <c r="Z50" s="84"/>
      <c r="AB50" s="50"/>
    </row>
    <row r="51" spans="1:28" ht="15.75" x14ac:dyDescent="0.25">
      <c r="A51" s="152"/>
      <c r="B51" s="131"/>
      <c r="C51" s="90" t="s">
        <v>338</v>
      </c>
      <c r="D51" s="43"/>
      <c r="E51" s="213"/>
      <c r="F51" s="90"/>
      <c r="G51" s="90"/>
      <c r="H51" s="90"/>
      <c r="I51" s="90"/>
      <c r="J51" s="70"/>
      <c r="K51" s="90"/>
      <c r="L51" s="62"/>
      <c r="M51" s="71"/>
      <c r="N51" s="91">
        <f>SUM(N52:N53)</f>
        <v>0</v>
      </c>
      <c r="O51" s="91"/>
      <c r="P51" s="91">
        <f>SUM(P52:P53)</f>
        <v>0</v>
      </c>
      <c r="Q51" s="91">
        <f>SUM(Q52:Q53)</f>
        <v>0</v>
      </c>
      <c r="R51" s="91">
        <f>SUM(R52:R53)</f>
        <v>0</v>
      </c>
      <c r="S51" s="91"/>
      <c r="T51" s="91"/>
      <c r="U51" s="91"/>
      <c r="V51" s="91"/>
      <c r="W51" s="91"/>
      <c r="X51" s="92"/>
      <c r="Y51" s="53"/>
      <c r="Z51" s="79"/>
      <c r="AA51" s="90"/>
      <c r="AB51" s="64"/>
    </row>
    <row r="52" spans="1:28" ht="15.75" x14ac:dyDescent="0.25">
      <c r="A52" s="152"/>
      <c r="B52" s="113"/>
      <c r="D52" s="2" t="s">
        <v>460</v>
      </c>
      <c r="E52" s="21"/>
      <c r="J52" s="68"/>
      <c r="L52" s="68"/>
      <c r="M52" s="4"/>
      <c r="N52" s="23"/>
      <c r="O52" s="23"/>
      <c r="P52" s="23"/>
      <c r="Q52" s="23">
        <f>N52*0.21</f>
        <v>0</v>
      </c>
      <c r="R52" s="23">
        <f>N52+Q52</f>
        <v>0</v>
      </c>
      <c r="S52" s="23"/>
      <c r="T52" s="23"/>
      <c r="U52" s="23"/>
      <c r="V52" s="23"/>
      <c r="W52" s="23"/>
      <c r="X52" s="89"/>
      <c r="Y52" s="52"/>
      <c r="Z52" s="78"/>
      <c r="AB52" s="50"/>
    </row>
    <row r="53" spans="1:28" s="1" customFormat="1" ht="15.75" x14ac:dyDescent="0.25">
      <c r="A53" s="67"/>
      <c r="B53" s="114"/>
      <c r="C53" s="21"/>
      <c r="D53" s="22"/>
      <c r="E53" s="21"/>
      <c r="F53"/>
      <c r="G53"/>
      <c r="H53"/>
      <c r="I53"/>
      <c r="J53" s="68"/>
      <c r="K53"/>
      <c r="L53" s="68"/>
      <c r="M53" s="4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89"/>
      <c r="Y53" s="52"/>
      <c r="Z53" s="78"/>
      <c r="AA53"/>
      <c r="AB53" s="50"/>
    </row>
    <row r="54" spans="1:28" ht="15.75" x14ac:dyDescent="0.25">
      <c r="A54" s="95"/>
      <c r="B54" s="129"/>
      <c r="C54" s="219" t="s">
        <v>461</v>
      </c>
      <c r="D54" s="220"/>
      <c r="E54" s="219"/>
      <c r="F54" s="97"/>
      <c r="G54" s="97"/>
      <c r="H54" s="97"/>
      <c r="I54" s="97"/>
      <c r="J54" s="98"/>
      <c r="K54" s="97"/>
      <c r="L54" s="99"/>
      <c r="M54" s="221"/>
      <c r="N54" s="100">
        <f>+N5-N14-N51</f>
        <v>0</v>
      </c>
      <c r="O54" s="100"/>
      <c r="P54" s="100">
        <f t="shared" ref="P54:V54" si="2">+P5-P14-P51</f>
        <v>0</v>
      </c>
      <c r="Q54" s="100">
        <f t="shared" si="2"/>
        <v>0</v>
      </c>
      <c r="R54" s="100">
        <f t="shared" si="2"/>
        <v>0</v>
      </c>
      <c r="S54" s="100">
        <f t="shared" si="2"/>
        <v>0</v>
      </c>
      <c r="T54" s="100">
        <f t="shared" si="2"/>
        <v>0</v>
      </c>
      <c r="U54" s="100">
        <f t="shared" si="2"/>
        <v>0</v>
      </c>
      <c r="V54" s="100">
        <f t="shared" si="2"/>
        <v>0</v>
      </c>
      <c r="W54" s="100"/>
      <c r="X54" s="101">
        <f>+X5-X14-X51</f>
        <v>-223.61765000000003</v>
      </c>
      <c r="Y54" s="102">
        <f>+Y5-Y14-Y51</f>
        <v>0</v>
      </c>
      <c r="Z54" s="144">
        <f>Z5-Z14-Z51</f>
        <v>0</v>
      </c>
      <c r="AA54" s="97"/>
      <c r="AB54" s="104"/>
    </row>
    <row r="55" spans="1:28" ht="15.75" x14ac:dyDescent="0.25">
      <c r="A55" s="95"/>
      <c r="B55" s="222"/>
      <c r="C55" s="223"/>
      <c r="D55" s="223"/>
      <c r="E55" s="223"/>
      <c r="F55" s="224"/>
      <c r="G55" s="224"/>
      <c r="H55" s="224"/>
      <c r="I55" s="224"/>
      <c r="J55" s="225"/>
      <c r="K55" s="224"/>
      <c r="L55" s="77"/>
      <c r="M55" s="226"/>
      <c r="N55" s="227"/>
      <c r="O55" s="227"/>
      <c r="P55" s="227"/>
      <c r="Q55" s="227"/>
      <c r="R55" s="227"/>
      <c r="S55" s="227"/>
      <c r="T55" s="227"/>
      <c r="U55" s="227"/>
      <c r="V55" s="227"/>
      <c r="W55" s="227"/>
      <c r="X55" s="228"/>
      <c r="Y55" s="227"/>
      <c r="Z55" s="229"/>
      <c r="AA55" s="224"/>
      <c r="AB55" s="230"/>
    </row>
    <row r="56" spans="1:28" ht="15.75" x14ac:dyDescent="0.25">
      <c r="A56" s="244"/>
      <c r="B56" s="147" t="s">
        <v>111</v>
      </c>
      <c r="C56" s="116"/>
      <c r="D56" s="116"/>
      <c r="E56" s="116"/>
      <c r="F56" s="116"/>
      <c r="G56" s="116"/>
      <c r="H56" s="116"/>
      <c r="I56" s="116"/>
      <c r="J56" s="117"/>
      <c r="K56" s="116"/>
      <c r="L56" s="118"/>
      <c r="M56" s="116"/>
      <c r="N56" s="119">
        <f>SUM(N57:N59)</f>
        <v>0</v>
      </c>
      <c r="O56" s="116"/>
      <c r="P56" s="116"/>
      <c r="Q56" s="116"/>
      <c r="R56" s="116"/>
      <c r="S56" s="116"/>
      <c r="T56" s="116"/>
      <c r="U56" s="116"/>
      <c r="V56" s="116"/>
      <c r="W56" s="116"/>
      <c r="X56" s="120"/>
      <c r="Y56" s="116"/>
      <c r="Z56" s="172"/>
      <c r="AA56" s="116"/>
      <c r="AB56" s="115"/>
    </row>
    <row r="57" spans="1:28" x14ac:dyDescent="0.25">
      <c r="A57" s="197"/>
      <c r="B57" s="121"/>
      <c r="C57" s="122" t="s">
        <v>463</v>
      </c>
      <c r="D57" s="123"/>
      <c r="E57" s="124"/>
      <c r="F57" s="6"/>
      <c r="G57" s="6"/>
      <c r="H57" s="6"/>
      <c r="I57" s="6"/>
      <c r="J57" s="125"/>
      <c r="K57" s="6"/>
      <c r="L57" s="125"/>
      <c r="M57" s="7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7"/>
      <c r="Y57" s="128"/>
      <c r="Z57" s="86"/>
      <c r="AA57" s="6"/>
      <c r="AB57" s="87"/>
    </row>
    <row r="58" spans="1:28" s="1" customFormat="1" x14ac:dyDescent="0.25">
      <c r="A58" s="198"/>
      <c r="B58" s="114"/>
      <c r="C58" s="24" t="s">
        <v>523</v>
      </c>
      <c r="D58" s="25"/>
      <c r="E58" s="14"/>
      <c r="F58"/>
      <c r="G58"/>
      <c r="H58"/>
      <c r="I58"/>
      <c r="J58" s="68"/>
      <c r="K58"/>
      <c r="L58" s="68"/>
      <c r="M58" s="4"/>
      <c r="N58" s="23"/>
      <c r="O58" s="23"/>
      <c r="P58" s="23"/>
      <c r="Q58" s="23"/>
      <c r="R58" s="23">
        <f>N58*0.21</f>
        <v>0</v>
      </c>
      <c r="S58" s="23"/>
      <c r="T58" s="23"/>
      <c r="U58" s="23"/>
      <c r="V58" s="23"/>
      <c r="W58" s="23"/>
      <c r="X58" s="89"/>
      <c r="Y58" s="52"/>
      <c r="Z58" s="84" t="e">
        <f>Tabla15[[#This Row],[TOTAL]]/Tabla15[[#This Row],[T DE CAMBIO $/U$s]]</f>
        <v>#DIV/0!</v>
      </c>
      <c r="AA58"/>
      <c r="AB58" s="50"/>
    </row>
    <row r="59" spans="1:28" x14ac:dyDescent="0.25">
      <c r="A59" s="198"/>
      <c r="B59" s="61"/>
      <c r="D59" s="2"/>
      <c r="J59" s="68"/>
      <c r="X59" s="89"/>
      <c r="Y59" s="55"/>
      <c r="Z59" s="78"/>
      <c r="AB59" s="50"/>
    </row>
    <row r="60" spans="1:28" collapsed="1" x14ac:dyDescent="0.25">
      <c r="A60" s="198"/>
      <c r="B60" s="130"/>
      <c r="C60" s="90" t="s">
        <v>318</v>
      </c>
      <c r="D60" s="82"/>
      <c r="E60" s="90"/>
      <c r="F60" s="94"/>
      <c r="G60" s="94"/>
      <c r="H60" s="94"/>
      <c r="I60" s="94"/>
      <c r="J60" s="62"/>
      <c r="K60" s="94"/>
      <c r="L60" s="94"/>
      <c r="M60" s="94"/>
      <c r="N60" s="91">
        <f>SUM(N61:N85)</f>
        <v>0</v>
      </c>
      <c r="O60" s="91"/>
      <c r="P60" s="91"/>
      <c r="Q60" s="91"/>
      <c r="R60" s="91">
        <f>N60*0.21</f>
        <v>0</v>
      </c>
      <c r="S60" s="91"/>
      <c r="T60" s="91"/>
      <c r="U60" s="91"/>
      <c r="V60" s="91"/>
      <c r="W60" s="91"/>
      <c r="X60" s="92"/>
      <c r="Y60" s="53"/>
      <c r="Z60" s="79"/>
      <c r="AA60" s="94"/>
      <c r="AB60" s="64"/>
    </row>
    <row r="61" spans="1:28" x14ac:dyDescent="0.25">
      <c r="A61" s="198"/>
      <c r="B61" s="69"/>
      <c r="C61" s="24"/>
      <c r="D61" s="27"/>
      <c r="E61" s="24"/>
      <c r="F61" s="1"/>
      <c r="G61" s="1"/>
      <c r="H61" s="1"/>
      <c r="I61" s="1"/>
      <c r="J61" s="47"/>
      <c r="K61" s="1"/>
      <c r="L61" s="1"/>
      <c r="M61" s="1"/>
      <c r="N61" s="170"/>
      <c r="O61" s="170"/>
      <c r="P61" s="170"/>
      <c r="Q61" s="170"/>
      <c r="R61" s="170"/>
      <c r="S61" s="170"/>
      <c r="T61" s="170"/>
      <c r="U61" s="170"/>
      <c r="V61" s="170"/>
      <c r="W61" s="171"/>
      <c r="X61" s="93"/>
      <c r="Y61" s="56"/>
      <c r="Z61" s="78"/>
      <c r="AA61" s="1"/>
      <c r="AB61" s="50"/>
    </row>
    <row r="62" spans="1:28" x14ac:dyDescent="0.25">
      <c r="A62" s="198"/>
      <c r="B62" s="114"/>
      <c r="C62" s="24" t="s">
        <v>103</v>
      </c>
      <c r="D62" s="27"/>
      <c r="E62" s="24"/>
      <c r="J62" s="68"/>
      <c r="M62" s="4"/>
      <c r="N62" s="4"/>
      <c r="X62" s="89"/>
      <c r="Y62" s="55"/>
      <c r="Z62" s="80"/>
      <c r="AB62" s="50"/>
    </row>
    <row r="63" spans="1:28" s="1" customFormat="1" x14ac:dyDescent="0.25">
      <c r="A63" s="198"/>
      <c r="B63" s="114"/>
      <c r="C63"/>
      <c r="D63" s="15" t="s">
        <v>722</v>
      </c>
      <c r="E63" s="11"/>
      <c r="F63"/>
      <c r="G63"/>
      <c r="H63"/>
      <c r="I63"/>
      <c r="J63" s="68"/>
      <c r="K63"/>
      <c r="L63" s="68"/>
      <c r="M63"/>
      <c r="N63"/>
      <c r="O63"/>
      <c r="P63"/>
      <c r="Q63"/>
      <c r="R63"/>
      <c r="S63"/>
      <c r="T63"/>
      <c r="U63"/>
      <c r="V63"/>
      <c r="W63"/>
      <c r="X63" s="89"/>
      <c r="Y63" s="55"/>
      <c r="Z63" s="80"/>
      <c r="AA63"/>
      <c r="AB63" s="50"/>
    </row>
    <row r="64" spans="1:28" x14ac:dyDescent="0.25">
      <c r="A64" s="198"/>
      <c r="B64" s="114"/>
      <c r="D64" s="15" t="s">
        <v>723</v>
      </c>
      <c r="E64" s="11"/>
      <c r="J64" s="68"/>
      <c r="L64" s="68"/>
      <c r="X64" s="89"/>
      <c r="Y64" s="55"/>
      <c r="Z64" s="80"/>
      <c r="AB64" s="50"/>
    </row>
    <row r="65" spans="1:28" x14ac:dyDescent="0.25">
      <c r="A65" s="198"/>
      <c r="B65" s="114"/>
      <c r="C65" s="24" t="s">
        <v>56</v>
      </c>
      <c r="D65" s="15"/>
      <c r="E65" s="11"/>
      <c r="J65" s="68"/>
      <c r="L65" s="68"/>
      <c r="X65" s="89"/>
      <c r="Y65" s="55"/>
      <c r="Z65" s="80"/>
      <c r="AB65" s="50"/>
    </row>
    <row r="66" spans="1:28" ht="15.75" x14ac:dyDescent="0.25">
      <c r="A66" s="198"/>
      <c r="B66" s="114"/>
      <c r="D66" s="15" t="s">
        <v>480</v>
      </c>
      <c r="E66" s="11"/>
      <c r="J66" s="68"/>
      <c r="L66" s="68"/>
      <c r="N66" s="4"/>
      <c r="O66" s="4"/>
      <c r="P66" s="4"/>
      <c r="Q66" s="4"/>
      <c r="R66" s="18"/>
      <c r="S66" s="4"/>
      <c r="T66" s="4"/>
      <c r="U66" s="4"/>
      <c r="V66" s="4"/>
      <c r="W66" s="18"/>
      <c r="X66" s="89"/>
      <c r="Y66" s="57"/>
      <c r="Z66" s="80"/>
      <c r="AB66" s="50"/>
    </row>
    <row r="67" spans="1:28" ht="30" x14ac:dyDescent="0.25">
      <c r="A67" s="198"/>
      <c r="B67" s="114"/>
      <c r="D67" s="30" t="s">
        <v>724</v>
      </c>
      <c r="E67" s="31"/>
      <c r="J67" s="68"/>
      <c r="L67" s="68"/>
      <c r="N67" s="4"/>
      <c r="O67" s="4"/>
      <c r="P67" s="4"/>
      <c r="Q67" s="4"/>
      <c r="R67" s="18"/>
      <c r="S67" s="4"/>
      <c r="T67" s="4"/>
      <c r="U67" s="4"/>
      <c r="V67" s="4"/>
      <c r="W67" s="18"/>
      <c r="X67" s="89"/>
      <c r="Y67" s="57"/>
      <c r="Z67" s="80"/>
      <c r="AB67" s="50"/>
    </row>
    <row r="68" spans="1:28" x14ac:dyDescent="0.25">
      <c r="A68" s="198"/>
      <c r="B68" s="114"/>
      <c r="D68" s="15"/>
      <c r="E68" s="11"/>
      <c r="J68" s="68"/>
      <c r="L68" s="68"/>
      <c r="X68" s="89"/>
      <c r="Y68" s="55"/>
      <c r="Z68" s="80"/>
      <c r="AB68" s="50"/>
    </row>
    <row r="69" spans="1:28" x14ac:dyDescent="0.25">
      <c r="A69" s="198"/>
      <c r="B69" s="114"/>
      <c r="C69" s="24" t="s">
        <v>52</v>
      </c>
      <c r="D69" s="28"/>
      <c r="E69" s="29"/>
      <c r="J69" s="68"/>
      <c r="L69" s="68"/>
      <c r="M69" s="4"/>
      <c r="N69" s="4"/>
      <c r="X69" s="89"/>
      <c r="Y69" s="55"/>
      <c r="Z69" s="80"/>
      <c r="AB69" s="50"/>
    </row>
    <row r="70" spans="1:28" x14ac:dyDescent="0.25">
      <c r="A70" s="198"/>
      <c r="B70" s="114"/>
      <c r="D70" s="15" t="s">
        <v>725</v>
      </c>
      <c r="E70" s="11"/>
      <c r="J70" s="68"/>
      <c r="L70" s="68"/>
      <c r="N70" s="4"/>
      <c r="O70" s="4"/>
      <c r="P70" s="4"/>
      <c r="Q70" s="4"/>
      <c r="R70" s="23"/>
      <c r="S70" s="4"/>
      <c r="T70" s="4"/>
      <c r="U70" s="4"/>
      <c r="V70" s="4"/>
      <c r="W70" s="23"/>
      <c r="X70" s="89"/>
      <c r="Y70" s="52"/>
      <c r="Z70" s="80"/>
      <c r="AB70" s="50"/>
    </row>
    <row r="71" spans="1:28" x14ac:dyDescent="0.25">
      <c r="A71" s="199"/>
      <c r="B71" s="114"/>
      <c r="D71" s="15" t="s">
        <v>726</v>
      </c>
      <c r="E71" s="11"/>
      <c r="J71" s="68"/>
      <c r="L71" s="68"/>
      <c r="N71" s="4"/>
      <c r="O71" s="4"/>
      <c r="P71" s="4"/>
      <c r="Q71" s="4"/>
      <c r="R71" s="23"/>
      <c r="S71" s="4"/>
      <c r="T71" s="4"/>
      <c r="U71" s="4"/>
      <c r="V71" s="4"/>
      <c r="W71" s="23"/>
      <c r="X71" s="89"/>
      <c r="Y71" s="52"/>
      <c r="Z71" s="80"/>
      <c r="AB71" s="50"/>
    </row>
    <row r="72" spans="1:28" x14ac:dyDescent="0.25">
      <c r="A72" s="199"/>
      <c r="B72" s="114"/>
      <c r="D72" s="15" t="s">
        <v>727</v>
      </c>
      <c r="E72" s="11"/>
      <c r="J72" s="68"/>
      <c r="L72" s="68"/>
      <c r="X72" s="89"/>
      <c r="Y72" s="55"/>
      <c r="Z72" s="80"/>
      <c r="AB72" s="50"/>
    </row>
    <row r="73" spans="1:28" x14ac:dyDescent="0.25">
      <c r="A73" s="199"/>
      <c r="B73" s="114"/>
      <c r="D73" s="15" t="s">
        <v>728</v>
      </c>
      <c r="E73" s="11"/>
      <c r="J73" s="68"/>
      <c r="L73" s="68"/>
      <c r="X73" s="89"/>
      <c r="Y73" s="55"/>
      <c r="Z73" s="80"/>
      <c r="AB73" s="50"/>
    </row>
    <row r="74" spans="1:28" x14ac:dyDescent="0.25">
      <c r="A74" s="199"/>
      <c r="B74" s="114"/>
      <c r="D74" s="15" t="s">
        <v>729</v>
      </c>
      <c r="E74" s="11"/>
      <c r="J74" s="68"/>
      <c r="L74" s="68"/>
      <c r="N74" s="4"/>
      <c r="O74" s="4"/>
      <c r="P74" s="4"/>
      <c r="Q74" s="4"/>
      <c r="R74" s="23"/>
      <c r="S74" s="4"/>
      <c r="T74" s="4"/>
      <c r="U74" s="4"/>
      <c r="V74" s="4"/>
      <c r="W74" s="23"/>
      <c r="X74" s="89"/>
      <c r="Y74" s="52"/>
      <c r="Z74" s="80"/>
      <c r="AB74" s="50"/>
    </row>
    <row r="75" spans="1:28" x14ac:dyDescent="0.25">
      <c r="A75" s="199">
        <v>45391</v>
      </c>
      <c r="B75" s="113"/>
      <c r="C75" s="24"/>
      <c r="D75" s="2" t="s">
        <v>497</v>
      </c>
      <c r="G75" s="1"/>
      <c r="H75" s="1"/>
      <c r="J75" s="48"/>
      <c r="L75" s="68"/>
      <c r="M75" s="73"/>
      <c r="N75" s="23"/>
      <c r="O75" s="32"/>
      <c r="P75" s="42"/>
      <c r="Q75" s="32"/>
      <c r="R75" s="42"/>
      <c r="S75" s="23"/>
      <c r="T75" s="23"/>
      <c r="U75" s="23"/>
      <c r="V75" s="32"/>
      <c r="W75" s="32"/>
      <c r="X75" s="89"/>
      <c r="Y75" s="52"/>
      <c r="Z75" s="84"/>
      <c r="AB75" s="2"/>
    </row>
    <row r="76" spans="1:28" x14ac:dyDescent="0.25">
      <c r="A76" s="199">
        <v>45391</v>
      </c>
      <c r="B76" s="113"/>
      <c r="C76" s="24"/>
      <c r="D76" s="2" t="s">
        <v>499</v>
      </c>
      <c r="G76" s="1"/>
      <c r="H76" s="1"/>
      <c r="J76" s="48"/>
      <c r="L76" s="68"/>
      <c r="M76" s="73"/>
      <c r="N76" s="23"/>
      <c r="O76" s="32"/>
      <c r="P76" s="42"/>
      <c r="Q76" s="32"/>
      <c r="R76" s="42"/>
      <c r="S76" s="23"/>
      <c r="T76" s="23"/>
      <c r="U76" s="23"/>
      <c r="V76" s="32"/>
      <c r="W76" s="32"/>
      <c r="X76" s="89"/>
      <c r="Y76" s="52"/>
      <c r="Z76" s="84"/>
      <c r="AB76" s="2"/>
    </row>
    <row r="77" spans="1:28" x14ac:dyDescent="0.25">
      <c r="A77" s="199"/>
      <c r="B77" s="114"/>
      <c r="D77" s="15"/>
      <c r="E77" s="11"/>
      <c r="J77" s="68"/>
      <c r="L77" s="68"/>
      <c r="X77" s="89"/>
      <c r="Y77" s="55"/>
      <c r="Z77" s="80"/>
      <c r="AB77" s="50"/>
    </row>
    <row r="78" spans="1:28" x14ac:dyDescent="0.25">
      <c r="A78" s="199"/>
      <c r="B78" s="114"/>
      <c r="C78" s="24" t="s">
        <v>154</v>
      </c>
      <c r="D78" s="25"/>
      <c r="E78" s="14"/>
      <c r="J78" s="68"/>
      <c r="L78" s="68"/>
      <c r="X78" s="89"/>
      <c r="Y78" s="55"/>
      <c r="Z78" s="80"/>
      <c r="AB78" s="50"/>
    </row>
    <row r="79" spans="1:28" x14ac:dyDescent="0.25">
      <c r="A79" s="199"/>
      <c r="B79" s="114"/>
      <c r="D79" s="15" t="s">
        <v>407</v>
      </c>
      <c r="E79" s="11"/>
      <c r="J79" s="68"/>
      <c r="L79" s="68"/>
      <c r="X79" s="89"/>
      <c r="Y79" s="55"/>
      <c r="Z79" s="80"/>
      <c r="AB79" s="50"/>
    </row>
    <row r="80" spans="1:28" x14ac:dyDescent="0.25">
      <c r="A80" s="199"/>
      <c r="B80" s="114"/>
      <c r="C80" s="14"/>
      <c r="D80" s="25"/>
      <c r="E80" s="14"/>
      <c r="J80" s="68"/>
      <c r="L80" s="68"/>
      <c r="X80" s="89"/>
      <c r="Y80" s="55"/>
      <c r="Z80" s="80"/>
      <c r="AB80" s="50"/>
    </row>
    <row r="81" spans="1:28" x14ac:dyDescent="0.25">
      <c r="A81" s="199"/>
      <c r="B81" s="114"/>
      <c r="C81" s="24" t="s">
        <v>65</v>
      </c>
      <c r="D81" s="25"/>
      <c r="E81" s="14"/>
      <c r="J81" s="68"/>
      <c r="L81" s="68"/>
      <c r="M81" s="4"/>
      <c r="N81" s="23"/>
      <c r="X81" s="89"/>
      <c r="Y81" s="55"/>
      <c r="Z81" s="80"/>
      <c r="AB81" s="50"/>
    </row>
    <row r="82" spans="1:28" x14ac:dyDescent="0.25">
      <c r="A82" s="198"/>
      <c r="B82" s="114"/>
      <c r="C82" s="24"/>
      <c r="D82" s="15" t="s">
        <v>413</v>
      </c>
      <c r="E82" s="14"/>
      <c r="J82" s="68"/>
      <c r="L82" s="68"/>
      <c r="M82" s="4"/>
      <c r="N82" s="23"/>
      <c r="X82" s="89"/>
      <c r="Y82" s="55"/>
      <c r="Z82" s="80"/>
      <c r="AB82" s="50"/>
    </row>
    <row r="83" spans="1:28" x14ac:dyDescent="0.25">
      <c r="A83" s="198"/>
      <c r="B83" s="114"/>
      <c r="C83" s="24"/>
      <c r="D83" s="15"/>
      <c r="E83" s="14"/>
      <c r="J83" s="68"/>
      <c r="L83" s="68"/>
      <c r="M83" s="4"/>
      <c r="N83" s="23"/>
      <c r="X83" s="89"/>
      <c r="Y83" s="55"/>
      <c r="Z83" s="80"/>
      <c r="AB83" s="50"/>
    </row>
    <row r="84" spans="1:28" x14ac:dyDescent="0.25">
      <c r="A84" s="198"/>
      <c r="B84" s="114"/>
      <c r="C84" s="24" t="s">
        <v>94</v>
      </c>
      <c r="D84" s="11"/>
      <c r="E84" s="14"/>
      <c r="J84" s="68"/>
      <c r="L84" s="68"/>
      <c r="M84" s="4"/>
      <c r="N84" s="23"/>
      <c r="X84" s="89"/>
      <c r="Y84" s="55"/>
      <c r="Z84" s="80"/>
      <c r="AB84" s="50"/>
    </row>
    <row r="85" spans="1:28" x14ac:dyDescent="0.25">
      <c r="A85" s="198"/>
      <c r="B85" s="114"/>
      <c r="J85" s="68"/>
      <c r="L85" s="68"/>
      <c r="X85" s="89"/>
      <c r="Y85" s="55"/>
      <c r="Z85" s="80"/>
      <c r="AB85" s="50"/>
    </row>
    <row r="86" spans="1:28" ht="15.75" x14ac:dyDescent="0.25">
      <c r="A86" s="200"/>
      <c r="B86" s="129"/>
      <c r="C86" s="96" t="s">
        <v>526</v>
      </c>
      <c r="D86" s="96"/>
      <c r="E86" s="96"/>
      <c r="F86" s="97"/>
      <c r="G86" s="97"/>
      <c r="H86" s="97"/>
      <c r="I86" s="97"/>
      <c r="J86" s="98"/>
      <c r="K86" s="97"/>
      <c r="L86" s="99"/>
      <c r="M86" s="97"/>
      <c r="N86" s="100">
        <f>N56-N60</f>
        <v>0</v>
      </c>
      <c r="O86" s="100"/>
      <c r="P86" s="100"/>
      <c r="Q86" s="100"/>
      <c r="R86" s="100"/>
      <c r="S86" s="100"/>
      <c r="T86" s="100"/>
      <c r="U86" s="100"/>
      <c r="V86" s="100"/>
      <c r="W86" s="100"/>
      <c r="X86" s="101"/>
      <c r="Y86" s="102"/>
      <c r="Z86" s="103"/>
      <c r="AA86" s="97"/>
      <c r="AB86" s="104"/>
    </row>
    <row r="87" spans="1:28" x14ac:dyDescent="0.25">
      <c r="A87" s="168"/>
      <c r="B87" s="14"/>
      <c r="J87" s="68"/>
      <c r="L87" s="68"/>
      <c r="X87" s="89"/>
      <c r="Z87" s="153"/>
      <c r="AB87" s="23"/>
    </row>
    <row r="88" spans="1:28" ht="15.75" x14ac:dyDescent="0.25">
      <c r="A88" s="169"/>
      <c r="B88" s="132" t="s">
        <v>695</v>
      </c>
      <c r="C88" s="105"/>
      <c r="D88" s="106"/>
      <c r="E88" s="105"/>
      <c r="F88" s="107"/>
      <c r="G88" s="107"/>
      <c r="H88" s="107"/>
      <c r="I88" s="107"/>
      <c r="J88" s="108"/>
      <c r="K88" s="107"/>
      <c r="L88" s="133">
        <f>SUM(L92:L108)</f>
        <v>5933.4506572295249</v>
      </c>
      <c r="M88" s="134"/>
      <c r="N88" s="134">
        <f>SUM(N92:N108)</f>
        <v>5078098</v>
      </c>
      <c r="O88" s="109"/>
      <c r="P88" s="109"/>
      <c r="Q88" s="109"/>
      <c r="R88" s="109"/>
      <c r="S88" s="109"/>
      <c r="T88" s="109"/>
      <c r="U88" s="109"/>
      <c r="V88" s="109"/>
      <c r="W88" s="109"/>
      <c r="X88" s="110"/>
      <c r="Y88" s="111">
        <f>SUM(Y89:Y91)</f>
        <v>0</v>
      </c>
      <c r="Z88" s="111">
        <f>SUM(Z89:Z91)</f>
        <v>0</v>
      </c>
      <c r="AA88" s="107"/>
      <c r="AB88" s="112"/>
    </row>
    <row r="89" spans="1:28" ht="15.75" x14ac:dyDescent="0.25">
      <c r="A89" s="152"/>
      <c r="B89" s="157" t="s">
        <v>40</v>
      </c>
      <c r="C89" s="158"/>
      <c r="D89" s="158"/>
      <c r="E89" s="159"/>
      <c r="F89" s="160"/>
      <c r="G89" s="160"/>
      <c r="H89" s="160"/>
      <c r="I89" s="160"/>
      <c r="J89" s="161"/>
      <c r="K89" s="160"/>
      <c r="L89" s="162"/>
      <c r="M89" s="163"/>
      <c r="N89" s="163"/>
      <c r="O89" s="164"/>
      <c r="P89" s="164"/>
      <c r="Q89" s="164"/>
      <c r="R89" s="164"/>
      <c r="S89" s="164"/>
      <c r="T89" s="164"/>
      <c r="U89" s="164"/>
      <c r="V89" s="164"/>
      <c r="W89" s="164"/>
      <c r="X89" s="165"/>
      <c r="Y89" s="164"/>
      <c r="Z89" s="166"/>
      <c r="AA89" s="160"/>
      <c r="AB89" s="167"/>
    </row>
    <row r="90" spans="1:28" ht="15.75" x14ac:dyDescent="0.25">
      <c r="A90" s="152"/>
      <c r="B90" s="69"/>
      <c r="C90" s="24" t="s">
        <v>529</v>
      </c>
      <c r="D90" s="17"/>
      <c r="E90" s="16"/>
      <c r="F90" s="18"/>
      <c r="G90" s="18"/>
      <c r="H90" s="18"/>
      <c r="I90">
        <v>53</v>
      </c>
      <c r="J90" s="4">
        <v>16500</v>
      </c>
      <c r="K90" t="s">
        <v>730</v>
      </c>
      <c r="L90" s="68">
        <f>Tabla15[[#This Row],[SUBTOTAL $]]/Tabla15[[#This Row],[T DE CAMBIO $/U$s]]</f>
        <v>1016.8604651162791</v>
      </c>
      <c r="M90" s="9">
        <v>860</v>
      </c>
      <c r="N90" s="73">
        <f>Tabla15[[#This Row],[U$S/TN]]*Tabla15[[#This Row],[KG NETOS TOT]]</f>
        <v>874500</v>
      </c>
      <c r="O90" s="26"/>
      <c r="P90" s="23"/>
      <c r="Q90" s="23"/>
      <c r="R90" s="23"/>
      <c r="S90" s="26"/>
      <c r="T90" s="26"/>
      <c r="U90" s="23"/>
      <c r="V90" s="26"/>
      <c r="W90" s="26"/>
      <c r="X90" s="93"/>
      <c r="Y90" s="52"/>
      <c r="Z90" s="84"/>
      <c r="AA90" s="18"/>
      <c r="AB90" s="50"/>
    </row>
    <row r="91" spans="1:28" ht="15.75" x14ac:dyDescent="0.25">
      <c r="A91" s="152"/>
      <c r="B91" s="69"/>
      <c r="C91" s="29"/>
      <c r="D91" s="17"/>
      <c r="E91" s="16"/>
      <c r="F91" s="18"/>
      <c r="G91" s="18"/>
      <c r="H91" s="18"/>
      <c r="J91" s="4"/>
      <c r="L91" s="68"/>
      <c r="M91" s="9"/>
      <c r="N91" s="73"/>
      <c r="O91" s="26"/>
      <c r="P91" s="23"/>
      <c r="Q91" s="23"/>
      <c r="R91" s="23"/>
      <c r="S91" s="26"/>
      <c r="T91" s="26"/>
      <c r="U91" s="23"/>
      <c r="V91" s="26"/>
      <c r="W91" s="26"/>
      <c r="X91" s="93"/>
      <c r="Y91" s="54"/>
      <c r="Z91" s="78"/>
      <c r="AA91" s="18"/>
      <c r="AB91" s="50"/>
    </row>
    <row r="92" spans="1:28" x14ac:dyDescent="0.25">
      <c r="A92" s="152"/>
      <c r="B92" s="145"/>
      <c r="C92" s="90" t="s">
        <v>318</v>
      </c>
      <c r="D92" s="82"/>
      <c r="E92" s="90"/>
      <c r="F92" s="94"/>
      <c r="G92" s="94"/>
      <c r="H92" s="94"/>
      <c r="I92" s="94"/>
      <c r="J92" s="62"/>
      <c r="K92" s="94"/>
      <c r="L92" s="62"/>
      <c r="M92" s="63"/>
      <c r="N92" s="83"/>
      <c r="O92" s="91"/>
      <c r="P92" s="91"/>
      <c r="Q92" s="135"/>
      <c r="R92" s="135"/>
      <c r="S92" s="91"/>
      <c r="T92" s="91"/>
      <c r="U92" s="135"/>
      <c r="V92" s="91"/>
      <c r="W92" s="91"/>
      <c r="X92" s="92">
        <f>SUM(X94:X94)</f>
        <v>0</v>
      </c>
      <c r="Y92" s="53">
        <f>SUM(Y94:Y94)</f>
        <v>0</v>
      </c>
      <c r="Z92" s="53">
        <f>SUM(Z94:Z94)</f>
        <v>0</v>
      </c>
      <c r="AA92" s="94"/>
      <c r="AB92" s="64"/>
    </row>
    <row r="93" spans="1:28" x14ac:dyDescent="0.25">
      <c r="A93" s="67"/>
      <c r="B93" s="69" t="s">
        <v>530</v>
      </c>
      <c r="C93" s="24" t="s">
        <v>103</v>
      </c>
      <c r="D93" s="2" t="s">
        <v>731</v>
      </c>
      <c r="E93" s="1"/>
      <c r="F93" s="11">
        <v>25</v>
      </c>
      <c r="I93">
        <v>350</v>
      </c>
      <c r="J93" s="68">
        <v>11.8</v>
      </c>
      <c r="K93" t="s">
        <v>732</v>
      </c>
      <c r="L93" s="68">
        <f>Tabla15[[#This Row],[KG NETOS TOT]]*Tabla15[[#This Row],[U$S/TN]]</f>
        <v>4130</v>
      </c>
      <c r="M93" s="9">
        <v>850</v>
      </c>
      <c r="N93" s="73">
        <f>Tabla15[[#This Row],[TOTAL U$S]]*Tabla15[[#This Row],[T DE CAMBIO $/U$s]]</f>
        <v>3510500</v>
      </c>
      <c r="O93" s="32"/>
      <c r="P93" s="32"/>
      <c r="Q93" s="23">
        <f>Tabla15[[#This Row],[SUBTOTAL $]]*0.21</f>
        <v>737205</v>
      </c>
      <c r="R93" s="23">
        <f>Tabla15[[#This Row],[SUBTOTAL $]]+SUM(Tabla15[[#This Row],[IVA 10,5]:[IVA 21]])</f>
        <v>4247705</v>
      </c>
      <c r="S93" s="32"/>
      <c r="T93" s="32"/>
      <c r="U93" s="23">
        <f>Tabla15[[#This Row],[TOTAL]]+Tabla15[[#This Row],[DEDUCCIONES (comisiones 2%)]]+Tabla15[[#This Row],[RETENCIONES IVA 7%]]</f>
        <v>4247705</v>
      </c>
      <c r="V93" s="32"/>
      <c r="W93" s="32"/>
      <c r="X93" s="93"/>
      <c r="Y93" s="54">
        <f>Tabla15[[#This Row],[IMPORTE NETO]]+Tabla15[[#This Row],[IVA RG 2300/07]]+Tabla15[[#This Row],[Descuentos  x cmbustib]]</f>
        <v>4247705</v>
      </c>
      <c r="Z93" s="78">
        <f>Tabla15[[#This Row],[LIQUIDACION]]/Tabla15[[#This Row],[T DE CAMBIO $/U$s]]</f>
        <v>4997.3</v>
      </c>
      <c r="AA93" t="s">
        <v>733</v>
      </c>
      <c r="AB93" s="50" t="s">
        <v>104</v>
      </c>
    </row>
    <row r="94" spans="1:28" x14ac:dyDescent="0.25">
      <c r="A94" s="152"/>
      <c r="B94" s="61"/>
      <c r="D94" s="2"/>
      <c r="J94" s="68"/>
      <c r="L94" s="68"/>
      <c r="M94" s="9"/>
      <c r="N94" s="73"/>
      <c r="P94" s="32"/>
      <c r="Q94" s="23"/>
      <c r="R94" s="23"/>
      <c r="U94" s="23"/>
      <c r="X94" s="89"/>
      <c r="Y94" s="52">
        <f>Tabla15[[#This Row],[IMPORTE NETO]]+Tabla15[[#This Row],[IVA RG 2300/07]]+Tabla15[[#This Row],[Descuentos  x cmbustib]]</f>
        <v>0</v>
      </c>
      <c r="Z94" s="84"/>
      <c r="AB94" s="50"/>
    </row>
    <row r="95" spans="1:28" x14ac:dyDescent="0.25">
      <c r="A95" s="152"/>
      <c r="B95" s="61"/>
      <c r="D95" s="2"/>
      <c r="J95" s="68"/>
      <c r="L95" s="68"/>
      <c r="M95" s="9"/>
      <c r="N95" s="73"/>
      <c r="P95" s="32"/>
      <c r="Q95" s="23"/>
      <c r="R95" s="23"/>
      <c r="U95" s="23"/>
      <c r="X95" s="89"/>
      <c r="Y95" s="52"/>
      <c r="Z95" s="84"/>
      <c r="AB95" s="50"/>
    </row>
    <row r="96" spans="1:28" x14ac:dyDescent="0.25">
      <c r="A96" s="152"/>
      <c r="B96" s="61"/>
      <c r="D96" s="2"/>
      <c r="J96" s="68"/>
      <c r="L96" s="68"/>
      <c r="M96" s="9"/>
      <c r="N96" s="73"/>
      <c r="P96" s="32"/>
      <c r="Q96" s="23"/>
      <c r="R96" s="23"/>
      <c r="U96" s="23"/>
      <c r="X96" s="89"/>
      <c r="Y96" s="52"/>
      <c r="Z96" s="84"/>
      <c r="AB96" s="50"/>
    </row>
    <row r="97" spans="1:16379" ht="15.75" x14ac:dyDescent="0.25">
      <c r="A97" s="243"/>
      <c r="B97" s="146"/>
      <c r="C97" s="96" t="s">
        <v>734</v>
      </c>
      <c r="D97" s="136"/>
      <c r="E97" s="137"/>
      <c r="F97" s="137"/>
      <c r="G97" s="137"/>
      <c r="H97" s="137"/>
      <c r="I97" s="137"/>
      <c r="J97" s="99"/>
      <c r="K97" s="137"/>
      <c r="L97" s="99"/>
      <c r="M97" s="138"/>
      <c r="N97" s="139"/>
      <c r="O97" s="137"/>
      <c r="P97" s="140"/>
      <c r="Q97" s="141"/>
      <c r="R97" s="141"/>
      <c r="S97" s="137"/>
      <c r="T97" s="137"/>
      <c r="U97" s="141"/>
      <c r="V97" s="137"/>
      <c r="W97" s="137"/>
      <c r="X97" s="142"/>
      <c r="Y97" s="143"/>
      <c r="Z97" s="144"/>
      <c r="AA97" s="137"/>
      <c r="AB97" s="104"/>
    </row>
    <row r="98" spans="1:16379" ht="15.75" x14ac:dyDescent="0.25">
      <c r="A98" s="152"/>
      <c r="B98" s="231" t="s">
        <v>535</v>
      </c>
      <c r="C98" s="232"/>
      <c r="D98" s="232"/>
      <c r="E98" s="233"/>
      <c r="F98" s="234"/>
      <c r="G98" s="234"/>
      <c r="H98" s="234"/>
      <c r="I98" s="234"/>
      <c r="J98" s="235"/>
      <c r="K98" s="234"/>
      <c r="L98" s="236"/>
      <c r="M98" s="237"/>
      <c r="N98" s="237"/>
      <c r="O98" s="238"/>
      <c r="P98" s="238"/>
      <c r="Q98" s="238"/>
      <c r="R98" s="238"/>
      <c r="S98" s="238"/>
      <c r="T98" s="238"/>
      <c r="U98" s="238"/>
      <c r="V98" s="238"/>
      <c r="W98" s="238"/>
      <c r="X98" s="239"/>
      <c r="Y98" s="238"/>
      <c r="Z98" s="240"/>
      <c r="AA98" s="234"/>
      <c r="AB98" s="241"/>
    </row>
    <row r="99" spans="1:16379" x14ac:dyDescent="0.25">
      <c r="A99" s="152"/>
      <c r="B99" s="61"/>
      <c r="D99" s="2"/>
      <c r="J99" s="68"/>
      <c r="L99" s="68"/>
      <c r="M99" s="9"/>
      <c r="N99" s="73"/>
      <c r="P99" s="32"/>
      <c r="Q99" s="23"/>
      <c r="R99" s="23"/>
      <c r="U99" s="23"/>
      <c r="X99" s="89"/>
      <c r="Y99" s="54"/>
      <c r="Z99" s="78"/>
      <c r="AB99" s="50"/>
    </row>
    <row r="100" spans="1:16379" x14ac:dyDescent="0.25">
      <c r="A100" s="152"/>
      <c r="B100" s="69"/>
      <c r="C100" s="24"/>
      <c r="D100" s="2"/>
      <c r="J100" s="4"/>
      <c r="L100" s="68"/>
      <c r="M100" s="9"/>
      <c r="N100" s="73"/>
      <c r="P100" s="23"/>
      <c r="Q100" s="23"/>
      <c r="R100" s="23"/>
      <c r="U100" s="23"/>
      <c r="X100" s="89"/>
      <c r="Y100" s="52"/>
      <c r="Z100" s="84"/>
      <c r="AB100" s="50"/>
    </row>
    <row r="101" spans="1:16379" x14ac:dyDescent="0.25">
      <c r="A101" s="152"/>
      <c r="B101" s="69"/>
      <c r="C101" s="24"/>
      <c r="D101" s="2"/>
      <c r="J101" s="68"/>
      <c r="L101" s="68"/>
      <c r="M101" s="9"/>
      <c r="N101" s="73"/>
      <c r="P101" s="32"/>
      <c r="Q101" s="23"/>
      <c r="R101" s="23"/>
      <c r="U101" s="23"/>
      <c r="X101" s="89"/>
      <c r="Y101" s="52"/>
      <c r="Z101" s="84"/>
      <c r="AB101" s="50"/>
    </row>
    <row r="102" spans="1:16379" x14ac:dyDescent="0.25">
      <c r="A102" s="152"/>
      <c r="B102" s="61"/>
      <c r="D102" s="2"/>
      <c r="J102" s="68"/>
      <c r="L102" s="68"/>
      <c r="M102" s="9"/>
      <c r="N102" s="73"/>
      <c r="P102" s="32"/>
      <c r="Q102" s="23"/>
      <c r="R102" s="23"/>
      <c r="U102" s="23"/>
      <c r="X102" s="89"/>
      <c r="Y102" s="54"/>
      <c r="Z102" s="78"/>
      <c r="AB102" s="50"/>
    </row>
    <row r="103" spans="1:16379" x14ac:dyDescent="0.25">
      <c r="A103" s="152"/>
      <c r="B103" s="145"/>
      <c r="C103" s="90" t="s">
        <v>318</v>
      </c>
      <c r="D103" s="82"/>
      <c r="E103" s="90"/>
      <c r="F103" s="94"/>
      <c r="G103" s="94"/>
      <c r="H103" s="94"/>
      <c r="I103" s="94"/>
      <c r="J103" s="62"/>
      <c r="K103" s="94"/>
      <c r="L103" s="62"/>
      <c r="M103" s="63"/>
      <c r="N103" s="83"/>
      <c r="O103" s="91"/>
      <c r="P103" s="91"/>
      <c r="Q103" s="135"/>
      <c r="R103" s="135"/>
      <c r="S103" s="91"/>
      <c r="T103" s="91"/>
      <c r="U103" s="135"/>
      <c r="V103" s="91"/>
      <c r="W103" s="91"/>
      <c r="X103" s="92"/>
      <c r="Y103" s="53">
        <f>Tabla15[[#This Row],[IMPORTE NETO]]+Tabla15[[#This Row],[IVA RG 2300/07]]+Tabla15[[#This Row],[Descuentos  x cmbustib]]</f>
        <v>0</v>
      </c>
      <c r="Z103" s="53"/>
      <c r="AA103" s="94"/>
      <c r="AB103" s="64"/>
    </row>
    <row r="104" spans="1:16379" x14ac:dyDescent="0.25">
      <c r="A104" s="67"/>
      <c r="B104" s="69" t="s">
        <v>735</v>
      </c>
      <c r="C104" s="24" t="s">
        <v>56</v>
      </c>
      <c r="D104" s="2" t="s">
        <v>736</v>
      </c>
      <c r="E104" t="s">
        <v>737</v>
      </c>
      <c r="F104" s="11">
        <v>106</v>
      </c>
      <c r="J104" s="4">
        <v>12383</v>
      </c>
      <c r="K104" t="s">
        <v>738</v>
      </c>
      <c r="L104" s="68">
        <f>Tabla15[[#This Row],[SUBTOTAL $]]/Tabla15[[#This Row],[T DE CAMBIO $/U$s]]</f>
        <v>1526.2767441860465</v>
      </c>
      <c r="M104" s="9">
        <v>860</v>
      </c>
      <c r="N104" s="73">
        <v>1312598</v>
      </c>
      <c r="O104" s="32"/>
      <c r="P104" s="23">
        <f>Tabla15[[#This Row],[SUBTOTAL $]]*0.105</f>
        <v>137822.79</v>
      </c>
      <c r="Q104" s="32"/>
      <c r="R104" s="23">
        <f>Tabla15[[#This Row],[SUBTOTAL $]]+SUM(Tabla15[[#This Row],[IVA 10,5]:[IVA 21]])</f>
        <v>1450420.79</v>
      </c>
      <c r="S104" s="32"/>
      <c r="T104" s="32"/>
      <c r="U104" s="23">
        <f>Tabla15[[#This Row],[TOTAL]]+Tabla15[[#This Row],[DEDUCCIONES (comisiones 2%)]]+Tabla15[[#This Row],[RETENCIONES IVA 7%]]</f>
        <v>1450420.79</v>
      </c>
      <c r="V104" s="32"/>
      <c r="W104" s="32"/>
      <c r="X104" s="93">
        <f>Tabla15[[#This Row],[TOTAL U$S2]]/Tabla15[[#This Row],[HAS]]</f>
        <v>15.91071511627907</v>
      </c>
      <c r="Y104" s="54">
        <f>Tabla15[[#This Row],[IMPORTE NETO]]+Tabla15[[#This Row],[IVA RG 2300/07]]+Tabla15[[#This Row],[Descuentos  x cmbustib]]</f>
        <v>1450420.79</v>
      </c>
      <c r="Z104" s="78">
        <f>Tabla15[[#This Row],[LIQUIDACION]]/Tabla15[[#This Row],[T DE CAMBIO $/U$s]]</f>
        <v>1686.5358023255815</v>
      </c>
      <c r="AA104" t="s">
        <v>739</v>
      </c>
      <c r="AB104" s="50" t="s">
        <v>740</v>
      </c>
    </row>
    <row r="105" spans="1:16379" x14ac:dyDescent="0.25">
      <c r="A105" s="67"/>
      <c r="B105" s="69"/>
      <c r="D105" s="2" t="s">
        <v>388</v>
      </c>
      <c r="F105" s="11">
        <v>15</v>
      </c>
      <c r="J105" s="4">
        <v>17000</v>
      </c>
      <c r="K105" t="s">
        <v>738</v>
      </c>
      <c r="L105" s="68">
        <f>Tabla15[[#This Row],[SUBTOTAL $]]/Tabla15[[#This Row],[T DE CAMBIO $/U$s]]</f>
        <v>277.17391304347825</v>
      </c>
      <c r="M105" s="9">
        <v>920</v>
      </c>
      <c r="N105" s="73">
        <f>Tabla15[[#This Row],[U$S/TN]]*Tabla15[[#This Row],[HAS]]</f>
        <v>255000</v>
      </c>
      <c r="O105" s="32"/>
      <c r="P105" s="23">
        <f>Tabla15[[#This Row],[SUBTOTAL $]]*0.105</f>
        <v>26775</v>
      </c>
      <c r="Q105" s="32"/>
      <c r="R105" s="23">
        <f>Tabla15[[#This Row],[SUBTOTAL $]]+SUM(Tabla15[[#This Row],[IVA 10,5]:[IVA 21]])</f>
        <v>281775</v>
      </c>
      <c r="S105" s="32"/>
      <c r="T105" s="32"/>
      <c r="U105" s="23">
        <f>Tabla15[[#This Row],[TOTAL]]+Tabla15[[#This Row],[DEDUCCIONES (comisiones 2%)]]+Tabla15[[#This Row],[RETENCIONES IVA 7%]]</f>
        <v>281775</v>
      </c>
      <c r="V105" s="32"/>
      <c r="W105" s="32"/>
      <c r="X105" s="93">
        <f>Tabla15[[#This Row],[TOTAL U$S2]]/Tabla15[[#This Row],[HAS]]</f>
        <v>20.418478260869566</v>
      </c>
      <c r="Y105" s="54">
        <f>Tabla15[[#This Row],[IMPORTE NETO]]+Tabla15[[#This Row],[IVA RG 2300/07]]+Tabla15[[#This Row],[Descuentos  x cmbustib]]</f>
        <v>281775</v>
      </c>
      <c r="Z105" s="78">
        <f>Tabla15[[#This Row],[LIQUIDACION]]/Tabla15[[#This Row],[T DE CAMBIO $/U$s]]</f>
        <v>306.2771739130435</v>
      </c>
      <c r="AA105" t="s">
        <v>741</v>
      </c>
      <c r="AB105" s="50" t="s">
        <v>388</v>
      </c>
    </row>
    <row r="106" spans="1:16379" x14ac:dyDescent="0.25">
      <c r="A106" s="67"/>
      <c r="B106" s="69"/>
      <c r="C106" s="24" t="s">
        <v>65</v>
      </c>
      <c r="D106" s="2"/>
      <c r="F106" s="11"/>
      <c r="J106" s="4"/>
      <c r="L106" s="68"/>
      <c r="M106" s="9"/>
      <c r="N106" s="73"/>
      <c r="O106" s="32"/>
      <c r="P106" s="23"/>
      <c r="Q106" s="32"/>
      <c r="R106" s="23"/>
      <c r="S106" s="32"/>
      <c r="T106" s="32"/>
      <c r="U106" s="23"/>
      <c r="V106" s="32"/>
      <c r="W106" s="32"/>
      <c r="X106" s="93"/>
      <c r="Y106" s="54"/>
      <c r="Z106" s="78"/>
      <c r="AB106" s="50"/>
    </row>
    <row r="107" spans="1:16379" x14ac:dyDescent="0.25">
      <c r="A107" s="67">
        <v>45345</v>
      </c>
      <c r="B107" s="36" t="s">
        <v>735</v>
      </c>
      <c r="D107" s="2" t="s">
        <v>742</v>
      </c>
      <c r="F107" s="11">
        <v>106</v>
      </c>
      <c r="J107" s="73"/>
      <c r="L107" s="48"/>
      <c r="M107" s="23">
        <v>920</v>
      </c>
      <c r="N107" s="73"/>
      <c r="O107" s="23"/>
      <c r="P107" s="23"/>
      <c r="Q107" s="23"/>
      <c r="R107" s="23"/>
      <c r="S107" s="23"/>
      <c r="T107" s="23"/>
      <c r="U107" s="23"/>
      <c r="V107" s="23"/>
      <c r="W107" s="23"/>
      <c r="X107" s="93">
        <f>Tabla15[[#This Row],[TOTAL U$S2]]/Tabla15[[#This Row],[HAS]]</f>
        <v>2.2969647251845777</v>
      </c>
      <c r="Y107" s="32">
        <v>224000</v>
      </c>
      <c r="Z107" s="84">
        <f>Tabla15[[#This Row],[LIQUIDACION]]/Tabla15[[#This Row],[T DE CAMBIO $/U$s]]</f>
        <v>243.47826086956522</v>
      </c>
      <c r="AA107" t="s">
        <v>43</v>
      </c>
      <c r="AB107" s="50" t="s">
        <v>90</v>
      </c>
    </row>
    <row r="108" spans="1:16379" ht="15.75" x14ac:dyDescent="0.25">
      <c r="A108" s="243"/>
      <c r="B108" s="146"/>
      <c r="C108" s="96" t="s">
        <v>743</v>
      </c>
      <c r="D108" s="136"/>
      <c r="E108" s="137"/>
      <c r="F108" s="137"/>
      <c r="G108" s="137"/>
      <c r="H108" s="137"/>
      <c r="I108" s="137"/>
      <c r="J108" s="99"/>
      <c r="K108" s="137"/>
      <c r="L108" s="99"/>
      <c r="M108" s="138"/>
      <c r="N108" s="139"/>
      <c r="O108" s="137"/>
      <c r="P108" s="140"/>
      <c r="Q108" s="141"/>
      <c r="R108" s="141"/>
      <c r="S108" s="137"/>
      <c r="T108" s="137"/>
      <c r="U108" s="141"/>
      <c r="V108" s="137"/>
      <c r="W108" s="137"/>
      <c r="X108" s="142"/>
      <c r="Y108" s="143"/>
      <c r="Z108" s="144"/>
      <c r="AA108" s="137"/>
      <c r="AB108" s="104"/>
      <c r="AC108" s="137"/>
      <c r="AD108" s="137"/>
      <c r="AE108" s="137"/>
      <c r="AF108" s="137"/>
      <c r="AG108" s="99"/>
      <c r="AH108" s="137"/>
      <c r="AI108" s="99"/>
      <c r="AJ108" s="138"/>
      <c r="AK108" s="139"/>
      <c r="AL108" s="137"/>
      <c r="AM108" s="140"/>
      <c r="AN108" s="141"/>
      <c r="AO108" s="141"/>
      <c r="AP108" s="137"/>
      <c r="AQ108" s="137"/>
      <c r="AR108" s="141"/>
      <c r="AS108" s="137"/>
      <c r="AT108" s="137"/>
      <c r="AU108" s="142"/>
      <c r="AV108" s="143"/>
      <c r="AW108" s="144"/>
      <c r="AX108" s="137"/>
      <c r="AY108" s="104"/>
      <c r="AZ108" s="243"/>
      <c r="BA108" s="146"/>
      <c r="BB108" s="96"/>
      <c r="BC108" s="136"/>
      <c r="BD108" s="137"/>
      <c r="BE108" s="137"/>
      <c r="BF108" s="137"/>
      <c r="BG108" s="137"/>
      <c r="BH108" s="137"/>
      <c r="BI108" s="99"/>
      <c r="BJ108" s="137"/>
      <c r="BK108" s="99"/>
      <c r="BL108" s="138"/>
      <c r="BM108" s="139"/>
      <c r="BN108" s="137"/>
      <c r="BO108" s="140"/>
      <c r="BP108" s="141"/>
      <c r="BQ108" s="141"/>
      <c r="BR108" s="137"/>
      <c r="BS108" s="137"/>
      <c r="BT108" s="141"/>
      <c r="BU108" s="137"/>
      <c r="BV108" s="137"/>
      <c r="BW108" s="142"/>
      <c r="BX108" s="143"/>
      <c r="BY108" s="144"/>
      <c r="BZ108" s="137"/>
      <c r="CA108" s="104"/>
      <c r="CB108" s="243"/>
      <c r="CC108" s="146"/>
      <c r="CD108" s="96"/>
      <c r="CE108" s="136"/>
      <c r="CF108" s="137"/>
      <c r="CG108" s="137"/>
      <c r="CH108" s="137"/>
      <c r="CI108" s="137"/>
      <c r="CJ108" s="137"/>
      <c r="CK108" s="99"/>
      <c r="CL108" s="137"/>
      <c r="CM108" s="99"/>
      <c r="CN108" s="138"/>
      <c r="CO108" s="139"/>
      <c r="CP108" s="137"/>
      <c r="CQ108" s="140"/>
      <c r="CR108" s="141"/>
      <c r="CS108" s="141"/>
      <c r="CT108" s="137"/>
      <c r="CU108" s="137"/>
      <c r="CV108" s="141"/>
      <c r="CW108" s="137"/>
      <c r="CX108" s="137"/>
      <c r="CY108" s="142"/>
      <c r="CZ108" s="143"/>
      <c r="DA108" s="144"/>
      <c r="DB108" s="137"/>
      <c r="DC108" s="104"/>
      <c r="DD108" s="243"/>
      <c r="DE108" s="146"/>
      <c r="DF108" s="96"/>
      <c r="DG108" s="136"/>
      <c r="DH108" s="137"/>
      <c r="DI108" s="137"/>
      <c r="DJ108" s="137"/>
      <c r="DK108" s="137"/>
      <c r="DL108" s="137"/>
      <c r="DM108" s="99"/>
      <c r="DN108" s="137"/>
      <c r="DO108" s="99"/>
      <c r="DP108" s="138"/>
      <c r="DQ108" s="139"/>
      <c r="DR108" s="137"/>
      <c r="DS108" s="140"/>
      <c r="DT108" s="141"/>
      <c r="DU108" s="141"/>
      <c r="DV108" s="137"/>
      <c r="DW108" s="137"/>
      <c r="DX108" s="141"/>
      <c r="DY108" s="137"/>
      <c r="DZ108" s="137"/>
      <c r="EA108" s="142"/>
      <c r="EB108" s="143"/>
      <c r="EC108" s="144"/>
      <c r="ED108" s="137"/>
      <c r="EE108" s="104"/>
      <c r="EF108" s="243"/>
      <c r="EG108" s="146"/>
      <c r="EH108" s="96"/>
      <c r="EI108" s="136"/>
      <c r="EJ108" s="137"/>
      <c r="EK108" s="137"/>
      <c r="EL108" s="137"/>
      <c r="EM108" s="137"/>
      <c r="EN108" s="137"/>
      <c r="EO108" s="99"/>
      <c r="EP108" s="137"/>
      <c r="EQ108" s="99"/>
      <c r="ER108" s="138"/>
      <c r="ES108" s="139"/>
      <c r="ET108" s="137"/>
      <c r="EU108" s="140"/>
      <c r="EV108" s="141"/>
      <c r="EW108" s="141"/>
      <c r="EX108" s="137"/>
      <c r="EY108" s="137"/>
      <c r="EZ108" s="141"/>
      <c r="FA108" s="137"/>
      <c r="FB108" s="137"/>
      <c r="FC108" s="142"/>
      <c r="FD108" s="143"/>
      <c r="FE108" s="144"/>
      <c r="FF108" s="137"/>
      <c r="FG108" s="104"/>
      <c r="FH108" s="243"/>
      <c r="FI108" s="146"/>
      <c r="FJ108" s="96"/>
      <c r="FK108" s="136"/>
      <c r="FL108" s="137"/>
      <c r="FM108" s="137"/>
      <c r="FN108" s="137"/>
      <c r="FO108" s="137"/>
      <c r="FP108" s="137"/>
      <c r="FQ108" s="99"/>
      <c r="FR108" s="137"/>
      <c r="FS108" s="99"/>
      <c r="FT108" s="138"/>
      <c r="FU108" s="139"/>
      <c r="FV108" s="137"/>
      <c r="FW108" s="140"/>
      <c r="FX108" s="141"/>
      <c r="FY108" s="141"/>
      <c r="FZ108" s="137"/>
      <c r="GA108" s="137"/>
      <c r="GB108" s="141"/>
      <c r="GC108" s="137"/>
      <c r="GD108" s="137"/>
      <c r="GE108" s="142"/>
      <c r="GF108" s="143"/>
      <c r="GG108" s="144"/>
      <c r="GH108" s="137"/>
      <c r="GI108" s="104"/>
      <c r="GJ108" s="243"/>
      <c r="GK108" s="146"/>
      <c r="GL108" s="96"/>
      <c r="GM108" s="136"/>
      <c r="GN108" s="137"/>
      <c r="GO108" s="137"/>
      <c r="GP108" s="137"/>
      <c r="GQ108" s="137"/>
      <c r="GR108" s="137"/>
      <c r="GS108" s="99"/>
      <c r="GT108" s="137"/>
      <c r="GU108" s="99"/>
      <c r="GV108" s="138"/>
      <c r="GW108" s="139"/>
      <c r="GX108" s="137"/>
      <c r="GY108" s="140"/>
      <c r="GZ108" s="141"/>
      <c r="HA108" s="141"/>
      <c r="HB108" s="137"/>
      <c r="HC108" s="137"/>
      <c r="HD108" s="141"/>
      <c r="HE108" s="137"/>
      <c r="HF108" s="137"/>
      <c r="HG108" s="142"/>
      <c r="HH108" s="143"/>
      <c r="HI108" s="144"/>
      <c r="HJ108" s="137"/>
      <c r="HK108" s="104"/>
      <c r="HL108" s="243"/>
      <c r="HM108" s="146"/>
      <c r="HN108" s="96"/>
      <c r="HO108" s="136"/>
      <c r="HP108" s="137"/>
      <c r="HQ108" s="137"/>
      <c r="HR108" s="137"/>
      <c r="HS108" s="137"/>
      <c r="HT108" s="137"/>
      <c r="HU108" s="99"/>
      <c r="HV108" s="137"/>
      <c r="HW108" s="99"/>
      <c r="HX108" s="138"/>
      <c r="HY108" s="139"/>
      <c r="HZ108" s="137"/>
      <c r="IA108" s="140"/>
      <c r="IB108" s="141"/>
      <c r="IC108" s="141"/>
      <c r="ID108" s="137"/>
      <c r="IE108" s="137"/>
      <c r="IF108" s="141"/>
      <c r="IG108" s="137"/>
      <c r="IH108" s="137"/>
      <c r="II108" s="142"/>
      <c r="IJ108" s="143"/>
      <c r="IK108" s="144"/>
      <c r="IL108" s="137"/>
      <c r="IM108" s="104"/>
      <c r="IN108" s="243"/>
      <c r="IO108" s="146"/>
      <c r="IP108" s="96"/>
      <c r="IQ108" s="136"/>
      <c r="IR108" s="137"/>
      <c r="IS108" s="137"/>
      <c r="IT108" s="137"/>
      <c r="IU108" s="137"/>
      <c r="IV108" s="137"/>
      <c r="IW108" s="99"/>
      <c r="IX108" s="137"/>
      <c r="IY108" s="99"/>
      <c r="IZ108" s="138"/>
      <c r="JA108" s="139"/>
      <c r="JB108" s="137"/>
      <c r="JC108" s="140"/>
      <c r="JD108" s="141"/>
      <c r="JE108" s="141"/>
      <c r="JF108" s="137"/>
      <c r="JG108" s="137"/>
      <c r="JH108" s="141"/>
      <c r="JI108" s="137"/>
      <c r="JJ108" s="137"/>
      <c r="JK108" s="142"/>
      <c r="JL108" s="143"/>
      <c r="JM108" s="144"/>
      <c r="JN108" s="137"/>
      <c r="JO108" s="104"/>
      <c r="JP108" s="243"/>
      <c r="JQ108" s="146"/>
      <c r="JR108" s="96"/>
      <c r="JS108" s="136"/>
      <c r="JT108" s="137"/>
      <c r="JU108" s="137"/>
      <c r="JV108" s="137"/>
      <c r="JW108" s="137"/>
      <c r="JX108" s="137"/>
      <c r="JY108" s="99"/>
      <c r="JZ108" s="137"/>
      <c r="KA108" s="99"/>
      <c r="KB108" s="138"/>
      <c r="KC108" s="139"/>
      <c r="KD108" s="137"/>
      <c r="KE108" s="140"/>
      <c r="KF108" s="141"/>
      <c r="KG108" s="141"/>
      <c r="KH108" s="137"/>
      <c r="KI108" s="137"/>
      <c r="KJ108" s="141"/>
      <c r="KK108" s="137"/>
      <c r="KL108" s="137"/>
      <c r="KM108" s="142"/>
      <c r="KN108" s="143"/>
      <c r="KO108" s="144"/>
      <c r="KP108" s="137"/>
      <c r="KQ108" s="104"/>
      <c r="KR108" s="243"/>
      <c r="KS108" s="146"/>
      <c r="KT108" s="96"/>
      <c r="KU108" s="136"/>
      <c r="KV108" s="137"/>
      <c r="KW108" s="137"/>
      <c r="KX108" s="137"/>
      <c r="KY108" s="137"/>
      <c r="KZ108" s="137"/>
      <c r="LA108" s="99"/>
      <c r="LB108" s="137"/>
      <c r="LC108" s="99"/>
      <c r="LD108" s="138"/>
      <c r="LE108" s="139"/>
      <c r="LF108" s="137"/>
      <c r="LG108" s="140"/>
      <c r="LH108" s="141"/>
      <c r="LI108" s="141"/>
      <c r="LJ108" s="137"/>
      <c r="LK108" s="137"/>
      <c r="LL108" s="141"/>
      <c r="LM108" s="137"/>
      <c r="LN108" s="137"/>
      <c r="LO108" s="142"/>
      <c r="LP108" s="143"/>
      <c r="LQ108" s="144"/>
      <c r="LR108" s="137"/>
      <c r="LS108" s="104"/>
      <c r="LT108" s="243"/>
      <c r="LU108" s="146"/>
      <c r="LV108" s="96"/>
      <c r="LW108" s="136"/>
      <c r="LX108" s="137"/>
      <c r="LY108" s="137"/>
      <c r="LZ108" s="137"/>
      <c r="MA108" s="137"/>
      <c r="MB108" s="137"/>
      <c r="MC108" s="99"/>
      <c r="MD108" s="137"/>
      <c r="ME108" s="99"/>
      <c r="MF108" s="138"/>
      <c r="MG108" s="139"/>
      <c r="MH108" s="137"/>
      <c r="MI108" s="140"/>
      <c r="MJ108" s="141"/>
      <c r="MK108" s="141"/>
      <c r="ML108" s="137"/>
      <c r="MM108" s="137"/>
      <c r="MN108" s="141"/>
      <c r="MO108" s="137"/>
      <c r="MP108" s="137"/>
      <c r="MQ108" s="142"/>
      <c r="MR108" s="143"/>
      <c r="MS108" s="144"/>
      <c r="MT108" s="137"/>
      <c r="MU108" s="104"/>
      <c r="MV108" s="243"/>
      <c r="MW108" s="146"/>
      <c r="MX108" s="96"/>
      <c r="MY108" s="136"/>
      <c r="MZ108" s="137"/>
      <c r="NA108" s="137"/>
      <c r="NB108" s="137"/>
      <c r="NC108" s="137"/>
      <c r="ND108" s="137"/>
      <c r="NE108" s="99"/>
      <c r="NF108" s="137"/>
      <c r="NG108" s="99"/>
      <c r="NH108" s="138"/>
      <c r="NI108" s="139"/>
      <c r="NJ108" s="137"/>
      <c r="NK108" s="140"/>
      <c r="NL108" s="141"/>
      <c r="NM108" s="141"/>
      <c r="NN108" s="137"/>
      <c r="NO108" s="137"/>
      <c r="NP108" s="141"/>
      <c r="NQ108" s="137"/>
      <c r="NR108" s="137"/>
      <c r="NS108" s="142"/>
      <c r="NT108" s="143"/>
      <c r="NU108" s="144"/>
      <c r="NV108" s="137"/>
      <c r="NW108" s="104"/>
      <c r="NX108" s="243"/>
      <c r="NY108" s="146"/>
      <c r="NZ108" s="96"/>
      <c r="OA108" s="136"/>
      <c r="OB108" s="137"/>
      <c r="OC108" s="137"/>
      <c r="OD108" s="137"/>
      <c r="OE108" s="137"/>
      <c r="OF108" s="137"/>
      <c r="OG108" s="99"/>
      <c r="OH108" s="137"/>
      <c r="OI108" s="99"/>
      <c r="OJ108" s="138"/>
      <c r="OK108" s="139"/>
      <c r="OL108" s="137"/>
      <c r="OM108" s="140"/>
      <c r="ON108" s="141"/>
      <c r="OO108" s="141"/>
      <c r="OP108" s="137"/>
      <c r="OQ108" s="137"/>
      <c r="OR108" s="141"/>
      <c r="OS108" s="137"/>
      <c r="OT108" s="137"/>
      <c r="OU108" s="142"/>
      <c r="OV108" s="143"/>
      <c r="OW108" s="144"/>
      <c r="OX108" s="137"/>
      <c r="OY108" s="104"/>
      <c r="OZ108" s="243"/>
      <c r="PA108" s="146"/>
      <c r="PB108" s="96"/>
      <c r="PC108" s="136"/>
      <c r="PD108" s="137"/>
      <c r="PE108" s="137"/>
      <c r="PF108" s="137"/>
      <c r="PG108" s="137"/>
      <c r="PH108" s="137"/>
      <c r="PI108" s="99"/>
      <c r="PJ108" s="137"/>
      <c r="PK108" s="99"/>
      <c r="PL108" s="138"/>
      <c r="PM108" s="139"/>
      <c r="PN108" s="137"/>
      <c r="PO108" s="140"/>
      <c r="PP108" s="141"/>
      <c r="PQ108" s="141"/>
      <c r="PR108" s="137"/>
      <c r="PS108" s="137"/>
      <c r="PT108" s="141"/>
      <c r="PU108" s="137"/>
      <c r="PV108" s="137"/>
      <c r="PW108" s="142"/>
      <c r="PX108" s="143"/>
      <c r="PY108" s="144"/>
      <c r="PZ108" s="137"/>
      <c r="QA108" s="104"/>
      <c r="QB108" s="243"/>
      <c r="QC108" s="146"/>
      <c r="QD108" s="96"/>
      <c r="QE108" s="136"/>
      <c r="QF108" s="137"/>
      <c r="QG108" s="137"/>
      <c r="QH108" s="137"/>
      <c r="QI108" s="137"/>
      <c r="QJ108" s="137"/>
      <c r="QK108" s="99"/>
      <c r="QL108" s="137"/>
      <c r="QM108" s="99"/>
      <c r="QN108" s="138"/>
      <c r="QO108" s="139"/>
      <c r="QP108" s="137"/>
      <c r="QQ108" s="140"/>
      <c r="QR108" s="141"/>
      <c r="QS108" s="141"/>
      <c r="QT108" s="137"/>
      <c r="QU108" s="137"/>
      <c r="QV108" s="141"/>
      <c r="QW108" s="137"/>
      <c r="QX108" s="137"/>
      <c r="QY108" s="142"/>
      <c r="QZ108" s="143"/>
      <c r="RA108" s="144"/>
      <c r="RB108" s="137"/>
      <c r="RC108" s="104"/>
      <c r="RD108" s="243"/>
      <c r="RE108" s="146"/>
      <c r="RF108" s="96"/>
      <c r="RG108" s="136"/>
      <c r="RH108" s="137"/>
      <c r="RI108" s="137"/>
      <c r="RJ108" s="137"/>
      <c r="RK108" s="137"/>
      <c r="RL108" s="137"/>
      <c r="RM108" s="99"/>
      <c r="RN108" s="137"/>
      <c r="RO108" s="99"/>
      <c r="RP108" s="138"/>
      <c r="RQ108" s="139"/>
      <c r="RR108" s="137"/>
      <c r="RS108" s="140"/>
      <c r="RT108" s="141"/>
      <c r="RU108" s="141"/>
      <c r="RV108" s="137"/>
      <c r="RW108" s="137"/>
      <c r="RX108" s="141"/>
      <c r="RY108" s="137"/>
      <c r="RZ108" s="137"/>
      <c r="SA108" s="142"/>
      <c r="SB108" s="143"/>
      <c r="SC108" s="144"/>
      <c r="SD108" s="137"/>
      <c r="SE108" s="104"/>
      <c r="SF108" s="243"/>
      <c r="SG108" s="146"/>
      <c r="SH108" s="96"/>
      <c r="SI108" s="136"/>
      <c r="SJ108" s="137"/>
      <c r="SK108" s="137"/>
      <c r="SL108" s="137"/>
      <c r="SM108" s="137"/>
      <c r="SN108" s="137"/>
      <c r="SO108" s="99"/>
      <c r="SP108" s="137"/>
      <c r="SQ108" s="99"/>
      <c r="SR108" s="138"/>
      <c r="SS108" s="139"/>
      <c r="ST108" s="137"/>
      <c r="SU108" s="140"/>
      <c r="SV108" s="141"/>
      <c r="SW108" s="141"/>
      <c r="SX108" s="137"/>
      <c r="SY108" s="137"/>
      <c r="SZ108" s="141"/>
      <c r="TA108" s="137"/>
      <c r="TB108" s="137"/>
      <c r="TC108" s="142"/>
      <c r="TD108" s="143"/>
      <c r="TE108" s="144"/>
      <c r="TF108" s="137"/>
      <c r="TG108" s="104"/>
      <c r="TH108" s="243"/>
      <c r="TI108" s="146"/>
      <c r="TJ108" s="96"/>
      <c r="TK108" s="136"/>
      <c r="TL108" s="137"/>
      <c r="TM108" s="137"/>
      <c r="TN108" s="137"/>
      <c r="TO108" s="137"/>
      <c r="TP108" s="137"/>
      <c r="TQ108" s="99"/>
      <c r="TR108" s="137"/>
      <c r="TS108" s="99"/>
      <c r="TT108" s="138"/>
      <c r="TU108" s="139"/>
      <c r="TV108" s="137"/>
      <c r="TW108" s="140"/>
      <c r="TX108" s="141"/>
      <c r="TY108" s="141"/>
      <c r="TZ108" s="137"/>
      <c r="UA108" s="137"/>
      <c r="UB108" s="141"/>
      <c r="UC108" s="137"/>
      <c r="UD108" s="137"/>
      <c r="UE108" s="142"/>
      <c r="UF108" s="143"/>
      <c r="UG108" s="144"/>
      <c r="UH108" s="137"/>
      <c r="UI108" s="104"/>
      <c r="UJ108" s="243"/>
      <c r="UK108" s="146"/>
      <c r="UL108" s="96"/>
      <c r="UM108" s="136"/>
      <c r="UN108" s="137"/>
      <c r="UO108" s="137"/>
      <c r="UP108" s="137"/>
      <c r="UQ108" s="137"/>
      <c r="UR108" s="137"/>
      <c r="US108" s="99"/>
      <c r="UT108" s="137"/>
      <c r="UU108" s="99"/>
      <c r="UV108" s="138"/>
      <c r="UW108" s="139"/>
      <c r="UX108" s="137"/>
      <c r="UY108" s="140"/>
      <c r="UZ108" s="141"/>
      <c r="VA108" s="141"/>
      <c r="VB108" s="137"/>
      <c r="VC108" s="137"/>
      <c r="VD108" s="141"/>
      <c r="VE108" s="137"/>
      <c r="VF108" s="137"/>
      <c r="VG108" s="142"/>
      <c r="VH108" s="143"/>
      <c r="VI108" s="144"/>
      <c r="VJ108" s="137"/>
      <c r="VK108" s="104"/>
      <c r="VL108" s="243"/>
      <c r="VM108" s="146"/>
      <c r="VN108" s="96"/>
      <c r="VO108" s="136"/>
      <c r="VP108" s="137"/>
      <c r="VQ108" s="137"/>
      <c r="VR108" s="137"/>
      <c r="VS108" s="137"/>
      <c r="VT108" s="137"/>
      <c r="VU108" s="99"/>
      <c r="VV108" s="137"/>
      <c r="VW108" s="99"/>
      <c r="VX108" s="138"/>
      <c r="VY108" s="139"/>
      <c r="VZ108" s="137"/>
      <c r="WA108" s="140"/>
      <c r="WB108" s="141"/>
      <c r="WC108" s="141"/>
      <c r="WD108" s="137"/>
      <c r="WE108" s="137"/>
      <c r="WF108" s="141"/>
      <c r="WG108" s="137"/>
      <c r="WH108" s="137"/>
      <c r="WI108" s="142"/>
      <c r="WJ108" s="143"/>
      <c r="WK108" s="144"/>
      <c r="WL108" s="137"/>
      <c r="WM108" s="104"/>
      <c r="WN108" s="243"/>
      <c r="WO108" s="146"/>
      <c r="WP108" s="96"/>
      <c r="WQ108" s="136"/>
      <c r="WR108" s="137"/>
      <c r="WS108" s="137"/>
      <c r="WT108" s="137"/>
      <c r="WU108" s="137"/>
      <c r="WV108" s="137"/>
      <c r="WW108" s="99"/>
      <c r="WX108" s="137"/>
      <c r="WY108" s="99"/>
      <c r="WZ108" s="138"/>
      <c r="XA108" s="139"/>
      <c r="XB108" s="137"/>
      <c r="XC108" s="140"/>
      <c r="XD108" s="141"/>
      <c r="XE108" s="141"/>
      <c r="XF108" s="137"/>
      <c r="XG108" s="137"/>
      <c r="XH108" s="141"/>
      <c r="XI108" s="137"/>
      <c r="XJ108" s="137"/>
      <c r="XK108" s="142"/>
      <c r="XL108" s="143"/>
      <c r="XM108" s="144"/>
      <c r="XN108" s="137"/>
      <c r="XO108" s="104"/>
      <c r="XP108" s="243"/>
      <c r="XQ108" s="146"/>
      <c r="XR108" s="96"/>
      <c r="XS108" s="136"/>
      <c r="XT108" s="137"/>
      <c r="XU108" s="137"/>
      <c r="XV108" s="137"/>
      <c r="XW108" s="137"/>
      <c r="XX108" s="137"/>
      <c r="XY108" s="99"/>
      <c r="XZ108" s="137"/>
      <c r="YA108" s="99"/>
      <c r="YB108" s="138"/>
      <c r="YC108" s="139"/>
      <c r="YD108" s="137"/>
      <c r="YE108" s="140"/>
      <c r="YF108" s="141"/>
      <c r="YG108" s="141"/>
      <c r="YH108" s="137"/>
      <c r="YI108" s="137"/>
      <c r="YJ108" s="141"/>
      <c r="YK108" s="137"/>
      <c r="YL108" s="137"/>
      <c r="YM108" s="142"/>
      <c r="YN108" s="143"/>
      <c r="YO108" s="144"/>
      <c r="YP108" s="137"/>
      <c r="YQ108" s="104"/>
      <c r="YR108" s="243"/>
      <c r="YS108" s="146"/>
      <c r="YT108" s="96"/>
      <c r="YU108" s="136"/>
      <c r="YV108" s="137"/>
      <c r="YW108" s="137"/>
      <c r="YX108" s="137"/>
      <c r="YY108" s="137"/>
      <c r="YZ108" s="137"/>
      <c r="ZA108" s="99"/>
      <c r="ZB108" s="137"/>
      <c r="ZC108" s="99"/>
      <c r="ZD108" s="138"/>
      <c r="ZE108" s="139"/>
      <c r="ZF108" s="137"/>
      <c r="ZG108" s="140"/>
      <c r="ZH108" s="141"/>
      <c r="ZI108" s="141"/>
      <c r="ZJ108" s="137"/>
      <c r="ZK108" s="137"/>
      <c r="ZL108" s="141"/>
      <c r="ZM108" s="137"/>
      <c r="ZN108" s="137"/>
      <c r="ZO108" s="142"/>
      <c r="ZP108" s="143"/>
      <c r="ZQ108" s="144"/>
      <c r="ZR108" s="137"/>
      <c r="ZS108" s="104"/>
      <c r="ZT108" s="243"/>
      <c r="ZU108" s="146"/>
      <c r="ZV108" s="96"/>
      <c r="ZW108" s="136"/>
      <c r="ZX108" s="137"/>
      <c r="ZY108" s="137"/>
      <c r="ZZ108" s="137"/>
      <c r="AAA108" s="137"/>
      <c r="AAB108" s="137"/>
      <c r="AAC108" s="99"/>
      <c r="AAD108" s="137"/>
      <c r="AAE108" s="99"/>
      <c r="AAF108" s="138"/>
      <c r="AAG108" s="139"/>
      <c r="AAH108" s="137"/>
      <c r="AAI108" s="140"/>
      <c r="AAJ108" s="141"/>
      <c r="AAK108" s="141"/>
      <c r="AAL108" s="137"/>
      <c r="AAM108" s="137"/>
      <c r="AAN108" s="141"/>
      <c r="AAO108" s="137"/>
      <c r="AAP108" s="137"/>
      <c r="AAQ108" s="142"/>
      <c r="AAR108" s="143"/>
      <c r="AAS108" s="144"/>
      <c r="AAT108" s="137"/>
      <c r="AAU108" s="104"/>
      <c r="AAV108" s="243"/>
      <c r="AAW108" s="146"/>
      <c r="AAX108" s="96"/>
      <c r="AAY108" s="136"/>
      <c r="AAZ108" s="137"/>
      <c r="ABA108" s="137"/>
      <c r="ABB108" s="137"/>
      <c r="ABC108" s="137"/>
      <c r="ABD108" s="137"/>
      <c r="ABE108" s="99"/>
      <c r="ABF108" s="137"/>
      <c r="ABG108" s="99"/>
      <c r="ABH108" s="138"/>
      <c r="ABI108" s="139"/>
      <c r="ABJ108" s="137"/>
      <c r="ABK108" s="140"/>
      <c r="ABL108" s="141"/>
      <c r="ABM108" s="141"/>
      <c r="ABN108" s="137"/>
      <c r="ABO108" s="137"/>
      <c r="ABP108" s="141"/>
      <c r="ABQ108" s="137"/>
      <c r="ABR108" s="137"/>
      <c r="ABS108" s="142"/>
      <c r="ABT108" s="143"/>
      <c r="ABU108" s="144"/>
      <c r="ABV108" s="137"/>
      <c r="ABW108" s="104"/>
      <c r="ABX108" s="243"/>
      <c r="ABY108" s="146"/>
      <c r="ABZ108" s="96"/>
      <c r="ACA108" s="136"/>
      <c r="ACB108" s="137"/>
      <c r="ACC108" s="137"/>
      <c r="ACD108" s="137"/>
      <c r="ACE108" s="137"/>
      <c r="ACF108" s="137"/>
      <c r="ACG108" s="99"/>
      <c r="ACH108" s="137"/>
      <c r="ACI108" s="99"/>
      <c r="ACJ108" s="138"/>
      <c r="ACK108" s="139"/>
      <c r="ACL108" s="137"/>
      <c r="ACM108" s="140"/>
      <c r="ACN108" s="141"/>
      <c r="ACO108" s="141"/>
      <c r="ACP108" s="137"/>
      <c r="ACQ108" s="137"/>
      <c r="ACR108" s="141"/>
      <c r="ACS108" s="137"/>
      <c r="ACT108" s="137"/>
      <c r="ACU108" s="142"/>
      <c r="ACV108" s="143"/>
      <c r="ACW108" s="144"/>
      <c r="ACX108" s="137"/>
      <c r="ACY108" s="104"/>
      <c r="ACZ108" s="243"/>
      <c r="ADA108" s="146"/>
      <c r="ADB108" s="96"/>
      <c r="ADC108" s="136"/>
      <c r="ADD108" s="137"/>
      <c r="ADE108" s="137"/>
      <c r="ADF108" s="137"/>
      <c r="ADG108" s="137"/>
      <c r="ADH108" s="137"/>
      <c r="ADI108" s="99"/>
      <c r="ADJ108" s="137"/>
      <c r="ADK108" s="99"/>
      <c r="ADL108" s="138"/>
      <c r="ADM108" s="139"/>
      <c r="ADN108" s="137"/>
      <c r="ADO108" s="140"/>
      <c r="ADP108" s="141"/>
      <c r="ADQ108" s="141"/>
      <c r="ADR108" s="137"/>
      <c r="ADS108" s="137"/>
      <c r="ADT108" s="141"/>
      <c r="ADU108" s="137"/>
      <c r="ADV108" s="137"/>
      <c r="ADW108" s="142"/>
      <c r="ADX108" s="143"/>
      <c r="ADY108" s="144"/>
      <c r="ADZ108" s="137"/>
      <c r="AEA108" s="104"/>
      <c r="AEB108" s="243"/>
      <c r="AEC108" s="146"/>
      <c r="AED108" s="96"/>
      <c r="AEE108" s="136"/>
      <c r="AEF108" s="137"/>
      <c r="AEG108" s="137"/>
      <c r="AEH108" s="137"/>
      <c r="AEI108" s="137"/>
      <c r="AEJ108" s="137"/>
      <c r="AEK108" s="99"/>
      <c r="AEL108" s="137"/>
      <c r="AEM108" s="99"/>
      <c r="AEN108" s="138"/>
      <c r="AEO108" s="139"/>
      <c r="AEP108" s="137"/>
      <c r="AEQ108" s="140"/>
      <c r="AER108" s="141"/>
      <c r="AES108" s="141"/>
      <c r="AET108" s="137"/>
      <c r="AEU108" s="137"/>
      <c r="AEV108" s="141"/>
      <c r="AEW108" s="137"/>
      <c r="AEX108" s="137"/>
      <c r="AEY108" s="142"/>
      <c r="AEZ108" s="143"/>
      <c r="AFA108" s="144"/>
      <c r="AFB108" s="137"/>
      <c r="AFC108" s="104"/>
      <c r="AFD108" s="243"/>
      <c r="AFE108" s="146"/>
      <c r="AFF108" s="96"/>
      <c r="AFG108" s="136"/>
      <c r="AFH108" s="137"/>
      <c r="AFI108" s="137"/>
      <c r="AFJ108" s="137"/>
      <c r="AFK108" s="137"/>
      <c r="AFL108" s="137"/>
      <c r="AFM108" s="99"/>
      <c r="AFN108" s="137"/>
      <c r="AFO108" s="99"/>
      <c r="AFP108" s="138"/>
      <c r="AFQ108" s="139"/>
      <c r="AFR108" s="137"/>
      <c r="AFS108" s="140"/>
      <c r="AFT108" s="141"/>
      <c r="AFU108" s="141"/>
      <c r="AFV108" s="137"/>
      <c r="AFW108" s="137"/>
      <c r="AFX108" s="141"/>
      <c r="AFY108" s="137"/>
      <c r="AFZ108" s="137"/>
      <c r="AGA108" s="142"/>
      <c r="AGB108" s="143"/>
      <c r="AGC108" s="144"/>
      <c r="AGD108" s="137"/>
      <c r="AGE108" s="104"/>
      <c r="AGF108" s="243"/>
      <c r="AGG108" s="146"/>
      <c r="AGH108" s="96"/>
      <c r="AGI108" s="136"/>
      <c r="AGJ108" s="137"/>
      <c r="AGK108" s="137"/>
      <c r="AGL108" s="137"/>
      <c r="AGM108" s="137"/>
      <c r="AGN108" s="137"/>
      <c r="AGO108" s="99"/>
      <c r="AGP108" s="137"/>
      <c r="AGQ108" s="99"/>
      <c r="AGR108" s="138"/>
      <c r="AGS108" s="139"/>
      <c r="AGT108" s="137"/>
      <c r="AGU108" s="140"/>
      <c r="AGV108" s="141"/>
      <c r="AGW108" s="141"/>
      <c r="AGX108" s="137"/>
      <c r="AGY108" s="137"/>
      <c r="AGZ108" s="141"/>
      <c r="AHA108" s="137"/>
      <c r="AHB108" s="137"/>
      <c r="AHC108" s="142"/>
      <c r="AHD108" s="143"/>
      <c r="AHE108" s="144"/>
      <c r="AHF108" s="137"/>
      <c r="AHG108" s="104"/>
      <c r="AHH108" s="243"/>
      <c r="AHI108" s="146"/>
      <c r="AHJ108" s="96"/>
      <c r="AHK108" s="136"/>
      <c r="AHL108" s="137"/>
      <c r="AHM108" s="137"/>
      <c r="AHN108" s="137"/>
      <c r="AHO108" s="137"/>
      <c r="AHP108" s="137"/>
      <c r="AHQ108" s="99"/>
      <c r="AHR108" s="137"/>
      <c r="AHS108" s="99"/>
      <c r="AHT108" s="138"/>
      <c r="AHU108" s="139"/>
      <c r="AHV108" s="137"/>
      <c r="AHW108" s="140"/>
      <c r="AHX108" s="141"/>
      <c r="AHY108" s="141"/>
      <c r="AHZ108" s="137"/>
      <c r="AIA108" s="137"/>
      <c r="AIB108" s="141"/>
      <c r="AIC108" s="137"/>
      <c r="AID108" s="137"/>
      <c r="AIE108" s="142"/>
      <c r="AIF108" s="143"/>
      <c r="AIG108" s="144"/>
      <c r="AIH108" s="137"/>
      <c r="AII108" s="104"/>
      <c r="AIJ108" s="243"/>
      <c r="AIK108" s="146"/>
      <c r="AIL108" s="96"/>
      <c r="AIM108" s="136"/>
      <c r="AIN108" s="137"/>
      <c r="AIO108" s="137"/>
      <c r="AIP108" s="137"/>
      <c r="AIQ108" s="137"/>
      <c r="AIR108" s="137"/>
      <c r="AIS108" s="99"/>
      <c r="AIT108" s="137"/>
      <c r="AIU108" s="99"/>
      <c r="AIV108" s="138"/>
      <c r="AIW108" s="139"/>
      <c r="AIX108" s="137"/>
      <c r="AIY108" s="140"/>
      <c r="AIZ108" s="141"/>
      <c r="AJA108" s="141"/>
      <c r="AJB108" s="137"/>
      <c r="AJC108" s="137"/>
      <c r="AJD108" s="141"/>
      <c r="AJE108" s="137"/>
      <c r="AJF108" s="137"/>
      <c r="AJG108" s="142"/>
      <c r="AJH108" s="143"/>
      <c r="AJI108" s="144"/>
      <c r="AJJ108" s="137"/>
      <c r="AJK108" s="104"/>
      <c r="AJL108" s="243"/>
      <c r="AJM108" s="146"/>
      <c r="AJN108" s="96"/>
      <c r="AJO108" s="136"/>
      <c r="AJP108" s="137"/>
      <c r="AJQ108" s="137"/>
      <c r="AJR108" s="137"/>
      <c r="AJS108" s="137"/>
      <c r="AJT108" s="137"/>
      <c r="AJU108" s="99"/>
      <c r="AJV108" s="137"/>
      <c r="AJW108" s="99"/>
      <c r="AJX108" s="138"/>
      <c r="AJY108" s="139"/>
      <c r="AJZ108" s="137"/>
      <c r="AKA108" s="140"/>
      <c r="AKB108" s="141"/>
      <c r="AKC108" s="141"/>
      <c r="AKD108" s="137"/>
      <c r="AKE108" s="137"/>
      <c r="AKF108" s="141"/>
      <c r="AKG108" s="137"/>
      <c r="AKH108" s="137"/>
      <c r="AKI108" s="142"/>
      <c r="AKJ108" s="143"/>
      <c r="AKK108" s="144"/>
      <c r="AKL108" s="137"/>
      <c r="AKM108" s="104"/>
      <c r="AKN108" s="243"/>
      <c r="AKO108" s="146"/>
      <c r="AKP108" s="96"/>
      <c r="AKQ108" s="136"/>
      <c r="AKR108" s="137"/>
      <c r="AKS108" s="137"/>
      <c r="AKT108" s="137"/>
      <c r="AKU108" s="137"/>
      <c r="AKV108" s="137"/>
      <c r="AKW108" s="99"/>
      <c r="AKX108" s="137"/>
      <c r="AKY108" s="99"/>
      <c r="AKZ108" s="138"/>
      <c r="ALA108" s="139"/>
      <c r="ALB108" s="137"/>
      <c r="ALC108" s="140"/>
      <c r="ALD108" s="141"/>
      <c r="ALE108" s="141"/>
      <c r="ALF108" s="137"/>
      <c r="ALG108" s="137"/>
      <c r="ALH108" s="141"/>
      <c r="ALI108" s="137"/>
      <c r="ALJ108" s="137"/>
      <c r="ALK108" s="142"/>
      <c r="ALL108" s="143"/>
      <c r="ALM108" s="144"/>
      <c r="ALN108" s="137"/>
      <c r="ALO108" s="104"/>
      <c r="ALP108" s="243"/>
      <c r="ALQ108" s="146"/>
      <c r="ALR108" s="96"/>
      <c r="ALS108" s="136"/>
      <c r="ALT108" s="137"/>
      <c r="ALU108" s="137"/>
      <c r="ALV108" s="137"/>
      <c r="ALW108" s="137"/>
      <c r="ALX108" s="137"/>
      <c r="ALY108" s="99"/>
      <c r="ALZ108" s="137"/>
      <c r="AMA108" s="99"/>
      <c r="AMB108" s="138"/>
      <c r="AMC108" s="139"/>
      <c r="AMD108" s="137"/>
      <c r="AME108" s="140"/>
      <c r="AMF108" s="141"/>
      <c r="AMG108" s="141"/>
      <c r="AMH108" s="137"/>
      <c r="AMI108" s="137"/>
      <c r="AMJ108" s="141"/>
      <c r="AMK108" s="137"/>
      <c r="AML108" s="137"/>
      <c r="AMM108" s="142"/>
      <c r="AMN108" s="143"/>
      <c r="AMO108" s="144"/>
      <c r="AMP108" s="137"/>
      <c r="AMQ108" s="104"/>
      <c r="AMR108" s="243"/>
      <c r="AMS108" s="146"/>
      <c r="AMT108" s="96"/>
      <c r="AMU108" s="136"/>
      <c r="AMV108" s="137"/>
      <c r="AMW108" s="137"/>
      <c r="AMX108" s="137"/>
      <c r="AMY108" s="137"/>
      <c r="AMZ108" s="137"/>
      <c r="ANA108" s="99"/>
      <c r="ANB108" s="137"/>
      <c r="ANC108" s="99"/>
      <c r="AND108" s="138"/>
      <c r="ANE108" s="139"/>
      <c r="ANF108" s="137"/>
      <c r="ANG108" s="140"/>
      <c r="ANH108" s="141"/>
      <c r="ANI108" s="141"/>
      <c r="ANJ108" s="137"/>
      <c r="ANK108" s="137"/>
      <c r="ANL108" s="141"/>
      <c r="ANM108" s="137"/>
      <c r="ANN108" s="137"/>
      <c r="ANO108" s="142"/>
      <c r="ANP108" s="143"/>
      <c r="ANQ108" s="144"/>
      <c r="ANR108" s="137"/>
      <c r="ANS108" s="104"/>
      <c r="ANT108" s="243"/>
      <c r="ANU108" s="146"/>
      <c r="ANV108" s="96"/>
      <c r="ANW108" s="136"/>
      <c r="ANX108" s="137"/>
      <c r="ANY108" s="137"/>
      <c r="ANZ108" s="137"/>
      <c r="AOA108" s="137"/>
      <c r="AOB108" s="137"/>
      <c r="AOC108" s="99"/>
      <c r="AOD108" s="137"/>
      <c r="AOE108" s="99"/>
      <c r="AOF108" s="138"/>
      <c r="AOG108" s="139"/>
      <c r="AOH108" s="137"/>
      <c r="AOI108" s="140"/>
      <c r="AOJ108" s="141"/>
      <c r="AOK108" s="141"/>
      <c r="AOL108" s="137"/>
      <c r="AOM108" s="137"/>
      <c r="AON108" s="141"/>
      <c r="AOO108" s="137"/>
      <c r="AOP108" s="137"/>
      <c r="AOQ108" s="142"/>
      <c r="AOR108" s="143"/>
      <c r="AOS108" s="144"/>
      <c r="AOT108" s="137"/>
      <c r="AOU108" s="104"/>
      <c r="AOV108" s="243"/>
      <c r="AOW108" s="146"/>
      <c r="AOX108" s="96"/>
      <c r="AOY108" s="136"/>
      <c r="AOZ108" s="137"/>
      <c r="APA108" s="137"/>
      <c r="APB108" s="137"/>
      <c r="APC108" s="137"/>
      <c r="APD108" s="137"/>
      <c r="APE108" s="99"/>
      <c r="APF108" s="137"/>
      <c r="APG108" s="99"/>
      <c r="APH108" s="138"/>
      <c r="API108" s="139"/>
      <c r="APJ108" s="137"/>
      <c r="APK108" s="140"/>
      <c r="APL108" s="141"/>
      <c r="APM108" s="141"/>
      <c r="APN108" s="137"/>
      <c r="APO108" s="137"/>
      <c r="APP108" s="141"/>
      <c r="APQ108" s="137"/>
      <c r="APR108" s="137"/>
      <c r="APS108" s="142"/>
      <c r="APT108" s="143"/>
      <c r="APU108" s="144"/>
      <c r="APV108" s="137"/>
      <c r="APW108" s="104"/>
      <c r="APX108" s="243"/>
      <c r="APY108" s="146"/>
      <c r="APZ108" s="96"/>
      <c r="AQA108" s="136"/>
      <c r="AQB108" s="137"/>
      <c r="AQC108" s="137"/>
      <c r="AQD108" s="137"/>
      <c r="AQE108" s="137"/>
      <c r="AQF108" s="137"/>
      <c r="AQG108" s="99"/>
      <c r="AQH108" s="137"/>
      <c r="AQI108" s="99"/>
      <c r="AQJ108" s="138"/>
      <c r="AQK108" s="139"/>
      <c r="AQL108" s="137"/>
      <c r="AQM108" s="140"/>
      <c r="AQN108" s="141"/>
      <c r="AQO108" s="141"/>
      <c r="AQP108" s="137"/>
      <c r="AQQ108" s="137"/>
      <c r="AQR108" s="141"/>
      <c r="AQS108" s="137"/>
      <c r="AQT108" s="137"/>
      <c r="AQU108" s="142"/>
      <c r="AQV108" s="143"/>
      <c r="AQW108" s="144"/>
      <c r="AQX108" s="137"/>
      <c r="AQY108" s="104"/>
      <c r="AQZ108" s="243"/>
      <c r="ARA108" s="146"/>
      <c r="ARB108" s="96"/>
      <c r="ARC108" s="136"/>
      <c r="ARD108" s="137"/>
      <c r="ARE108" s="137"/>
      <c r="ARF108" s="137"/>
      <c r="ARG108" s="137"/>
      <c r="ARH108" s="137"/>
      <c r="ARI108" s="99"/>
      <c r="ARJ108" s="137"/>
      <c r="ARK108" s="99"/>
      <c r="ARL108" s="138"/>
      <c r="ARM108" s="139"/>
      <c r="ARN108" s="137"/>
      <c r="ARO108" s="140"/>
      <c r="ARP108" s="141"/>
      <c r="ARQ108" s="141"/>
      <c r="ARR108" s="137"/>
      <c r="ARS108" s="137"/>
      <c r="ART108" s="141"/>
      <c r="ARU108" s="137"/>
      <c r="ARV108" s="137"/>
      <c r="ARW108" s="142"/>
      <c r="ARX108" s="143"/>
      <c r="ARY108" s="144"/>
      <c r="ARZ108" s="137"/>
      <c r="ASA108" s="104"/>
      <c r="ASB108" s="243"/>
      <c r="ASC108" s="146"/>
      <c r="ASD108" s="96"/>
      <c r="ASE108" s="136"/>
      <c r="ASF108" s="137"/>
      <c r="ASG108" s="137"/>
      <c r="ASH108" s="137"/>
      <c r="ASI108" s="137"/>
      <c r="ASJ108" s="137"/>
      <c r="ASK108" s="99"/>
      <c r="ASL108" s="137"/>
      <c r="ASM108" s="99"/>
      <c r="ASN108" s="138"/>
      <c r="ASO108" s="139"/>
      <c r="ASP108" s="137"/>
      <c r="ASQ108" s="140"/>
      <c r="ASR108" s="141"/>
      <c r="ASS108" s="141"/>
      <c r="AST108" s="137"/>
      <c r="ASU108" s="137"/>
      <c r="ASV108" s="141"/>
      <c r="ASW108" s="137"/>
      <c r="ASX108" s="137"/>
      <c r="ASY108" s="142"/>
      <c r="ASZ108" s="143"/>
      <c r="ATA108" s="144"/>
      <c r="ATB108" s="137"/>
      <c r="ATC108" s="104"/>
      <c r="ATD108" s="243"/>
      <c r="ATE108" s="146"/>
      <c r="ATF108" s="96"/>
      <c r="ATG108" s="136"/>
      <c r="ATH108" s="137"/>
      <c r="ATI108" s="137"/>
      <c r="ATJ108" s="137"/>
      <c r="ATK108" s="137"/>
      <c r="ATL108" s="137"/>
      <c r="ATM108" s="99"/>
      <c r="ATN108" s="137"/>
      <c r="ATO108" s="99"/>
      <c r="ATP108" s="138"/>
      <c r="ATQ108" s="139"/>
      <c r="ATR108" s="137"/>
      <c r="ATS108" s="140"/>
      <c r="ATT108" s="141"/>
      <c r="ATU108" s="141"/>
      <c r="ATV108" s="137"/>
      <c r="ATW108" s="137"/>
      <c r="ATX108" s="141"/>
      <c r="ATY108" s="137"/>
      <c r="ATZ108" s="137"/>
      <c r="AUA108" s="142"/>
      <c r="AUB108" s="143"/>
      <c r="AUC108" s="144"/>
      <c r="AUD108" s="137"/>
      <c r="AUE108" s="104"/>
      <c r="AUF108" s="243"/>
      <c r="AUG108" s="146"/>
      <c r="AUH108" s="96"/>
      <c r="AUI108" s="136"/>
      <c r="AUJ108" s="137"/>
      <c r="AUK108" s="137"/>
      <c r="AUL108" s="137"/>
      <c r="AUM108" s="137"/>
      <c r="AUN108" s="137"/>
      <c r="AUO108" s="99"/>
      <c r="AUP108" s="137"/>
      <c r="AUQ108" s="99"/>
      <c r="AUR108" s="138"/>
      <c r="AUS108" s="139"/>
      <c r="AUT108" s="137"/>
      <c r="AUU108" s="140"/>
      <c r="AUV108" s="141"/>
      <c r="AUW108" s="141"/>
      <c r="AUX108" s="137"/>
      <c r="AUY108" s="137"/>
      <c r="AUZ108" s="141"/>
      <c r="AVA108" s="137"/>
      <c r="AVB108" s="137"/>
      <c r="AVC108" s="142"/>
      <c r="AVD108" s="143"/>
      <c r="AVE108" s="144"/>
      <c r="AVF108" s="137"/>
      <c r="AVG108" s="104"/>
      <c r="AVH108" s="243"/>
      <c r="AVI108" s="146"/>
      <c r="AVJ108" s="96"/>
      <c r="AVK108" s="136"/>
      <c r="AVL108" s="137"/>
      <c r="AVM108" s="137"/>
      <c r="AVN108" s="137"/>
      <c r="AVO108" s="137"/>
      <c r="AVP108" s="137"/>
      <c r="AVQ108" s="99"/>
      <c r="AVR108" s="137"/>
      <c r="AVS108" s="99"/>
      <c r="AVT108" s="138"/>
      <c r="AVU108" s="139"/>
      <c r="AVV108" s="137"/>
      <c r="AVW108" s="140"/>
      <c r="AVX108" s="141"/>
      <c r="AVY108" s="141"/>
      <c r="AVZ108" s="137"/>
      <c r="AWA108" s="137"/>
      <c r="AWB108" s="141"/>
      <c r="AWC108" s="137"/>
      <c r="AWD108" s="137"/>
      <c r="AWE108" s="142"/>
      <c r="AWF108" s="143"/>
      <c r="AWG108" s="144"/>
      <c r="AWH108" s="137"/>
      <c r="AWI108" s="104"/>
      <c r="AWJ108" s="243"/>
      <c r="AWK108" s="146"/>
      <c r="AWL108" s="96"/>
      <c r="AWM108" s="136"/>
      <c r="AWN108" s="137"/>
      <c r="AWO108" s="137"/>
      <c r="AWP108" s="137"/>
      <c r="AWQ108" s="137"/>
      <c r="AWR108" s="137"/>
      <c r="AWS108" s="99"/>
      <c r="AWT108" s="137"/>
      <c r="AWU108" s="99"/>
      <c r="AWV108" s="138"/>
      <c r="AWW108" s="139"/>
      <c r="AWX108" s="137"/>
      <c r="AWY108" s="140"/>
      <c r="AWZ108" s="141"/>
      <c r="AXA108" s="141"/>
      <c r="AXB108" s="137"/>
      <c r="AXC108" s="137"/>
      <c r="AXD108" s="141"/>
      <c r="AXE108" s="137"/>
      <c r="AXF108" s="137"/>
      <c r="AXG108" s="142"/>
      <c r="AXH108" s="143"/>
      <c r="AXI108" s="144"/>
      <c r="AXJ108" s="137"/>
      <c r="AXK108" s="104"/>
      <c r="AXL108" s="243"/>
      <c r="AXM108" s="146"/>
      <c r="AXN108" s="96"/>
      <c r="AXO108" s="136"/>
      <c r="AXP108" s="137"/>
      <c r="AXQ108" s="137"/>
      <c r="AXR108" s="137"/>
      <c r="AXS108" s="137"/>
      <c r="AXT108" s="137"/>
      <c r="AXU108" s="99"/>
      <c r="AXV108" s="137"/>
      <c r="AXW108" s="99"/>
      <c r="AXX108" s="138"/>
      <c r="AXY108" s="139"/>
      <c r="AXZ108" s="137"/>
      <c r="AYA108" s="140"/>
      <c r="AYB108" s="141"/>
      <c r="AYC108" s="141"/>
      <c r="AYD108" s="137"/>
      <c r="AYE108" s="137"/>
      <c r="AYF108" s="141"/>
      <c r="AYG108" s="137"/>
      <c r="AYH108" s="137"/>
      <c r="AYI108" s="142"/>
      <c r="AYJ108" s="143"/>
      <c r="AYK108" s="144"/>
      <c r="AYL108" s="137"/>
      <c r="AYM108" s="104"/>
      <c r="AYN108" s="243"/>
      <c r="AYO108" s="146"/>
      <c r="AYP108" s="96"/>
      <c r="AYQ108" s="136"/>
      <c r="AYR108" s="137"/>
      <c r="AYS108" s="137"/>
      <c r="AYT108" s="137"/>
      <c r="AYU108" s="137"/>
      <c r="AYV108" s="137"/>
      <c r="AYW108" s="99"/>
      <c r="AYX108" s="137"/>
      <c r="AYY108" s="99"/>
      <c r="AYZ108" s="138"/>
      <c r="AZA108" s="139"/>
      <c r="AZB108" s="137"/>
      <c r="AZC108" s="140"/>
      <c r="AZD108" s="141"/>
      <c r="AZE108" s="141"/>
      <c r="AZF108" s="137"/>
      <c r="AZG108" s="137"/>
      <c r="AZH108" s="141"/>
      <c r="AZI108" s="137"/>
      <c r="AZJ108" s="137"/>
      <c r="AZK108" s="142"/>
      <c r="AZL108" s="143"/>
      <c r="AZM108" s="144"/>
      <c r="AZN108" s="137"/>
      <c r="AZO108" s="104"/>
      <c r="AZP108" s="243"/>
      <c r="AZQ108" s="146"/>
      <c r="AZR108" s="96"/>
      <c r="AZS108" s="136"/>
      <c r="AZT108" s="137"/>
      <c r="AZU108" s="137"/>
      <c r="AZV108" s="137"/>
      <c r="AZW108" s="137"/>
      <c r="AZX108" s="137"/>
      <c r="AZY108" s="99"/>
      <c r="AZZ108" s="137"/>
      <c r="BAA108" s="99"/>
      <c r="BAB108" s="138"/>
      <c r="BAC108" s="139"/>
      <c r="BAD108" s="137"/>
      <c r="BAE108" s="140"/>
      <c r="BAF108" s="141"/>
      <c r="BAG108" s="141"/>
      <c r="BAH108" s="137"/>
      <c r="BAI108" s="137"/>
      <c r="BAJ108" s="141"/>
      <c r="BAK108" s="137"/>
      <c r="BAL108" s="137"/>
      <c r="BAM108" s="142"/>
      <c r="BAN108" s="143"/>
      <c r="BAO108" s="144"/>
      <c r="BAP108" s="137"/>
      <c r="BAQ108" s="104"/>
      <c r="BAR108" s="243"/>
      <c r="BAS108" s="146"/>
      <c r="BAT108" s="96"/>
      <c r="BAU108" s="136"/>
      <c r="BAV108" s="137"/>
      <c r="BAW108" s="137"/>
      <c r="BAX108" s="137"/>
      <c r="BAY108" s="137"/>
      <c r="BAZ108" s="137"/>
      <c r="BBA108" s="99"/>
      <c r="BBB108" s="137"/>
      <c r="BBC108" s="99"/>
      <c r="BBD108" s="138"/>
      <c r="BBE108" s="139"/>
      <c r="BBF108" s="137"/>
      <c r="BBG108" s="140"/>
      <c r="BBH108" s="141"/>
      <c r="BBI108" s="141"/>
      <c r="BBJ108" s="137"/>
      <c r="BBK108" s="137"/>
      <c r="BBL108" s="141"/>
      <c r="BBM108" s="137"/>
      <c r="BBN108" s="137"/>
      <c r="BBO108" s="142"/>
      <c r="BBP108" s="143"/>
      <c r="BBQ108" s="144"/>
      <c r="BBR108" s="137"/>
      <c r="BBS108" s="104"/>
      <c r="BBT108" s="243"/>
      <c r="BBU108" s="146"/>
      <c r="BBV108" s="96"/>
      <c r="BBW108" s="136"/>
      <c r="BBX108" s="137"/>
      <c r="BBY108" s="137"/>
      <c r="BBZ108" s="137"/>
      <c r="BCA108" s="137"/>
      <c r="BCB108" s="137"/>
      <c r="BCC108" s="99"/>
      <c r="BCD108" s="137"/>
      <c r="BCE108" s="99"/>
      <c r="BCF108" s="138"/>
      <c r="BCG108" s="139"/>
      <c r="BCH108" s="137"/>
      <c r="BCI108" s="140"/>
      <c r="BCJ108" s="141"/>
      <c r="BCK108" s="141"/>
      <c r="BCL108" s="137"/>
      <c r="BCM108" s="137"/>
      <c r="BCN108" s="141"/>
      <c r="BCO108" s="137"/>
      <c r="BCP108" s="137"/>
      <c r="BCQ108" s="142"/>
      <c r="BCR108" s="143"/>
      <c r="BCS108" s="144"/>
      <c r="BCT108" s="137"/>
      <c r="BCU108" s="104"/>
      <c r="BCV108" s="243"/>
      <c r="BCW108" s="146"/>
      <c r="BCX108" s="96"/>
      <c r="BCY108" s="136"/>
      <c r="BCZ108" s="137"/>
      <c r="BDA108" s="137"/>
      <c r="BDB108" s="137"/>
      <c r="BDC108" s="137"/>
      <c r="BDD108" s="137"/>
      <c r="BDE108" s="99"/>
      <c r="BDF108" s="137"/>
      <c r="BDG108" s="99"/>
      <c r="BDH108" s="138"/>
      <c r="BDI108" s="139"/>
      <c r="BDJ108" s="137"/>
      <c r="BDK108" s="140"/>
      <c r="BDL108" s="141"/>
      <c r="BDM108" s="141"/>
      <c r="BDN108" s="137"/>
      <c r="BDO108" s="137"/>
      <c r="BDP108" s="141"/>
      <c r="BDQ108" s="137"/>
      <c r="BDR108" s="137"/>
      <c r="BDS108" s="142"/>
      <c r="BDT108" s="143"/>
      <c r="BDU108" s="144"/>
      <c r="BDV108" s="137"/>
      <c r="BDW108" s="104"/>
      <c r="BDX108" s="243"/>
      <c r="BDY108" s="146"/>
      <c r="BDZ108" s="96"/>
      <c r="BEA108" s="136"/>
      <c r="BEB108" s="137"/>
      <c r="BEC108" s="137"/>
      <c r="BED108" s="137"/>
      <c r="BEE108" s="137"/>
      <c r="BEF108" s="137"/>
      <c r="BEG108" s="99"/>
      <c r="BEH108" s="137"/>
      <c r="BEI108" s="99"/>
      <c r="BEJ108" s="138"/>
      <c r="BEK108" s="139"/>
      <c r="BEL108" s="137"/>
      <c r="BEM108" s="140"/>
      <c r="BEN108" s="141"/>
      <c r="BEO108" s="141"/>
      <c r="BEP108" s="137"/>
      <c r="BEQ108" s="137"/>
      <c r="BER108" s="141"/>
      <c r="BES108" s="137"/>
      <c r="BET108" s="137"/>
      <c r="BEU108" s="142"/>
      <c r="BEV108" s="143"/>
      <c r="BEW108" s="144"/>
      <c r="BEX108" s="137"/>
      <c r="BEY108" s="104"/>
      <c r="BEZ108" s="243"/>
      <c r="BFA108" s="146"/>
      <c r="BFB108" s="96"/>
      <c r="BFC108" s="136"/>
      <c r="BFD108" s="137"/>
      <c r="BFE108" s="137"/>
      <c r="BFF108" s="137"/>
      <c r="BFG108" s="137"/>
      <c r="BFH108" s="137"/>
      <c r="BFI108" s="99"/>
      <c r="BFJ108" s="137"/>
      <c r="BFK108" s="99"/>
      <c r="BFL108" s="138"/>
      <c r="BFM108" s="139"/>
      <c r="BFN108" s="137"/>
      <c r="BFO108" s="140"/>
      <c r="BFP108" s="141"/>
      <c r="BFQ108" s="141"/>
      <c r="BFR108" s="137"/>
      <c r="BFS108" s="137"/>
      <c r="BFT108" s="141"/>
      <c r="BFU108" s="137"/>
      <c r="BFV108" s="137"/>
      <c r="BFW108" s="142"/>
      <c r="BFX108" s="143"/>
      <c r="BFY108" s="144"/>
      <c r="BFZ108" s="137"/>
      <c r="BGA108" s="104"/>
      <c r="BGB108" s="243"/>
      <c r="BGC108" s="146"/>
      <c r="BGD108" s="96"/>
      <c r="BGE108" s="136"/>
      <c r="BGF108" s="137"/>
      <c r="BGG108" s="137"/>
      <c r="BGH108" s="137"/>
      <c r="BGI108" s="137"/>
      <c r="BGJ108" s="137"/>
      <c r="BGK108" s="99"/>
      <c r="BGL108" s="137"/>
      <c r="BGM108" s="99"/>
      <c r="BGN108" s="138"/>
      <c r="BGO108" s="139"/>
      <c r="BGP108" s="137"/>
      <c r="BGQ108" s="140"/>
      <c r="BGR108" s="141"/>
      <c r="BGS108" s="141"/>
      <c r="BGT108" s="137"/>
      <c r="BGU108" s="137"/>
      <c r="BGV108" s="141"/>
      <c r="BGW108" s="137"/>
      <c r="BGX108" s="137"/>
      <c r="BGY108" s="142"/>
      <c r="BGZ108" s="143"/>
      <c r="BHA108" s="144"/>
      <c r="BHB108" s="137"/>
      <c r="BHC108" s="104"/>
      <c r="BHD108" s="243"/>
      <c r="BHE108" s="146"/>
      <c r="BHF108" s="96"/>
      <c r="BHG108" s="136"/>
      <c r="BHH108" s="137"/>
      <c r="BHI108" s="137"/>
      <c r="BHJ108" s="137"/>
      <c r="BHK108" s="137"/>
      <c r="BHL108" s="137"/>
      <c r="BHM108" s="99"/>
      <c r="BHN108" s="137"/>
      <c r="BHO108" s="99"/>
      <c r="BHP108" s="138"/>
      <c r="BHQ108" s="139"/>
      <c r="BHR108" s="137"/>
      <c r="BHS108" s="140"/>
      <c r="BHT108" s="141"/>
      <c r="BHU108" s="141"/>
      <c r="BHV108" s="137"/>
      <c r="BHW108" s="137"/>
      <c r="BHX108" s="141"/>
      <c r="BHY108" s="137"/>
      <c r="BHZ108" s="137"/>
      <c r="BIA108" s="142"/>
      <c r="BIB108" s="143"/>
      <c r="BIC108" s="144"/>
      <c r="BID108" s="137"/>
      <c r="BIE108" s="104"/>
      <c r="BIF108" s="243"/>
      <c r="BIG108" s="146"/>
      <c r="BIH108" s="96"/>
      <c r="BII108" s="136"/>
      <c r="BIJ108" s="137"/>
      <c r="BIK108" s="137"/>
      <c r="BIL108" s="137"/>
      <c r="BIM108" s="137"/>
      <c r="BIN108" s="137"/>
      <c r="BIO108" s="99"/>
      <c r="BIP108" s="137"/>
      <c r="BIQ108" s="99"/>
      <c r="BIR108" s="138"/>
      <c r="BIS108" s="139"/>
      <c r="BIT108" s="137"/>
      <c r="BIU108" s="140"/>
      <c r="BIV108" s="141"/>
      <c r="BIW108" s="141"/>
      <c r="BIX108" s="137"/>
      <c r="BIY108" s="137"/>
      <c r="BIZ108" s="141"/>
      <c r="BJA108" s="137"/>
      <c r="BJB108" s="137"/>
      <c r="BJC108" s="142"/>
      <c r="BJD108" s="143"/>
      <c r="BJE108" s="144"/>
      <c r="BJF108" s="137"/>
      <c r="BJG108" s="104"/>
      <c r="BJH108" s="243"/>
      <c r="BJI108" s="146"/>
      <c r="BJJ108" s="96"/>
      <c r="BJK108" s="136"/>
      <c r="BJL108" s="137"/>
      <c r="BJM108" s="137"/>
      <c r="BJN108" s="137"/>
      <c r="BJO108" s="137"/>
      <c r="BJP108" s="137"/>
      <c r="BJQ108" s="99"/>
      <c r="BJR108" s="137"/>
      <c r="BJS108" s="99"/>
      <c r="BJT108" s="138"/>
      <c r="BJU108" s="139"/>
      <c r="BJV108" s="137"/>
      <c r="BJW108" s="140"/>
      <c r="BJX108" s="141"/>
      <c r="BJY108" s="141"/>
      <c r="BJZ108" s="137"/>
      <c r="BKA108" s="137"/>
      <c r="BKB108" s="141"/>
      <c r="BKC108" s="137"/>
      <c r="BKD108" s="137"/>
      <c r="BKE108" s="142"/>
      <c r="BKF108" s="143"/>
      <c r="BKG108" s="144"/>
      <c r="BKH108" s="137"/>
      <c r="BKI108" s="104"/>
      <c r="BKJ108" s="243"/>
      <c r="BKK108" s="146"/>
      <c r="BKL108" s="96"/>
      <c r="BKM108" s="136"/>
      <c r="BKN108" s="137"/>
      <c r="BKO108" s="137"/>
      <c r="BKP108" s="137"/>
      <c r="BKQ108" s="137"/>
      <c r="BKR108" s="137"/>
      <c r="BKS108" s="99"/>
      <c r="BKT108" s="137"/>
      <c r="BKU108" s="99"/>
      <c r="BKV108" s="138"/>
      <c r="BKW108" s="139"/>
      <c r="BKX108" s="137"/>
      <c r="BKY108" s="140"/>
      <c r="BKZ108" s="141"/>
      <c r="BLA108" s="141"/>
      <c r="BLB108" s="137"/>
      <c r="BLC108" s="137"/>
      <c r="BLD108" s="141"/>
      <c r="BLE108" s="137"/>
      <c r="BLF108" s="137"/>
      <c r="BLG108" s="142"/>
      <c r="BLH108" s="143"/>
      <c r="BLI108" s="144"/>
      <c r="BLJ108" s="137"/>
      <c r="BLK108" s="104"/>
      <c r="BLL108" s="243"/>
      <c r="BLM108" s="146"/>
      <c r="BLN108" s="96"/>
      <c r="BLO108" s="136"/>
      <c r="BLP108" s="137"/>
      <c r="BLQ108" s="137"/>
      <c r="BLR108" s="137"/>
      <c r="BLS108" s="137"/>
      <c r="BLT108" s="137"/>
      <c r="BLU108" s="99"/>
      <c r="BLV108" s="137"/>
      <c r="BLW108" s="99"/>
      <c r="BLX108" s="138"/>
      <c r="BLY108" s="139"/>
      <c r="BLZ108" s="137"/>
      <c r="BMA108" s="140"/>
      <c r="BMB108" s="141"/>
      <c r="BMC108" s="141"/>
      <c r="BMD108" s="137"/>
      <c r="BME108" s="137"/>
      <c r="BMF108" s="141"/>
      <c r="BMG108" s="137"/>
      <c r="BMH108" s="137"/>
      <c r="BMI108" s="142"/>
      <c r="BMJ108" s="143"/>
      <c r="BMK108" s="144"/>
      <c r="BML108" s="137"/>
      <c r="BMM108" s="104"/>
      <c r="BMN108" s="243"/>
      <c r="BMO108" s="146"/>
      <c r="BMP108" s="96"/>
      <c r="BMQ108" s="136"/>
      <c r="BMR108" s="137"/>
      <c r="BMS108" s="137"/>
      <c r="BMT108" s="137"/>
      <c r="BMU108" s="137"/>
      <c r="BMV108" s="137"/>
      <c r="BMW108" s="99"/>
      <c r="BMX108" s="137"/>
      <c r="BMY108" s="99"/>
      <c r="BMZ108" s="138"/>
      <c r="BNA108" s="139"/>
      <c r="BNB108" s="137"/>
      <c r="BNC108" s="140"/>
      <c r="BND108" s="141"/>
      <c r="BNE108" s="141"/>
      <c r="BNF108" s="137"/>
      <c r="BNG108" s="137"/>
      <c r="BNH108" s="141"/>
      <c r="BNI108" s="137"/>
      <c r="BNJ108" s="137"/>
      <c r="BNK108" s="142"/>
      <c r="BNL108" s="143"/>
      <c r="BNM108" s="144"/>
      <c r="BNN108" s="137"/>
      <c r="BNO108" s="104"/>
      <c r="BNP108" s="243"/>
      <c r="BNQ108" s="146"/>
      <c r="BNR108" s="96"/>
      <c r="BNS108" s="136"/>
      <c r="BNT108" s="137"/>
      <c r="BNU108" s="137"/>
      <c r="BNV108" s="137"/>
      <c r="BNW108" s="137"/>
      <c r="BNX108" s="137"/>
      <c r="BNY108" s="99"/>
      <c r="BNZ108" s="137"/>
      <c r="BOA108" s="99"/>
      <c r="BOB108" s="138"/>
      <c r="BOC108" s="139"/>
      <c r="BOD108" s="137"/>
      <c r="BOE108" s="140"/>
      <c r="BOF108" s="141"/>
      <c r="BOG108" s="141"/>
      <c r="BOH108" s="137"/>
      <c r="BOI108" s="137"/>
      <c r="BOJ108" s="141"/>
      <c r="BOK108" s="137"/>
      <c r="BOL108" s="137"/>
      <c r="BOM108" s="142"/>
      <c r="BON108" s="143"/>
      <c r="BOO108" s="144"/>
      <c r="BOP108" s="137"/>
      <c r="BOQ108" s="104"/>
      <c r="BOR108" s="243"/>
      <c r="BOS108" s="146"/>
      <c r="BOT108" s="96"/>
      <c r="BOU108" s="136"/>
      <c r="BOV108" s="137"/>
      <c r="BOW108" s="137"/>
      <c r="BOX108" s="137"/>
      <c r="BOY108" s="137"/>
      <c r="BOZ108" s="137"/>
      <c r="BPA108" s="99"/>
      <c r="BPB108" s="137"/>
      <c r="BPC108" s="99"/>
      <c r="BPD108" s="138"/>
      <c r="BPE108" s="139"/>
      <c r="BPF108" s="137"/>
      <c r="BPG108" s="140"/>
      <c r="BPH108" s="141"/>
      <c r="BPI108" s="141"/>
      <c r="BPJ108" s="137"/>
      <c r="BPK108" s="137"/>
      <c r="BPL108" s="141"/>
      <c r="BPM108" s="137"/>
      <c r="BPN108" s="137"/>
      <c r="BPO108" s="142"/>
      <c r="BPP108" s="143"/>
      <c r="BPQ108" s="144"/>
      <c r="BPR108" s="137"/>
      <c r="BPS108" s="104"/>
      <c r="BPT108" s="243"/>
      <c r="BPU108" s="146"/>
      <c r="BPV108" s="96"/>
      <c r="BPW108" s="136"/>
      <c r="BPX108" s="137"/>
      <c r="BPY108" s="137"/>
      <c r="BPZ108" s="137"/>
      <c r="BQA108" s="137"/>
      <c r="BQB108" s="137"/>
      <c r="BQC108" s="99"/>
      <c r="BQD108" s="137"/>
      <c r="BQE108" s="99"/>
      <c r="BQF108" s="138"/>
      <c r="BQG108" s="139"/>
      <c r="BQH108" s="137"/>
      <c r="BQI108" s="140"/>
      <c r="BQJ108" s="141"/>
      <c r="BQK108" s="141"/>
      <c r="BQL108" s="137"/>
      <c r="BQM108" s="137"/>
      <c r="BQN108" s="141"/>
      <c r="BQO108" s="137"/>
      <c r="BQP108" s="137"/>
      <c r="BQQ108" s="142"/>
      <c r="BQR108" s="143"/>
      <c r="BQS108" s="144"/>
      <c r="BQT108" s="137"/>
      <c r="BQU108" s="104"/>
      <c r="BQV108" s="243"/>
      <c r="BQW108" s="146"/>
      <c r="BQX108" s="96"/>
      <c r="BQY108" s="136"/>
      <c r="BQZ108" s="137"/>
      <c r="BRA108" s="137"/>
      <c r="BRB108" s="137"/>
      <c r="BRC108" s="137"/>
      <c r="BRD108" s="137"/>
      <c r="BRE108" s="99"/>
      <c r="BRF108" s="137"/>
      <c r="BRG108" s="99"/>
      <c r="BRH108" s="138"/>
      <c r="BRI108" s="139"/>
      <c r="BRJ108" s="137"/>
      <c r="BRK108" s="140"/>
      <c r="BRL108" s="141"/>
      <c r="BRM108" s="141"/>
      <c r="BRN108" s="137"/>
      <c r="BRO108" s="137"/>
      <c r="BRP108" s="141"/>
      <c r="BRQ108" s="137"/>
      <c r="BRR108" s="137"/>
      <c r="BRS108" s="142"/>
      <c r="BRT108" s="143"/>
      <c r="BRU108" s="144"/>
      <c r="BRV108" s="137"/>
      <c r="BRW108" s="104"/>
      <c r="BRX108" s="243"/>
      <c r="BRY108" s="146"/>
      <c r="BRZ108" s="96"/>
      <c r="BSA108" s="136"/>
      <c r="BSB108" s="137"/>
      <c r="BSC108" s="137"/>
      <c r="BSD108" s="137"/>
      <c r="BSE108" s="137"/>
      <c r="BSF108" s="137"/>
      <c r="BSG108" s="99"/>
      <c r="BSH108" s="137"/>
      <c r="BSI108" s="99"/>
      <c r="BSJ108" s="138"/>
      <c r="BSK108" s="139"/>
      <c r="BSL108" s="137"/>
      <c r="BSM108" s="140"/>
      <c r="BSN108" s="141"/>
      <c r="BSO108" s="141"/>
      <c r="BSP108" s="137"/>
      <c r="BSQ108" s="137"/>
      <c r="BSR108" s="141"/>
      <c r="BSS108" s="137"/>
      <c r="BST108" s="137"/>
      <c r="BSU108" s="142"/>
      <c r="BSV108" s="143"/>
      <c r="BSW108" s="144"/>
      <c r="BSX108" s="137"/>
      <c r="BSY108" s="104"/>
      <c r="BSZ108" s="243"/>
      <c r="BTA108" s="146"/>
      <c r="BTB108" s="96"/>
      <c r="BTC108" s="136"/>
      <c r="BTD108" s="137"/>
      <c r="BTE108" s="137"/>
      <c r="BTF108" s="137"/>
      <c r="BTG108" s="137"/>
      <c r="BTH108" s="137"/>
      <c r="BTI108" s="99"/>
      <c r="BTJ108" s="137"/>
      <c r="BTK108" s="99"/>
      <c r="BTL108" s="138"/>
      <c r="BTM108" s="139"/>
      <c r="BTN108" s="137"/>
      <c r="BTO108" s="140"/>
      <c r="BTP108" s="141"/>
      <c r="BTQ108" s="141"/>
      <c r="BTR108" s="137"/>
      <c r="BTS108" s="137"/>
      <c r="BTT108" s="141"/>
      <c r="BTU108" s="137"/>
      <c r="BTV108" s="137"/>
      <c r="BTW108" s="142"/>
      <c r="BTX108" s="143"/>
      <c r="BTY108" s="144"/>
      <c r="BTZ108" s="137"/>
      <c r="BUA108" s="104"/>
      <c r="BUB108" s="243"/>
      <c r="BUC108" s="146"/>
      <c r="BUD108" s="96"/>
      <c r="BUE108" s="136"/>
      <c r="BUF108" s="137"/>
      <c r="BUG108" s="137"/>
      <c r="BUH108" s="137"/>
      <c r="BUI108" s="137"/>
      <c r="BUJ108" s="137"/>
      <c r="BUK108" s="99"/>
      <c r="BUL108" s="137"/>
      <c r="BUM108" s="99"/>
      <c r="BUN108" s="138"/>
      <c r="BUO108" s="139"/>
      <c r="BUP108" s="137"/>
      <c r="BUQ108" s="140"/>
      <c r="BUR108" s="141"/>
      <c r="BUS108" s="141"/>
      <c r="BUT108" s="137"/>
      <c r="BUU108" s="137"/>
      <c r="BUV108" s="141"/>
      <c r="BUW108" s="137"/>
      <c r="BUX108" s="137"/>
      <c r="BUY108" s="142"/>
      <c r="BUZ108" s="143"/>
      <c r="BVA108" s="144"/>
      <c r="BVB108" s="137"/>
      <c r="BVC108" s="104"/>
      <c r="BVD108" s="243"/>
      <c r="BVE108" s="146"/>
      <c r="BVF108" s="96"/>
      <c r="BVG108" s="136"/>
      <c r="BVH108" s="137"/>
      <c r="BVI108" s="137"/>
      <c r="BVJ108" s="137"/>
      <c r="BVK108" s="137"/>
      <c r="BVL108" s="137"/>
      <c r="BVM108" s="99"/>
      <c r="BVN108" s="137"/>
      <c r="BVO108" s="99"/>
      <c r="BVP108" s="138"/>
      <c r="BVQ108" s="139"/>
      <c r="BVR108" s="137"/>
      <c r="BVS108" s="140"/>
      <c r="BVT108" s="141"/>
      <c r="BVU108" s="141"/>
      <c r="BVV108" s="137"/>
      <c r="BVW108" s="137"/>
      <c r="BVX108" s="141"/>
      <c r="BVY108" s="137"/>
      <c r="BVZ108" s="137"/>
      <c r="BWA108" s="142"/>
      <c r="BWB108" s="143"/>
      <c r="BWC108" s="144"/>
      <c r="BWD108" s="137"/>
      <c r="BWE108" s="104"/>
      <c r="BWF108" s="243"/>
      <c r="BWG108" s="146"/>
      <c r="BWH108" s="96"/>
      <c r="BWI108" s="136"/>
      <c r="BWJ108" s="137"/>
      <c r="BWK108" s="137"/>
      <c r="BWL108" s="137"/>
      <c r="BWM108" s="137"/>
      <c r="BWN108" s="137"/>
      <c r="BWO108" s="99"/>
      <c r="BWP108" s="137"/>
      <c r="BWQ108" s="99"/>
      <c r="BWR108" s="138"/>
      <c r="BWS108" s="139"/>
      <c r="BWT108" s="137"/>
      <c r="BWU108" s="140"/>
      <c r="BWV108" s="141"/>
      <c r="BWW108" s="141"/>
      <c r="BWX108" s="137"/>
      <c r="BWY108" s="137"/>
      <c r="BWZ108" s="141"/>
      <c r="BXA108" s="137"/>
      <c r="BXB108" s="137"/>
      <c r="BXC108" s="142"/>
      <c r="BXD108" s="143"/>
      <c r="BXE108" s="144"/>
      <c r="BXF108" s="137"/>
      <c r="BXG108" s="104"/>
      <c r="BXH108" s="243"/>
      <c r="BXI108" s="146"/>
      <c r="BXJ108" s="96"/>
      <c r="BXK108" s="136"/>
      <c r="BXL108" s="137"/>
      <c r="BXM108" s="137"/>
      <c r="BXN108" s="137"/>
      <c r="BXO108" s="137"/>
      <c r="BXP108" s="137"/>
      <c r="BXQ108" s="99"/>
      <c r="BXR108" s="137"/>
      <c r="BXS108" s="99"/>
      <c r="BXT108" s="138"/>
      <c r="BXU108" s="139"/>
      <c r="BXV108" s="137"/>
      <c r="BXW108" s="140"/>
      <c r="BXX108" s="141"/>
      <c r="BXY108" s="141"/>
      <c r="BXZ108" s="137"/>
      <c r="BYA108" s="137"/>
      <c r="BYB108" s="141"/>
      <c r="BYC108" s="137"/>
      <c r="BYD108" s="137"/>
      <c r="BYE108" s="142"/>
      <c r="BYF108" s="143"/>
      <c r="BYG108" s="144"/>
      <c r="BYH108" s="137"/>
      <c r="BYI108" s="104"/>
      <c r="BYJ108" s="243"/>
      <c r="BYK108" s="146"/>
      <c r="BYL108" s="96"/>
      <c r="BYM108" s="136"/>
      <c r="BYN108" s="137"/>
      <c r="BYO108" s="137"/>
      <c r="BYP108" s="137"/>
      <c r="BYQ108" s="137"/>
      <c r="BYR108" s="137"/>
      <c r="BYS108" s="99"/>
      <c r="BYT108" s="137"/>
      <c r="BYU108" s="99"/>
      <c r="BYV108" s="138"/>
      <c r="BYW108" s="139"/>
      <c r="BYX108" s="137"/>
      <c r="BYY108" s="140"/>
      <c r="BYZ108" s="141"/>
      <c r="BZA108" s="141"/>
      <c r="BZB108" s="137"/>
      <c r="BZC108" s="137"/>
      <c r="BZD108" s="141"/>
      <c r="BZE108" s="137"/>
      <c r="BZF108" s="137"/>
      <c r="BZG108" s="142"/>
      <c r="BZH108" s="143"/>
      <c r="BZI108" s="144"/>
      <c r="BZJ108" s="137"/>
      <c r="BZK108" s="104"/>
      <c r="BZL108" s="243"/>
      <c r="BZM108" s="146"/>
      <c r="BZN108" s="96"/>
      <c r="BZO108" s="136"/>
      <c r="BZP108" s="137"/>
      <c r="BZQ108" s="137"/>
      <c r="BZR108" s="137"/>
      <c r="BZS108" s="137"/>
      <c r="BZT108" s="137"/>
      <c r="BZU108" s="99"/>
      <c r="BZV108" s="137"/>
      <c r="BZW108" s="99"/>
      <c r="BZX108" s="138"/>
      <c r="BZY108" s="139"/>
      <c r="BZZ108" s="137"/>
      <c r="CAA108" s="140"/>
      <c r="CAB108" s="141"/>
      <c r="CAC108" s="141"/>
      <c r="CAD108" s="137"/>
      <c r="CAE108" s="137"/>
      <c r="CAF108" s="141"/>
      <c r="CAG108" s="137"/>
      <c r="CAH108" s="137"/>
      <c r="CAI108" s="142"/>
      <c r="CAJ108" s="143"/>
      <c r="CAK108" s="144"/>
      <c r="CAL108" s="137"/>
      <c r="CAM108" s="104"/>
      <c r="CAN108" s="243"/>
      <c r="CAO108" s="146"/>
      <c r="CAP108" s="96"/>
      <c r="CAQ108" s="136"/>
      <c r="CAR108" s="137"/>
      <c r="CAS108" s="137"/>
      <c r="CAT108" s="137"/>
      <c r="CAU108" s="137"/>
      <c r="CAV108" s="137"/>
      <c r="CAW108" s="99"/>
      <c r="CAX108" s="137"/>
      <c r="CAY108" s="99"/>
      <c r="CAZ108" s="138"/>
      <c r="CBA108" s="139"/>
      <c r="CBB108" s="137"/>
      <c r="CBC108" s="140"/>
      <c r="CBD108" s="141"/>
      <c r="CBE108" s="141"/>
      <c r="CBF108" s="137"/>
      <c r="CBG108" s="137"/>
      <c r="CBH108" s="141"/>
      <c r="CBI108" s="137"/>
      <c r="CBJ108" s="137"/>
      <c r="CBK108" s="142"/>
      <c r="CBL108" s="143"/>
      <c r="CBM108" s="144"/>
      <c r="CBN108" s="137"/>
      <c r="CBO108" s="104"/>
      <c r="CBP108" s="243"/>
      <c r="CBQ108" s="146"/>
      <c r="CBR108" s="96"/>
      <c r="CBS108" s="136"/>
      <c r="CBT108" s="137"/>
      <c r="CBU108" s="137"/>
      <c r="CBV108" s="137"/>
      <c r="CBW108" s="137"/>
      <c r="CBX108" s="137"/>
      <c r="CBY108" s="99"/>
      <c r="CBZ108" s="137"/>
      <c r="CCA108" s="99"/>
      <c r="CCB108" s="138"/>
      <c r="CCC108" s="139"/>
      <c r="CCD108" s="137"/>
      <c r="CCE108" s="140"/>
      <c r="CCF108" s="141"/>
      <c r="CCG108" s="141"/>
      <c r="CCH108" s="137"/>
      <c r="CCI108" s="137"/>
      <c r="CCJ108" s="141"/>
      <c r="CCK108" s="137"/>
      <c r="CCL108" s="137"/>
      <c r="CCM108" s="142"/>
      <c r="CCN108" s="143"/>
      <c r="CCO108" s="144"/>
      <c r="CCP108" s="137"/>
      <c r="CCQ108" s="104"/>
      <c r="CCR108" s="243"/>
      <c r="CCS108" s="146"/>
      <c r="CCT108" s="96"/>
      <c r="CCU108" s="136"/>
      <c r="CCV108" s="137"/>
      <c r="CCW108" s="137"/>
      <c r="CCX108" s="137"/>
      <c r="CCY108" s="137"/>
      <c r="CCZ108" s="137"/>
      <c r="CDA108" s="99"/>
      <c r="CDB108" s="137"/>
      <c r="CDC108" s="99"/>
      <c r="CDD108" s="138"/>
      <c r="CDE108" s="139"/>
      <c r="CDF108" s="137"/>
      <c r="CDG108" s="140"/>
      <c r="CDH108" s="141"/>
      <c r="CDI108" s="141"/>
      <c r="CDJ108" s="137"/>
      <c r="CDK108" s="137"/>
      <c r="CDL108" s="141"/>
      <c r="CDM108" s="137"/>
      <c r="CDN108" s="137"/>
      <c r="CDO108" s="142"/>
      <c r="CDP108" s="143"/>
      <c r="CDQ108" s="144"/>
      <c r="CDR108" s="137"/>
      <c r="CDS108" s="104"/>
      <c r="CDT108" s="243"/>
      <c r="CDU108" s="146"/>
      <c r="CDV108" s="96"/>
      <c r="CDW108" s="136"/>
      <c r="CDX108" s="137"/>
      <c r="CDY108" s="137"/>
      <c r="CDZ108" s="137"/>
      <c r="CEA108" s="137"/>
      <c r="CEB108" s="137"/>
      <c r="CEC108" s="99"/>
      <c r="CED108" s="137"/>
      <c r="CEE108" s="99"/>
      <c r="CEF108" s="138"/>
      <c r="CEG108" s="139"/>
      <c r="CEH108" s="137"/>
      <c r="CEI108" s="140"/>
      <c r="CEJ108" s="141"/>
      <c r="CEK108" s="141"/>
      <c r="CEL108" s="137"/>
      <c r="CEM108" s="137"/>
      <c r="CEN108" s="141"/>
      <c r="CEO108" s="137"/>
      <c r="CEP108" s="137"/>
      <c r="CEQ108" s="142"/>
      <c r="CER108" s="143"/>
      <c r="CES108" s="144"/>
      <c r="CET108" s="137"/>
      <c r="CEU108" s="104"/>
      <c r="CEV108" s="243"/>
      <c r="CEW108" s="146"/>
      <c r="CEX108" s="96"/>
      <c r="CEY108" s="136"/>
      <c r="CEZ108" s="137"/>
      <c r="CFA108" s="137"/>
      <c r="CFB108" s="137"/>
      <c r="CFC108" s="137"/>
      <c r="CFD108" s="137"/>
      <c r="CFE108" s="99"/>
      <c r="CFF108" s="137"/>
      <c r="CFG108" s="99"/>
      <c r="CFH108" s="138"/>
      <c r="CFI108" s="139"/>
      <c r="CFJ108" s="137"/>
      <c r="CFK108" s="140"/>
      <c r="CFL108" s="141"/>
      <c r="CFM108" s="141"/>
      <c r="CFN108" s="137"/>
      <c r="CFO108" s="137"/>
      <c r="CFP108" s="141"/>
      <c r="CFQ108" s="137"/>
      <c r="CFR108" s="137"/>
      <c r="CFS108" s="142"/>
      <c r="CFT108" s="143"/>
      <c r="CFU108" s="144"/>
      <c r="CFV108" s="137"/>
      <c r="CFW108" s="104"/>
      <c r="CFX108" s="243"/>
      <c r="CFY108" s="146"/>
      <c r="CFZ108" s="96"/>
      <c r="CGA108" s="136"/>
      <c r="CGB108" s="137"/>
      <c r="CGC108" s="137"/>
      <c r="CGD108" s="137"/>
      <c r="CGE108" s="137"/>
      <c r="CGF108" s="137"/>
      <c r="CGG108" s="99"/>
      <c r="CGH108" s="137"/>
      <c r="CGI108" s="99"/>
      <c r="CGJ108" s="138"/>
      <c r="CGK108" s="139"/>
      <c r="CGL108" s="137"/>
      <c r="CGM108" s="140"/>
      <c r="CGN108" s="141"/>
      <c r="CGO108" s="141"/>
      <c r="CGP108" s="137"/>
      <c r="CGQ108" s="137"/>
      <c r="CGR108" s="141"/>
      <c r="CGS108" s="137"/>
      <c r="CGT108" s="137"/>
      <c r="CGU108" s="142"/>
      <c r="CGV108" s="143"/>
      <c r="CGW108" s="144"/>
      <c r="CGX108" s="137"/>
      <c r="CGY108" s="104"/>
      <c r="CGZ108" s="243"/>
      <c r="CHA108" s="146"/>
      <c r="CHB108" s="96"/>
      <c r="CHC108" s="136"/>
      <c r="CHD108" s="137"/>
      <c r="CHE108" s="137"/>
      <c r="CHF108" s="137"/>
      <c r="CHG108" s="137"/>
      <c r="CHH108" s="137"/>
      <c r="CHI108" s="99"/>
      <c r="CHJ108" s="137"/>
      <c r="CHK108" s="99"/>
      <c r="CHL108" s="138"/>
      <c r="CHM108" s="139"/>
      <c r="CHN108" s="137"/>
      <c r="CHO108" s="140"/>
      <c r="CHP108" s="141"/>
      <c r="CHQ108" s="141"/>
      <c r="CHR108" s="137"/>
      <c r="CHS108" s="137"/>
      <c r="CHT108" s="141"/>
      <c r="CHU108" s="137"/>
      <c r="CHV108" s="137"/>
      <c r="CHW108" s="142"/>
      <c r="CHX108" s="143"/>
      <c r="CHY108" s="144"/>
      <c r="CHZ108" s="137"/>
      <c r="CIA108" s="104"/>
      <c r="CIB108" s="243"/>
      <c r="CIC108" s="146"/>
      <c r="CID108" s="96"/>
      <c r="CIE108" s="136"/>
      <c r="CIF108" s="137"/>
      <c r="CIG108" s="137"/>
      <c r="CIH108" s="137"/>
      <c r="CII108" s="137"/>
      <c r="CIJ108" s="137"/>
      <c r="CIK108" s="99"/>
      <c r="CIL108" s="137"/>
      <c r="CIM108" s="99"/>
      <c r="CIN108" s="138"/>
      <c r="CIO108" s="139"/>
      <c r="CIP108" s="137"/>
      <c r="CIQ108" s="140"/>
      <c r="CIR108" s="141"/>
      <c r="CIS108" s="141"/>
      <c r="CIT108" s="137"/>
      <c r="CIU108" s="137"/>
      <c r="CIV108" s="141"/>
      <c r="CIW108" s="137"/>
      <c r="CIX108" s="137"/>
      <c r="CIY108" s="142"/>
      <c r="CIZ108" s="143"/>
      <c r="CJA108" s="144"/>
      <c r="CJB108" s="137"/>
      <c r="CJC108" s="104"/>
      <c r="CJD108" s="243"/>
      <c r="CJE108" s="146"/>
      <c r="CJF108" s="96"/>
      <c r="CJG108" s="136"/>
      <c r="CJH108" s="137"/>
      <c r="CJI108" s="137"/>
      <c r="CJJ108" s="137"/>
      <c r="CJK108" s="137"/>
      <c r="CJL108" s="137"/>
      <c r="CJM108" s="99"/>
      <c r="CJN108" s="137"/>
      <c r="CJO108" s="99"/>
      <c r="CJP108" s="138"/>
      <c r="CJQ108" s="139"/>
      <c r="CJR108" s="137"/>
      <c r="CJS108" s="140"/>
      <c r="CJT108" s="141"/>
      <c r="CJU108" s="141"/>
      <c r="CJV108" s="137"/>
      <c r="CJW108" s="137"/>
      <c r="CJX108" s="141"/>
      <c r="CJY108" s="137"/>
      <c r="CJZ108" s="137"/>
      <c r="CKA108" s="142"/>
      <c r="CKB108" s="143"/>
      <c r="CKC108" s="144"/>
      <c r="CKD108" s="137"/>
      <c r="CKE108" s="104"/>
      <c r="CKF108" s="243"/>
      <c r="CKG108" s="146"/>
      <c r="CKH108" s="96"/>
      <c r="CKI108" s="136"/>
      <c r="CKJ108" s="137"/>
      <c r="CKK108" s="137"/>
      <c r="CKL108" s="137"/>
      <c r="CKM108" s="137"/>
      <c r="CKN108" s="137"/>
      <c r="CKO108" s="99"/>
      <c r="CKP108" s="137"/>
      <c r="CKQ108" s="99"/>
      <c r="CKR108" s="138"/>
      <c r="CKS108" s="139"/>
      <c r="CKT108" s="137"/>
      <c r="CKU108" s="140"/>
      <c r="CKV108" s="141"/>
      <c r="CKW108" s="141"/>
      <c r="CKX108" s="137"/>
      <c r="CKY108" s="137"/>
      <c r="CKZ108" s="141"/>
      <c r="CLA108" s="137"/>
      <c r="CLB108" s="137"/>
      <c r="CLC108" s="142"/>
      <c r="CLD108" s="143"/>
      <c r="CLE108" s="144"/>
      <c r="CLF108" s="137"/>
      <c r="CLG108" s="104"/>
      <c r="CLH108" s="243"/>
      <c r="CLI108" s="146"/>
      <c r="CLJ108" s="96"/>
      <c r="CLK108" s="136"/>
      <c r="CLL108" s="137"/>
      <c r="CLM108" s="137"/>
      <c r="CLN108" s="137"/>
      <c r="CLO108" s="137"/>
      <c r="CLP108" s="137"/>
      <c r="CLQ108" s="99"/>
      <c r="CLR108" s="137"/>
      <c r="CLS108" s="99"/>
      <c r="CLT108" s="138"/>
      <c r="CLU108" s="139"/>
      <c r="CLV108" s="137"/>
      <c r="CLW108" s="140"/>
      <c r="CLX108" s="141"/>
      <c r="CLY108" s="141"/>
      <c r="CLZ108" s="137"/>
      <c r="CMA108" s="137"/>
      <c r="CMB108" s="141"/>
      <c r="CMC108" s="137"/>
      <c r="CMD108" s="137"/>
      <c r="CME108" s="142"/>
      <c r="CMF108" s="143"/>
      <c r="CMG108" s="144"/>
      <c r="CMH108" s="137"/>
      <c r="CMI108" s="104"/>
      <c r="CMJ108" s="243"/>
      <c r="CMK108" s="146"/>
      <c r="CML108" s="96"/>
      <c r="CMM108" s="136"/>
      <c r="CMN108" s="137"/>
      <c r="CMO108" s="137"/>
      <c r="CMP108" s="137"/>
      <c r="CMQ108" s="137"/>
      <c r="CMR108" s="137"/>
      <c r="CMS108" s="99"/>
      <c r="CMT108" s="137"/>
      <c r="CMU108" s="99"/>
      <c r="CMV108" s="138"/>
      <c r="CMW108" s="139"/>
      <c r="CMX108" s="137"/>
      <c r="CMY108" s="140"/>
      <c r="CMZ108" s="141"/>
      <c r="CNA108" s="141"/>
      <c r="CNB108" s="137"/>
      <c r="CNC108" s="137"/>
      <c r="CND108" s="141"/>
      <c r="CNE108" s="137"/>
      <c r="CNF108" s="137"/>
      <c r="CNG108" s="142"/>
      <c r="CNH108" s="143"/>
      <c r="CNI108" s="144"/>
      <c r="CNJ108" s="137"/>
      <c r="CNK108" s="104"/>
      <c r="CNL108" s="243"/>
      <c r="CNM108" s="146"/>
      <c r="CNN108" s="96"/>
      <c r="CNO108" s="136"/>
      <c r="CNP108" s="137"/>
      <c r="CNQ108" s="137"/>
      <c r="CNR108" s="137"/>
      <c r="CNS108" s="137"/>
      <c r="CNT108" s="137"/>
      <c r="CNU108" s="99"/>
      <c r="CNV108" s="137"/>
      <c r="CNW108" s="99"/>
      <c r="CNX108" s="138"/>
      <c r="CNY108" s="139"/>
      <c r="CNZ108" s="137"/>
      <c r="COA108" s="140"/>
      <c r="COB108" s="141"/>
      <c r="COC108" s="141"/>
      <c r="COD108" s="137"/>
      <c r="COE108" s="137"/>
      <c r="COF108" s="141"/>
      <c r="COG108" s="137"/>
      <c r="COH108" s="137"/>
      <c r="COI108" s="142"/>
      <c r="COJ108" s="143"/>
      <c r="COK108" s="144"/>
      <c r="COL108" s="137"/>
      <c r="COM108" s="104"/>
      <c r="CON108" s="243"/>
      <c r="COO108" s="146"/>
      <c r="COP108" s="96"/>
      <c r="COQ108" s="136"/>
      <c r="COR108" s="137"/>
      <c r="COS108" s="137"/>
      <c r="COT108" s="137"/>
      <c r="COU108" s="137"/>
      <c r="COV108" s="137"/>
      <c r="COW108" s="99"/>
      <c r="COX108" s="137"/>
      <c r="COY108" s="99"/>
      <c r="COZ108" s="138"/>
      <c r="CPA108" s="139"/>
      <c r="CPB108" s="137"/>
      <c r="CPC108" s="140"/>
      <c r="CPD108" s="141"/>
      <c r="CPE108" s="141"/>
      <c r="CPF108" s="137"/>
      <c r="CPG108" s="137"/>
      <c r="CPH108" s="141"/>
      <c r="CPI108" s="137"/>
      <c r="CPJ108" s="137"/>
      <c r="CPK108" s="142"/>
      <c r="CPL108" s="143"/>
      <c r="CPM108" s="144"/>
      <c r="CPN108" s="137"/>
      <c r="CPO108" s="104"/>
      <c r="CPP108" s="243"/>
      <c r="CPQ108" s="146"/>
      <c r="CPR108" s="96"/>
      <c r="CPS108" s="136"/>
      <c r="CPT108" s="137"/>
      <c r="CPU108" s="137"/>
      <c r="CPV108" s="137"/>
      <c r="CPW108" s="137"/>
      <c r="CPX108" s="137"/>
      <c r="CPY108" s="99"/>
      <c r="CPZ108" s="137"/>
      <c r="CQA108" s="99"/>
      <c r="CQB108" s="138"/>
      <c r="CQC108" s="139"/>
      <c r="CQD108" s="137"/>
      <c r="CQE108" s="140"/>
      <c r="CQF108" s="141"/>
      <c r="CQG108" s="141"/>
      <c r="CQH108" s="137"/>
      <c r="CQI108" s="137"/>
      <c r="CQJ108" s="141"/>
      <c r="CQK108" s="137"/>
      <c r="CQL108" s="137"/>
      <c r="CQM108" s="142"/>
      <c r="CQN108" s="143"/>
      <c r="CQO108" s="144"/>
      <c r="CQP108" s="137"/>
      <c r="CQQ108" s="104"/>
      <c r="CQR108" s="243"/>
      <c r="CQS108" s="146"/>
      <c r="CQT108" s="96"/>
      <c r="CQU108" s="136"/>
      <c r="CQV108" s="137"/>
      <c r="CQW108" s="137"/>
      <c r="CQX108" s="137"/>
      <c r="CQY108" s="137"/>
      <c r="CQZ108" s="137"/>
      <c r="CRA108" s="99"/>
      <c r="CRB108" s="137"/>
      <c r="CRC108" s="99"/>
      <c r="CRD108" s="138"/>
      <c r="CRE108" s="139"/>
      <c r="CRF108" s="137"/>
      <c r="CRG108" s="140"/>
      <c r="CRH108" s="141"/>
      <c r="CRI108" s="141"/>
      <c r="CRJ108" s="137"/>
      <c r="CRK108" s="137"/>
      <c r="CRL108" s="141"/>
      <c r="CRM108" s="137"/>
      <c r="CRN108" s="137"/>
      <c r="CRO108" s="142"/>
      <c r="CRP108" s="143"/>
      <c r="CRQ108" s="144"/>
      <c r="CRR108" s="137"/>
      <c r="CRS108" s="104"/>
      <c r="CRT108" s="243"/>
      <c r="CRU108" s="146"/>
      <c r="CRV108" s="96"/>
      <c r="CRW108" s="136"/>
      <c r="CRX108" s="137"/>
      <c r="CRY108" s="137"/>
      <c r="CRZ108" s="137"/>
      <c r="CSA108" s="137"/>
      <c r="CSB108" s="137"/>
      <c r="CSC108" s="99"/>
      <c r="CSD108" s="137"/>
      <c r="CSE108" s="99"/>
      <c r="CSF108" s="138"/>
      <c r="CSG108" s="139"/>
      <c r="CSH108" s="137"/>
      <c r="CSI108" s="140"/>
      <c r="CSJ108" s="141"/>
      <c r="CSK108" s="141"/>
      <c r="CSL108" s="137"/>
      <c r="CSM108" s="137"/>
      <c r="CSN108" s="141"/>
      <c r="CSO108" s="137"/>
      <c r="CSP108" s="137"/>
      <c r="CSQ108" s="142"/>
      <c r="CSR108" s="143"/>
      <c r="CSS108" s="144"/>
      <c r="CST108" s="137"/>
      <c r="CSU108" s="104"/>
      <c r="CSV108" s="243"/>
      <c r="CSW108" s="146"/>
      <c r="CSX108" s="96"/>
      <c r="CSY108" s="136"/>
      <c r="CSZ108" s="137"/>
      <c r="CTA108" s="137"/>
      <c r="CTB108" s="137"/>
      <c r="CTC108" s="137"/>
      <c r="CTD108" s="137"/>
      <c r="CTE108" s="99"/>
      <c r="CTF108" s="137"/>
      <c r="CTG108" s="99"/>
      <c r="CTH108" s="138"/>
      <c r="CTI108" s="139"/>
      <c r="CTJ108" s="137"/>
      <c r="CTK108" s="140"/>
      <c r="CTL108" s="141"/>
      <c r="CTM108" s="141"/>
      <c r="CTN108" s="137"/>
      <c r="CTO108" s="137"/>
      <c r="CTP108" s="141"/>
      <c r="CTQ108" s="137"/>
      <c r="CTR108" s="137"/>
      <c r="CTS108" s="142"/>
      <c r="CTT108" s="143"/>
      <c r="CTU108" s="144"/>
      <c r="CTV108" s="137"/>
      <c r="CTW108" s="104"/>
      <c r="CTX108" s="243"/>
      <c r="CTY108" s="146"/>
      <c r="CTZ108" s="96"/>
      <c r="CUA108" s="136"/>
      <c r="CUB108" s="137"/>
      <c r="CUC108" s="137"/>
      <c r="CUD108" s="137"/>
      <c r="CUE108" s="137"/>
      <c r="CUF108" s="137"/>
      <c r="CUG108" s="99"/>
      <c r="CUH108" s="137"/>
      <c r="CUI108" s="99"/>
      <c r="CUJ108" s="138"/>
      <c r="CUK108" s="139"/>
      <c r="CUL108" s="137"/>
      <c r="CUM108" s="140"/>
      <c r="CUN108" s="141"/>
      <c r="CUO108" s="141"/>
      <c r="CUP108" s="137"/>
      <c r="CUQ108" s="137"/>
      <c r="CUR108" s="141"/>
      <c r="CUS108" s="137"/>
      <c r="CUT108" s="137"/>
      <c r="CUU108" s="142"/>
      <c r="CUV108" s="143"/>
      <c r="CUW108" s="144"/>
      <c r="CUX108" s="137"/>
      <c r="CUY108" s="104"/>
      <c r="CUZ108" s="243"/>
      <c r="CVA108" s="146"/>
      <c r="CVB108" s="96"/>
      <c r="CVC108" s="136"/>
      <c r="CVD108" s="137"/>
      <c r="CVE108" s="137"/>
      <c r="CVF108" s="137"/>
      <c r="CVG108" s="137"/>
      <c r="CVH108" s="137"/>
      <c r="CVI108" s="99"/>
      <c r="CVJ108" s="137"/>
      <c r="CVK108" s="99"/>
      <c r="CVL108" s="138"/>
      <c r="CVM108" s="139"/>
      <c r="CVN108" s="137"/>
      <c r="CVO108" s="140"/>
      <c r="CVP108" s="141"/>
      <c r="CVQ108" s="141"/>
      <c r="CVR108" s="137"/>
      <c r="CVS108" s="137"/>
      <c r="CVT108" s="141"/>
      <c r="CVU108" s="137"/>
      <c r="CVV108" s="137"/>
      <c r="CVW108" s="142"/>
      <c r="CVX108" s="143"/>
      <c r="CVY108" s="144"/>
      <c r="CVZ108" s="137"/>
      <c r="CWA108" s="104"/>
      <c r="CWB108" s="243"/>
      <c r="CWC108" s="146"/>
      <c r="CWD108" s="96"/>
      <c r="CWE108" s="136"/>
      <c r="CWF108" s="137"/>
      <c r="CWG108" s="137"/>
      <c r="CWH108" s="137"/>
      <c r="CWI108" s="137"/>
      <c r="CWJ108" s="137"/>
      <c r="CWK108" s="99"/>
      <c r="CWL108" s="137"/>
      <c r="CWM108" s="99"/>
      <c r="CWN108" s="138"/>
      <c r="CWO108" s="139"/>
      <c r="CWP108" s="137"/>
      <c r="CWQ108" s="140"/>
      <c r="CWR108" s="141"/>
      <c r="CWS108" s="141"/>
      <c r="CWT108" s="137"/>
      <c r="CWU108" s="137"/>
      <c r="CWV108" s="141"/>
      <c r="CWW108" s="137"/>
      <c r="CWX108" s="137"/>
      <c r="CWY108" s="142"/>
      <c r="CWZ108" s="143"/>
      <c r="CXA108" s="144"/>
      <c r="CXB108" s="137"/>
      <c r="CXC108" s="104"/>
      <c r="CXD108" s="243"/>
      <c r="CXE108" s="146"/>
      <c r="CXF108" s="96"/>
      <c r="CXG108" s="136"/>
      <c r="CXH108" s="137"/>
      <c r="CXI108" s="137"/>
      <c r="CXJ108" s="137"/>
      <c r="CXK108" s="137"/>
      <c r="CXL108" s="137"/>
      <c r="CXM108" s="99"/>
      <c r="CXN108" s="137"/>
      <c r="CXO108" s="99"/>
      <c r="CXP108" s="138"/>
      <c r="CXQ108" s="139"/>
      <c r="CXR108" s="137"/>
      <c r="CXS108" s="140"/>
      <c r="CXT108" s="141"/>
      <c r="CXU108" s="141"/>
      <c r="CXV108" s="137"/>
      <c r="CXW108" s="137"/>
      <c r="CXX108" s="141"/>
      <c r="CXY108" s="137"/>
      <c r="CXZ108" s="137"/>
      <c r="CYA108" s="142"/>
      <c r="CYB108" s="143"/>
      <c r="CYC108" s="144"/>
      <c r="CYD108" s="137"/>
      <c r="CYE108" s="104"/>
      <c r="CYF108" s="243"/>
      <c r="CYG108" s="146"/>
      <c r="CYH108" s="96"/>
      <c r="CYI108" s="136"/>
      <c r="CYJ108" s="137"/>
      <c r="CYK108" s="137"/>
      <c r="CYL108" s="137"/>
      <c r="CYM108" s="137"/>
      <c r="CYN108" s="137"/>
      <c r="CYO108" s="99"/>
      <c r="CYP108" s="137"/>
      <c r="CYQ108" s="99"/>
      <c r="CYR108" s="138"/>
      <c r="CYS108" s="139"/>
      <c r="CYT108" s="137"/>
      <c r="CYU108" s="140"/>
      <c r="CYV108" s="141"/>
      <c r="CYW108" s="141"/>
      <c r="CYX108" s="137"/>
      <c r="CYY108" s="137"/>
      <c r="CYZ108" s="141"/>
      <c r="CZA108" s="137"/>
      <c r="CZB108" s="137"/>
      <c r="CZC108" s="142"/>
      <c r="CZD108" s="143"/>
      <c r="CZE108" s="144"/>
      <c r="CZF108" s="137"/>
      <c r="CZG108" s="104"/>
      <c r="CZH108" s="243"/>
      <c r="CZI108" s="146"/>
      <c r="CZJ108" s="96"/>
      <c r="CZK108" s="136"/>
      <c r="CZL108" s="137"/>
      <c r="CZM108" s="137"/>
      <c r="CZN108" s="137"/>
      <c r="CZO108" s="137"/>
      <c r="CZP108" s="137"/>
      <c r="CZQ108" s="99"/>
      <c r="CZR108" s="137"/>
      <c r="CZS108" s="99"/>
      <c r="CZT108" s="138"/>
      <c r="CZU108" s="139"/>
      <c r="CZV108" s="137"/>
      <c r="CZW108" s="140"/>
      <c r="CZX108" s="141"/>
      <c r="CZY108" s="141"/>
      <c r="CZZ108" s="137"/>
      <c r="DAA108" s="137"/>
      <c r="DAB108" s="141"/>
      <c r="DAC108" s="137"/>
      <c r="DAD108" s="137"/>
      <c r="DAE108" s="142"/>
      <c r="DAF108" s="143"/>
      <c r="DAG108" s="144"/>
      <c r="DAH108" s="137"/>
      <c r="DAI108" s="104"/>
      <c r="DAJ108" s="243"/>
      <c r="DAK108" s="146"/>
      <c r="DAL108" s="96"/>
      <c r="DAM108" s="136"/>
      <c r="DAN108" s="137"/>
      <c r="DAO108" s="137"/>
      <c r="DAP108" s="137"/>
      <c r="DAQ108" s="137"/>
      <c r="DAR108" s="137"/>
      <c r="DAS108" s="99"/>
      <c r="DAT108" s="137"/>
      <c r="DAU108" s="99"/>
      <c r="DAV108" s="138"/>
      <c r="DAW108" s="139"/>
      <c r="DAX108" s="137"/>
      <c r="DAY108" s="140"/>
      <c r="DAZ108" s="141"/>
      <c r="DBA108" s="141"/>
      <c r="DBB108" s="137"/>
      <c r="DBC108" s="137"/>
      <c r="DBD108" s="141"/>
      <c r="DBE108" s="137"/>
      <c r="DBF108" s="137"/>
      <c r="DBG108" s="142"/>
      <c r="DBH108" s="143"/>
      <c r="DBI108" s="144"/>
      <c r="DBJ108" s="137"/>
      <c r="DBK108" s="104"/>
      <c r="DBL108" s="243"/>
      <c r="DBM108" s="146"/>
      <c r="DBN108" s="96"/>
      <c r="DBO108" s="136"/>
      <c r="DBP108" s="137"/>
      <c r="DBQ108" s="137"/>
      <c r="DBR108" s="137"/>
      <c r="DBS108" s="137"/>
      <c r="DBT108" s="137"/>
      <c r="DBU108" s="99"/>
      <c r="DBV108" s="137"/>
      <c r="DBW108" s="99"/>
      <c r="DBX108" s="138"/>
      <c r="DBY108" s="139"/>
      <c r="DBZ108" s="137"/>
      <c r="DCA108" s="140"/>
      <c r="DCB108" s="141"/>
      <c r="DCC108" s="141"/>
      <c r="DCD108" s="137"/>
      <c r="DCE108" s="137"/>
      <c r="DCF108" s="141"/>
      <c r="DCG108" s="137"/>
      <c r="DCH108" s="137"/>
      <c r="DCI108" s="142"/>
      <c r="DCJ108" s="143"/>
      <c r="DCK108" s="144"/>
      <c r="DCL108" s="137"/>
      <c r="DCM108" s="104"/>
      <c r="DCN108" s="243"/>
      <c r="DCO108" s="146"/>
      <c r="DCP108" s="96"/>
      <c r="DCQ108" s="136"/>
      <c r="DCR108" s="137"/>
      <c r="DCS108" s="137"/>
      <c r="DCT108" s="137"/>
      <c r="DCU108" s="137"/>
      <c r="DCV108" s="137"/>
      <c r="DCW108" s="99"/>
      <c r="DCX108" s="137"/>
      <c r="DCY108" s="99"/>
      <c r="DCZ108" s="138"/>
      <c r="DDA108" s="139"/>
      <c r="DDB108" s="137"/>
      <c r="DDC108" s="140"/>
      <c r="DDD108" s="141"/>
      <c r="DDE108" s="141"/>
      <c r="DDF108" s="137"/>
      <c r="DDG108" s="137"/>
      <c r="DDH108" s="141"/>
      <c r="DDI108" s="137"/>
      <c r="DDJ108" s="137"/>
      <c r="DDK108" s="142"/>
      <c r="DDL108" s="143"/>
      <c r="DDM108" s="144"/>
      <c r="DDN108" s="137"/>
      <c r="DDO108" s="104"/>
      <c r="DDP108" s="243"/>
      <c r="DDQ108" s="146"/>
      <c r="DDR108" s="96"/>
      <c r="DDS108" s="136"/>
      <c r="DDT108" s="137"/>
      <c r="DDU108" s="137"/>
      <c r="DDV108" s="137"/>
      <c r="DDW108" s="137"/>
      <c r="DDX108" s="137"/>
      <c r="DDY108" s="99"/>
      <c r="DDZ108" s="137"/>
      <c r="DEA108" s="99"/>
      <c r="DEB108" s="138"/>
      <c r="DEC108" s="139"/>
      <c r="DED108" s="137"/>
      <c r="DEE108" s="140"/>
      <c r="DEF108" s="141"/>
      <c r="DEG108" s="141"/>
      <c r="DEH108" s="137"/>
      <c r="DEI108" s="137"/>
      <c r="DEJ108" s="141"/>
      <c r="DEK108" s="137"/>
      <c r="DEL108" s="137"/>
      <c r="DEM108" s="142"/>
      <c r="DEN108" s="143"/>
      <c r="DEO108" s="144"/>
      <c r="DEP108" s="137"/>
      <c r="DEQ108" s="104"/>
      <c r="DER108" s="243"/>
      <c r="DES108" s="146"/>
      <c r="DET108" s="96"/>
      <c r="DEU108" s="136"/>
      <c r="DEV108" s="137"/>
      <c r="DEW108" s="137"/>
      <c r="DEX108" s="137"/>
      <c r="DEY108" s="137"/>
      <c r="DEZ108" s="137"/>
      <c r="DFA108" s="99"/>
      <c r="DFB108" s="137"/>
      <c r="DFC108" s="99"/>
      <c r="DFD108" s="138"/>
      <c r="DFE108" s="139"/>
      <c r="DFF108" s="137"/>
      <c r="DFG108" s="140"/>
      <c r="DFH108" s="141"/>
      <c r="DFI108" s="141"/>
      <c r="DFJ108" s="137"/>
      <c r="DFK108" s="137"/>
      <c r="DFL108" s="141"/>
      <c r="DFM108" s="137"/>
      <c r="DFN108" s="137"/>
      <c r="DFO108" s="142"/>
      <c r="DFP108" s="143"/>
      <c r="DFQ108" s="144"/>
      <c r="DFR108" s="137"/>
      <c r="DFS108" s="104"/>
      <c r="DFT108" s="243"/>
      <c r="DFU108" s="146"/>
      <c r="DFV108" s="96"/>
      <c r="DFW108" s="136"/>
      <c r="DFX108" s="137"/>
      <c r="DFY108" s="137"/>
      <c r="DFZ108" s="137"/>
      <c r="DGA108" s="137"/>
      <c r="DGB108" s="137"/>
      <c r="DGC108" s="99"/>
      <c r="DGD108" s="137"/>
      <c r="DGE108" s="99"/>
      <c r="DGF108" s="138"/>
      <c r="DGG108" s="139"/>
      <c r="DGH108" s="137"/>
      <c r="DGI108" s="140"/>
      <c r="DGJ108" s="141"/>
      <c r="DGK108" s="141"/>
      <c r="DGL108" s="137"/>
      <c r="DGM108" s="137"/>
      <c r="DGN108" s="141"/>
      <c r="DGO108" s="137"/>
      <c r="DGP108" s="137"/>
      <c r="DGQ108" s="142"/>
      <c r="DGR108" s="143"/>
      <c r="DGS108" s="144"/>
      <c r="DGT108" s="137"/>
      <c r="DGU108" s="104"/>
      <c r="DGV108" s="243"/>
      <c r="DGW108" s="146"/>
      <c r="DGX108" s="96"/>
      <c r="DGY108" s="136"/>
      <c r="DGZ108" s="137"/>
      <c r="DHA108" s="137"/>
      <c r="DHB108" s="137"/>
      <c r="DHC108" s="137"/>
      <c r="DHD108" s="137"/>
      <c r="DHE108" s="99"/>
      <c r="DHF108" s="137"/>
      <c r="DHG108" s="99"/>
      <c r="DHH108" s="138"/>
      <c r="DHI108" s="139"/>
      <c r="DHJ108" s="137"/>
      <c r="DHK108" s="140"/>
      <c r="DHL108" s="141"/>
      <c r="DHM108" s="141"/>
      <c r="DHN108" s="137"/>
      <c r="DHO108" s="137"/>
      <c r="DHP108" s="141"/>
      <c r="DHQ108" s="137"/>
      <c r="DHR108" s="137"/>
      <c r="DHS108" s="142"/>
      <c r="DHT108" s="143"/>
      <c r="DHU108" s="144"/>
      <c r="DHV108" s="137"/>
      <c r="DHW108" s="104"/>
      <c r="DHX108" s="243"/>
      <c r="DHY108" s="146"/>
      <c r="DHZ108" s="96"/>
      <c r="DIA108" s="136"/>
      <c r="DIB108" s="137"/>
      <c r="DIC108" s="137"/>
      <c r="DID108" s="137"/>
      <c r="DIE108" s="137"/>
      <c r="DIF108" s="137"/>
      <c r="DIG108" s="99"/>
      <c r="DIH108" s="137"/>
      <c r="DII108" s="99"/>
      <c r="DIJ108" s="138"/>
      <c r="DIK108" s="139"/>
      <c r="DIL108" s="137"/>
      <c r="DIM108" s="140"/>
      <c r="DIN108" s="141"/>
      <c r="DIO108" s="141"/>
      <c r="DIP108" s="137"/>
      <c r="DIQ108" s="137"/>
      <c r="DIR108" s="141"/>
      <c r="DIS108" s="137"/>
      <c r="DIT108" s="137"/>
      <c r="DIU108" s="142"/>
      <c r="DIV108" s="143"/>
      <c r="DIW108" s="144"/>
      <c r="DIX108" s="137"/>
      <c r="DIY108" s="104"/>
      <c r="DIZ108" s="243"/>
      <c r="DJA108" s="146"/>
      <c r="DJB108" s="96"/>
      <c r="DJC108" s="136"/>
      <c r="DJD108" s="137"/>
      <c r="DJE108" s="137"/>
      <c r="DJF108" s="137"/>
      <c r="DJG108" s="137"/>
      <c r="DJH108" s="137"/>
      <c r="DJI108" s="99"/>
      <c r="DJJ108" s="137"/>
      <c r="DJK108" s="99"/>
      <c r="DJL108" s="138"/>
      <c r="DJM108" s="139"/>
      <c r="DJN108" s="137"/>
      <c r="DJO108" s="140"/>
      <c r="DJP108" s="141"/>
      <c r="DJQ108" s="141"/>
      <c r="DJR108" s="137"/>
      <c r="DJS108" s="137"/>
      <c r="DJT108" s="141"/>
      <c r="DJU108" s="137"/>
      <c r="DJV108" s="137"/>
      <c r="DJW108" s="142"/>
      <c r="DJX108" s="143"/>
      <c r="DJY108" s="144"/>
      <c r="DJZ108" s="137"/>
      <c r="DKA108" s="104"/>
      <c r="DKB108" s="243"/>
      <c r="DKC108" s="146"/>
      <c r="DKD108" s="96"/>
      <c r="DKE108" s="136"/>
      <c r="DKF108" s="137"/>
      <c r="DKG108" s="137"/>
      <c r="DKH108" s="137"/>
      <c r="DKI108" s="137"/>
      <c r="DKJ108" s="137"/>
      <c r="DKK108" s="99"/>
      <c r="DKL108" s="137"/>
      <c r="DKM108" s="99"/>
      <c r="DKN108" s="138"/>
      <c r="DKO108" s="139"/>
      <c r="DKP108" s="137"/>
      <c r="DKQ108" s="140"/>
      <c r="DKR108" s="141"/>
      <c r="DKS108" s="141"/>
      <c r="DKT108" s="137"/>
      <c r="DKU108" s="137"/>
      <c r="DKV108" s="141"/>
      <c r="DKW108" s="137"/>
      <c r="DKX108" s="137"/>
      <c r="DKY108" s="142"/>
      <c r="DKZ108" s="143"/>
      <c r="DLA108" s="144"/>
      <c r="DLB108" s="137"/>
      <c r="DLC108" s="104"/>
      <c r="DLD108" s="243"/>
      <c r="DLE108" s="146"/>
      <c r="DLF108" s="96"/>
      <c r="DLG108" s="136"/>
      <c r="DLH108" s="137"/>
      <c r="DLI108" s="137"/>
      <c r="DLJ108" s="137"/>
      <c r="DLK108" s="137"/>
      <c r="DLL108" s="137"/>
      <c r="DLM108" s="99"/>
      <c r="DLN108" s="137"/>
      <c r="DLO108" s="99"/>
      <c r="DLP108" s="138"/>
      <c r="DLQ108" s="139"/>
      <c r="DLR108" s="137"/>
      <c r="DLS108" s="140"/>
      <c r="DLT108" s="141"/>
      <c r="DLU108" s="141"/>
      <c r="DLV108" s="137"/>
      <c r="DLW108" s="137"/>
      <c r="DLX108" s="141"/>
      <c r="DLY108" s="137"/>
      <c r="DLZ108" s="137"/>
      <c r="DMA108" s="142"/>
      <c r="DMB108" s="143"/>
      <c r="DMC108" s="144"/>
      <c r="DMD108" s="137"/>
      <c r="DME108" s="104"/>
      <c r="DMF108" s="243"/>
      <c r="DMG108" s="146"/>
      <c r="DMH108" s="96"/>
      <c r="DMI108" s="136"/>
      <c r="DMJ108" s="137"/>
      <c r="DMK108" s="137"/>
      <c r="DML108" s="137"/>
      <c r="DMM108" s="137"/>
      <c r="DMN108" s="137"/>
      <c r="DMO108" s="99"/>
      <c r="DMP108" s="137"/>
      <c r="DMQ108" s="99"/>
      <c r="DMR108" s="138"/>
      <c r="DMS108" s="139"/>
      <c r="DMT108" s="137"/>
      <c r="DMU108" s="140"/>
      <c r="DMV108" s="141"/>
      <c r="DMW108" s="141"/>
      <c r="DMX108" s="137"/>
      <c r="DMY108" s="137"/>
      <c r="DMZ108" s="141"/>
      <c r="DNA108" s="137"/>
      <c r="DNB108" s="137"/>
      <c r="DNC108" s="142"/>
      <c r="DND108" s="143"/>
      <c r="DNE108" s="144"/>
      <c r="DNF108" s="137"/>
      <c r="DNG108" s="104"/>
      <c r="DNH108" s="243"/>
      <c r="DNI108" s="146"/>
      <c r="DNJ108" s="96"/>
      <c r="DNK108" s="136"/>
      <c r="DNL108" s="137"/>
      <c r="DNM108" s="137"/>
      <c r="DNN108" s="137"/>
      <c r="DNO108" s="137"/>
      <c r="DNP108" s="137"/>
      <c r="DNQ108" s="99"/>
      <c r="DNR108" s="137"/>
      <c r="DNS108" s="99"/>
      <c r="DNT108" s="138"/>
      <c r="DNU108" s="139"/>
      <c r="DNV108" s="137"/>
      <c r="DNW108" s="140"/>
      <c r="DNX108" s="141"/>
      <c r="DNY108" s="141"/>
      <c r="DNZ108" s="137"/>
      <c r="DOA108" s="137"/>
      <c r="DOB108" s="141"/>
      <c r="DOC108" s="137"/>
      <c r="DOD108" s="137"/>
      <c r="DOE108" s="142"/>
      <c r="DOF108" s="143"/>
      <c r="DOG108" s="144"/>
      <c r="DOH108" s="137"/>
      <c r="DOI108" s="104"/>
      <c r="DOJ108" s="243"/>
      <c r="DOK108" s="146"/>
      <c r="DOL108" s="96"/>
      <c r="DOM108" s="136"/>
      <c r="DON108" s="137"/>
      <c r="DOO108" s="137"/>
      <c r="DOP108" s="137"/>
      <c r="DOQ108" s="137"/>
      <c r="DOR108" s="137"/>
      <c r="DOS108" s="99"/>
      <c r="DOT108" s="137"/>
      <c r="DOU108" s="99"/>
      <c r="DOV108" s="138"/>
      <c r="DOW108" s="139"/>
      <c r="DOX108" s="137"/>
      <c r="DOY108" s="140"/>
      <c r="DOZ108" s="141"/>
      <c r="DPA108" s="141"/>
      <c r="DPB108" s="137"/>
      <c r="DPC108" s="137"/>
      <c r="DPD108" s="141"/>
      <c r="DPE108" s="137"/>
      <c r="DPF108" s="137"/>
      <c r="DPG108" s="142"/>
      <c r="DPH108" s="143"/>
      <c r="DPI108" s="144"/>
      <c r="DPJ108" s="137"/>
      <c r="DPK108" s="104"/>
      <c r="DPL108" s="243"/>
      <c r="DPM108" s="146"/>
      <c r="DPN108" s="96"/>
      <c r="DPO108" s="136"/>
      <c r="DPP108" s="137"/>
      <c r="DPQ108" s="137"/>
      <c r="DPR108" s="137"/>
      <c r="DPS108" s="137"/>
      <c r="DPT108" s="137"/>
      <c r="DPU108" s="99"/>
      <c r="DPV108" s="137"/>
      <c r="DPW108" s="99"/>
      <c r="DPX108" s="138"/>
      <c r="DPY108" s="139"/>
      <c r="DPZ108" s="137"/>
      <c r="DQA108" s="140"/>
      <c r="DQB108" s="141"/>
      <c r="DQC108" s="141"/>
      <c r="DQD108" s="137"/>
      <c r="DQE108" s="137"/>
      <c r="DQF108" s="141"/>
      <c r="DQG108" s="137"/>
      <c r="DQH108" s="137"/>
      <c r="DQI108" s="142"/>
      <c r="DQJ108" s="143"/>
      <c r="DQK108" s="144"/>
      <c r="DQL108" s="137"/>
      <c r="DQM108" s="104"/>
      <c r="DQN108" s="243"/>
      <c r="DQO108" s="146"/>
      <c r="DQP108" s="96"/>
      <c r="DQQ108" s="136"/>
      <c r="DQR108" s="137"/>
      <c r="DQS108" s="137"/>
      <c r="DQT108" s="137"/>
      <c r="DQU108" s="137"/>
      <c r="DQV108" s="137"/>
      <c r="DQW108" s="99"/>
      <c r="DQX108" s="137"/>
      <c r="DQY108" s="99"/>
      <c r="DQZ108" s="138"/>
      <c r="DRA108" s="139"/>
      <c r="DRB108" s="137"/>
      <c r="DRC108" s="140"/>
      <c r="DRD108" s="141"/>
      <c r="DRE108" s="141"/>
      <c r="DRF108" s="137"/>
      <c r="DRG108" s="137"/>
      <c r="DRH108" s="141"/>
      <c r="DRI108" s="137"/>
      <c r="DRJ108" s="137"/>
      <c r="DRK108" s="142"/>
      <c r="DRL108" s="143"/>
      <c r="DRM108" s="144"/>
      <c r="DRN108" s="137"/>
      <c r="DRO108" s="104"/>
      <c r="DRP108" s="243"/>
      <c r="DRQ108" s="146"/>
      <c r="DRR108" s="96"/>
      <c r="DRS108" s="136"/>
      <c r="DRT108" s="137"/>
      <c r="DRU108" s="137"/>
      <c r="DRV108" s="137"/>
      <c r="DRW108" s="137"/>
      <c r="DRX108" s="137"/>
      <c r="DRY108" s="99"/>
      <c r="DRZ108" s="137"/>
      <c r="DSA108" s="99"/>
      <c r="DSB108" s="138"/>
      <c r="DSC108" s="139"/>
      <c r="DSD108" s="137"/>
      <c r="DSE108" s="140"/>
      <c r="DSF108" s="141"/>
      <c r="DSG108" s="141"/>
      <c r="DSH108" s="137"/>
      <c r="DSI108" s="137"/>
      <c r="DSJ108" s="141"/>
      <c r="DSK108" s="137"/>
      <c r="DSL108" s="137"/>
      <c r="DSM108" s="142"/>
      <c r="DSN108" s="143"/>
      <c r="DSO108" s="144"/>
      <c r="DSP108" s="137"/>
      <c r="DSQ108" s="104"/>
      <c r="DSR108" s="243"/>
      <c r="DSS108" s="146"/>
      <c r="DST108" s="96"/>
      <c r="DSU108" s="136"/>
      <c r="DSV108" s="137"/>
      <c r="DSW108" s="137"/>
      <c r="DSX108" s="137"/>
      <c r="DSY108" s="137"/>
      <c r="DSZ108" s="137"/>
      <c r="DTA108" s="99"/>
      <c r="DTB108" s="137"/>
      <c r="DTC108" s="99"/>
      <c r="DTD108" s="138"/>
      <c r="DTE108" s="139"/>
      <c r="DTF108" s="137"/>
      <c r="DTG108" s="140"/>
      <c r="DTH108" s="141"/>
      <c r="DTI108" s="141"/>
      <c r="DTJ108" s="137"/>
      <c r="DTK108" s="137"/>
      <c r="DTL108" s="141"/>
      <c r="DTM108" s="137"/>
      <c r="DTN108" s="137"/>
      <c r="DTO108" s="142"/>
      <c r="DTP108" s="143"/>
      <c r="DTQ108" s="144"/>
      <c r="DTR108" s="137"/>
      <c r="DTS108" s="104"/>
      <c r="DTT108" s="243"/>
      <c r="DTU108" s="146"/>
      <c r="DTV108" s="96"/>
      <c r="DTW108" s="136"/>
      <c r="DTX108" s="137"/>
      <c r="DTY108" s="137"/>
      <c r="DTZ108" s="137"/>
      <c r="DUA108" s="137"/>
      <c r="DUB108" s="137"/>
      <c r="DUC108" s="99"/>
      <c r="DUD108" s="137"/>
      <c r="DUE108" s="99"/>
      <c r="DUF108" s="138"/>
      <c r="DUG108" s="139"/>
      <c r="DUH108" s="137"/>
      <c r="DUI108" s="140"/>
      <c r="DUJ108" s="141"/>
      <c r="DUK108" s="141"/>
      <c r="DUL108" s="137"/>
      <c r="DUM108" s="137"/>
      <c r="DUN108" s="141"/>
      <c r="DUO108" s="137"/>
      <c r="DUP108" s="137"/>
      <c r="DUQ108" s="142"/>
      <c r="DUR108" s="143"/>
      <c r="DUS108" s="144"/>
      <c r="DUT108" s="137"/>
      <c r="DUU108" s="104"/>
      <c r="DUV108" s="243"/>
      <c r="DUW108" s="146"/>
      <c r="DUX108" s="96"/>
      <c r="DUY108" s="136"/>
      <c r="DUZ108" s="137"/>
      <c r="DVA108" s="137"/>
      <c r="DVB108" s="137"/>
      <c r="DVC108" s="137"/>
      <c r="DVD108" s="137"/>
      <c r="DVE108" s="99"/>
      <c r="DVF108" s="137"/>
      <c r="DVG108" s="99"/>
      <c r="DVH108" s="138"/>
      <c r="DVI108" s="139"/>
      <c r="DVJ108" s="137"/>
      <c r="DVK108" s="140"/>
      <c r="DVL108" s="141"/>
      <c r="DVM108" s="141"/>
      <c r="DVN108" s="137"/>
      <c r="DVO108" s="137"/>
      <c r="DVP108" s="141"/>
      <c r="DVQ108" s="137"/>
      <c r="DVR108" s="137"/>
      <c r="DVS108" s="142"/>
      <c r="DVT108" s="143"/>
      <c r="DVU108" s="144"/>
      <c r="DVV108" s="137"/>
      <c r="DVW108" s="104"/>
      <c r="DVX108" s="243"/>
      <c r="DVY108" s="146"/>
      <c r="DVZ108" s="96"/>
      <c r="DWA108" s="136"/>
      <c r="DWB108" s="137"/>
      <c r="DWC108" s="137"/>
      <c r="DWD108" s="137"/>
      <c r="DWE108" s="137"/>
      <c r="DWF108" s="137"/>
      <c r="DWG108" s="99"/>
      <c r="DWH108" s="137"/>
      <c r="DWI108" s="99"/>
      <c r="DWJ108" s="138"/>
      <c r="DWK108" s="139"/>
      <c r="DWL108" s="137"/>
      <c r="DWM108" s="140"/>
      <c r="DWN108" s="141"/>
      <c r="DWO108" s="141"/>
      <c r="DWP108" s="137"/>
      <c r="DWQ108" s="137"/>
      <c r="DWR108" s="141"/>
      <c r="DWS108" s="137"/>
      <c r="DWT108" s="137"/>
      <c r="DWU108" s="142"/>
      <c r="DWV108" s="143"/>
      <c r="DWW108" s="144"/>
      <c r="DWX108" s="137"/>
      <c r="DWY108" s="104"/>
      <c r="DWZ108" s="243"/>
      <c r="DXA108" s="146"/>
      <c r="DXB108" s="96"/>
      <c r="DXC108" s="136"/>
      <c r="DXD108" s="137"/>
      <c r="DXE108" s="137"/>
      <c r="DXF108" s="137"/>
      <c r="DXG108" s="137"/>
      <c r="DXH108" s="137"/>
      <c r="DXI108" s="99"/>
      <c r="DXJ108" s="137"/>
      <c r="DXK108" s="99"/>
      <c r="DXL108" s="138"/>
      <c r="DXM108" s="139"/>
      <c r="DXN108" s="137"/>
      <c r="DXO108" s="140"/>
      <c r="DXP108" s="141"/>
      <c r="DXQ108" s="141"/>
      <c r="DXR108" s="137"/>
      <c r="DXS108" s="137"/>
      <c r="DXT108" s="141"/>
      <c r="DXU108" s="137"/>
      <c r="DXV108" s="137"/>
      <c r="DXW108" s="142"/>
      <c r="DXX108" s="143"/>
      <c r="DXY108" s="144"/>
      <c r="DXZ108" s="137"/>
      <c r="DYA108" s="104"/>
      <c r="DYB108" s="243"/>
      <c r="DYC108" s="146"/>
      <c r="DYD108" s="96"/>
      <c r="DYE108" s="136"/>
      <c r="DYF108" s="137"/>
      <c r="DYG108" s="137"/>
      <c r="DYH108" s="137"/>
      <c r="DYI108" s="137"/>
      <c r="DYJ108" s="137"/>
      <c r="DYK108" s="99"/>
      <c r="DYL108" s="137"/>
      <c r="DYM108" s="99"/>
      <c r="DYN108" s="138"/>
      <c r="DYO108" s="139"/>
      <c r="DYP108" s="137"/>
      <c r="DYQ108" s="140"/>
      <c r="DYR108" s="141"/>
      <c r="DYS108" s="141"/>
      <c r="DYT108" s="137"/>
      <c r="DYU108" s="137"/>
      <c r="DYV108" s="141"/>
      <c r="DYW108" s="137"/>
      <c r="DYX108" s="137"/>
      <c r="DYY108" s="142"/>
      <c r="DYZ108" s="143"/>
      <c r="DZA108" s="144"/>
      <c r="DZB108" s="137"/>
      <c r="DZC108" s="104"/>
      <c r="DZD108" s="243"/>
      <c r="DZE108" s="146"/>
      <c r="DZF108" s="96"/>
      <c r="DZG108" s="136"/>
      <c r="DZH108" s="137"/>
      <c r="DZI108" s="137"/>
      <c r="DZJ108" s="137"/>
      <c r="DZK108" s="137"/>
      <c r="DZL108" s="137"/>
      <c r="DZM108" s="99"/>
      <c r="DZN108" s="137"/>
      <c r="DZO108" s="99"/>
      <c r="DZP108" s="138"/>
      <c r="DZQ108" s="139"/>
      <c r="DZR108" s="137"/>
      <c r="DZS108" s="140"/>
      <c r="DZT108" s="141"/>
      <c r="DZU108" s="141"/>
      <c r="DZV108" s="137"/>
      <c r="DZW108" s="137"/>
      <c r="DZX108" s="141"/>
      <c r="DZY108" s="137"/>
      <c r="DZZ108" s="137"/>
      <c r="EAA108" s="142"/>
      <c r="EAB108" s="143"/>
      <c r="EAC108" s="144"/>
      <c r="EAD108" s="137"/>
      <c r="EAE108" s="104"/>
      <c r="EAF108" s="243"/>
      <c r="EAG108" s="146"/>
      <c r="EAH108" s="96"/>
      <c r="EAI108" s="136"/>
      <c r="EAJ108" s="137"/>
      <c r="EAK108" s="137"/>
      <c r="EAL108" s="137"/>
      <c r="EAM108" s="137"/>
      <c r="EAN108" s="137"/>
      <c r="EAO108" s="99"/>
      <c r="EAP108" s="137"/>
      <c r="EAQ108" s="99"/>
      <c r="EAR108" s="138"/>
      <c r="EAS108" s="139"/>
      <c r="EAT108" s="137"/>
      <c r="EAU108" s="140"/>
      <c r="EAV108" s="141"/>
      <c r="EAW108" s="141"/>
      <c r="EAX108" s="137"/>
      <c r="EAY108" s="137"/>
      <c r="EAZ108" s="141"/>
      <c r="EBA108" s="137"/>
      <c r="EBB108" s="137"/>
      <c r="EBC108" s="142"/>
      <c r="EBD108" s="143"/>
      <c r="EBE108" s="144"/>
      <c r="EBF108" s="137"/>
      <c r="EBG108" s="104"/>
      <c r="EBH108" s="243"/>
      <c r="EBI108" s="146"/>
      <c r="EBJ108" s="96"/>
      <c r="EBK108" s="136"/>
      <c r="EBL108" s="137"/>
      <c r="EBM108" s="137"/>
      <c r="EBN108" s="137"/>
      <c r="EBO108" s="137"/>
      <c r="EBP108" s="137"/>
      <c r="EBQ108" s="99"/>
      <c r="EBR108" s="137"/>
      <c r="EBS108" s="99"/>
      <c r="EBT108" s="138"/>
      <c r="EBU108" s="139"/>
      <c r="EBV108" s="137"/>
      <c r="EBW108" s="140"/>
      <c r="EBX108" s="141"/>
      <c r="EBY108" s="141"/>
      <c r="EBZ108" s="137"/>
      <c r="ECA108" s="137"/>
      <c r="ECB108" s="141"/>
      <c r="ECC108" s="137"/>
      <c r="ECD108" s="137"/>
      <c r="ECE108" s="142"/>
      <c r="ECF108" s="143"/>
      <c r="ECG108" s="144"/>
      <c r="ECH108" s="137"/>
      <c r="ECI108" s="104"/>
      <c r="ECJ108" s="243"/>
      <c r="ECK108" s="146"/>
      <c r="ECL108" s="96"/>
      <c r="ECM108" s="136"/>
      <c r="ECN108" s="137"/>
      <c r="ECO108" s="137"/>
      <c r="ECP108" s="137"/>
      <c r="ECQ108" s="137"/>
      <c r="ECR108" s="137"/>
      <c r="ECS108" s="99"/>
      <c r="ECT108" s="137"/>
      <c r="ECU108" s="99"/>
      <c r="ECV108" s="138"/>
      <c r="ECW108" s="139"/>
      <c r="ECX108" s="137"/>
      <c r="ECY108" s="140"/>
      <c r="ECZ108" s="141"/>
      <c r="EDA108" s="141"/>
      <c r="EDB108" s="137"/>
      <c r="EDC108" s="137"/>
      <c r="EDD108" s="141"/>
      <c r="EDE108" s="137"/>
      <c r="EDF108" s="137"/>
      <c r="EDG108" s="142"/>
      <c r="EDH108" s="143"/>
      <c r="EDI108" s="144"/>
      <c r="EDJ108" s="137"/>
      <c r="EDK108" s="104"/>
      <c r="EDL108" s="243"/>
      <c r="EDM108" s="146"/>
      <c r="EDN108" s="96"/>
      <c r="EDO108" s="136"/>
      <c r="EDP108" s="137"/>
      <c r="EDQ108" s="137"/>
      <c r="EDR108" s="137"/>
      <c r="EDS108" s="137"/>
      <c r="EDT108" s="137"/>
      <c r="EDU108" s="99"/>
      <c r="EDV108" s="137"/>
      <c r="EDW108" s="99"/>
      <c r="EDX108" s="138"/>
      <c r="EDY108" s="139"/>
      <c r="EDZ108" s="137"/>
      <c r="EEA108" s="140"/>
      <c r="EEB108" s="141"/>
      <c r="EEC108" s="141"/>
      <c r="EED108" s="137"/>
      <c r="EEE108" s="137"/>
      <c r="EEF108" s="141"/>
      <c r="EEG108" s="137"/>
      <c r="EEH108" s="137"/>
      <c r="EEI108" s="142"/>
      <c r="EEJ108" s="143"/>
      <c r="EEK108" s="144"/>
      <c r="EEL108" s="137"/>
      <c r="EEM108" s="104"/>
      <c r="EEN108" s="243"/>
      <c r="EEO108" s="146"/>
      <c r="EEP108" s="96"/>
      <c r="EEQ108" s="136"/>
      <c r="EER108" s="137"/>
      <c r="EES108" s="137"/>
      <c r="EET108" s="137"/>
      <c r="EEU108" s="137"/>
      <c r="EEV108" s="137"/>
      <c r="EEW108" s="99"/>
      <c r="EEX108" s="137"/>
      <c r="EEY108" s="99"/>
      <c r="EEZ108" s="138"/>
      <c r="EFA108" s="139"/>
      <c r="EFB108" s="137"/>
      <c r="EFC108" s="140"/>
      <c r="EFD108" s="141"/>
      <c r="EFE108" s="141"/>
      <c r="EFF108" s="137"/>
      <c r="EFG108" s="137"/>
      <c r="EFH108" s="141"/>
      <c r="EFI108" s="137"/>
      <c r="EFJ108" s="137"/>
      <c r="EFK108" s="142"/>
      <c r="EFL108" s="143"/>
      <c r="EFM108" s="144"/>
      <c r="EFN108" s="137"/>
      <c r="EFO108" s="104"/>
      <c r="EFP108" s="243"/>
      <c r="EFQ108" s="146"/>
      <c r="EFR108" s="96"/>
      <c r="EFS108" s="136"/>
      <c r="EFT108" s="137"/>
      <c r="EFU108" s="137"/>
      <c r="EFV108" s="137"/>
      <c r="EFW108" s="137"/>
      <c r="EFX108" s="137"/>
      <c r="EFY108" s="99"/>
      <c r="EFZ108" s="137"/>
      <c r="EGA108" s="99"/>
      <c r="EGB108" s="138"/>
      <c r="EGC108" s="139"/>
      <c r="EGD108" s="137"/>
      <c r="EGE108" s="140"/>
      <c r="EGF108" s="141"/>
      <c r="EGG108" s="141"/>
      <c r="EGH108" s="137"/>
      <c r="EGI108" s="137"/>
      <c r="EGJ108" s="141"/>
      <c r="EGK108" s="137"/>
      <c r="EGL108" s="137"/>
      <c r="EGM108" s="142"/>
      <c r="EGN108" s="143"/>
      <c r="EGO108" s="144"/>
      <c r="EGP108" s="137"/>
      <c r="EGQ108" s="104"/>
      <c r="EGR108" s="243"/>
      <c r="EGS108" s="146"/>
      <c r="EGT108" s="96"/>
      <c r="EGU108" s="136"/>
      <c r="EGV108" s="137"/>
      <c r="EGW108" s="137"/>
      <c r="EGX108" s="137"/>
      <c r="EGY108" s="137"/>
      <c r="EGZ108" s="137"/>
      <c r="EHA108" s="99"/>
      <c r="EHB108" s="137"/>
      <c r="EHC108" s="99"/>
      <c r="EHD108" s="138"/>
      <c r="EHE108" s="139"/>
      <c r="EHF108" s="137"/>
      <c r="EHG108" s="140"/>
      <c r="EHH108" s="141"/>
      <c r="EHI108" s="141"/>
      <c r="EHJ108" s="137"/>
      <c r="EHK108" s="137"/>
      <c r="EHL108" s="141"/>
      <c r="EHM108" s="137"/>
      <c r="EHN108" s="137"/>
      <c r="EHO108" s="142"/>
      <c r="EHP108" s="143"/>
      <c r="EHQ108" s="144"/>
      <c r="EHR108" s="137"/>
      <c r="EHS108" s="104"/>
      <c r="EHT108" s="243"/>
      <c r="EHU108" s="146"/>
      <c r="EHV108" s="96"/>
      <c r="EHW108" s="136"/>
      <c r="EHX108" s="137"/>
      <c r="EHY108" s="137"/>
      <c r="EHZ108" s="137"/>
      <c r="EIA108" s="137"/>
      <c r="EIB108" s="137"/>
      <c r="EIC108" s="99"/>
      <c r="EID108" s="137"/>
      <c r="EIE108" s="99"/>
      <c r="EIF108" s="138"/>
      <c r="EIG108" s="139"/>
      <c r="EIH108" s="137"/>
      <c r="EII108" s="140"/>
      <c r="EIJ108" s="141"/>
      <c r="EIK108" s="141"/>
      <c r="EIL108" s="137"/>
      <c r="EIM108" s="137"/>
      <c r="EIN108" s="141"/>
      <c r="EIO108" s="137"/>
      <c r="EIP108" s="137"/>
      <c r="EIQ108" s="142"/>
      <c r="EIR108" s="143"/>
      <c r="EIS108" s="144"/>
      <c r="EIT108" s="137"/>
      <c r="EIU108" s="104"/>
      <c r="EIV108" s="243"/>
      <c r="EIW108" s="146"/>
      <c r="EIX108" s="96"/>
      <c r="EIY108" s="136"/>
      <c r="EIZ108" s="137"/>
      <c r="EJA108" s="137"/>
      <c r="EJB108" s="137"/>
      <c r="EJC108" s="137"/>
      <c r="EJD108" s="137"/>
      <c r="EJE108" s="99"/>
      <c r="EJF108" s="137"/>
      <c r="EJG108" s="99"/>
      <c r="EJH108" s="138"/>
      <c r="EJI108" s="139"/>
      <c r="EJJ108" s="137"/>
      <c r="EJK108" s="140"/>
      <c r="EJL108" s="141"/>
      <c r="EJM108" s="141"/>
      <c r="EJN108" s="137"/>
      <c r="EJO108" s="137"/>
      <c r="EJP108" s="141"/>
      <c r="EJQ108" s="137"/>
      <c r="EJR108" s="137"/>
      <c r="EJS108" s="142"/>
      <c r="EJT108" s="143"/>
      <c r="EJU108" s="144"/>
      <c r="EJV108" s="137"/>
      <c r="EJW108" s="104"/>
      <c r="EJX108" s="243"/>
      <c r="EJY108" s="146"/>
      <c r="EJZ108" s="96"/>
      <c r="EKA108" s="136"/>
      <c r="EKB108" s="137"/>
      <c r="EKC108" s="137"/>
      <c r="EKD108" s="137"/>
      <c r="EKE108" s="137"/>
      <c r="EKF108" s="137"/>
      <c r="EKG108" s="99"/>
      <c r="EKH108" s="137"/>
      <c r="EKI108" s="99"/>
      <c r="EKJ108" s="138"/>
      <c r="EKK108" s="139"/>
      <c r="EKL108" s="137"/>
      <c r="EKM108" s="140"/>
      <c r="EKN108" s="141"/>
      <c r="EKO108" s="141"/>
      <c r="EKP108" s="137"/>
      <c r="EKQ108" s="137"/>
      <c r="EKR108" s="141"/>
      <c r="EKS108" s="137"/>
      <c r="EKT108" s="137"/>
      <c r="EKU108" s="142"/>
      <c r="EKV108" s="143"/>
      <c r="EKW108" s="144"/>
      <c r="EKX108" s="137"/>
      <c r="EKY108" s="104"/>
      <c r="EKZ108" s="243"/>
      <c r="ELA108" s="146"/>
      <c r="ELB108" s="96"/>
      <c r="ELC108" s="136"/>
      <c r="ELD108" s="137"/>
      <c r="ELE108" s="137"/>
      <c r="ELF108" s="137"/>
      <c r="ELG108" s="137"/>
      <c r="ELH108" s="137"/>
      <c r="ELI108" s="99"/>
      <c r="ELJ108" s="137"/>
      <c r="ELK108" s="99"/>
      <c r="ELL108" s="138"/>
      <c r="ELM108" s="139"/>
      <c r="ELN108" s="137"/>
      <c r="ELO108" s="140"/>
      <c r="ELP108" s="141"/>
      <c r="ELQ108" s="141"/>
      <c r="ELR108" s="137"/>
      <c r="ELS108" s="137"/>
      <c r="ELT108" s="141"/>
      <c r="ELU108" s="137"/>
      <c r="ELV108" s="137"/>
      <c r="ELW108" s="142"/>
      <c r="ELX108" s="143"/>
      <c r="ELY108" s="144"/>
      <c r="ELZ108" s="137"/>
      <c r="EMA108" s="104"/>
      <c r="EMB108" s="243"/>
      <c r="EMC108" s="146"/>
      <c r="EMD108" s="96"/>
      <c r="EME108" s="136"/>
      <c r="EMF108" s="137"/>
      <c r="EMG108" s="137"/>
      <c r="EMH108" s="137"/>
      <c r="EMI108" s="137"/>
      <c r="EMJ108" s="137"/>
      <c r="EMK108" s="99"/>
      <c r="EML108" s="137"/>
      <c r="EMM108" s="99"/>
      <c r="EMN108" s="138"/>
      <c r="EMO108" s="139"/>
      <c r="EMP108" s="137"/>
      <c r="EMQ108" s="140"/>
      <c r="EMR108" s="141"/>
      <c r="EMS108" s="141"/>
      <c r="EMT108" s="137"/>
      <c r="EMU108" s="137"/>
      <c r="EMV108" s="141"/>
      <c r="EMW108" s="137"/>
      <c r="EMX108" s="137"/>
      <c r="EMY108" s="142"/>
      <c r="EMZ108" s="143"/>
      <c r="ENA108" s="144"/>
      <c r="ENB108" s="137"/>
      <c r="ENC108" s="104"/>
      <c r="END108" s="243"/>
      <c r="ENE108" s="146"/>
      <c r="ENF108" s="96"/>
      <c r="ENG108" s="136"/>
      <c r="ENH108" s="137"/>
      <c r="ENI108" s="137"/>
      <c r="ENJ108" s="137"/>
      <c r="ENK108" s="137"/>
      <c r="ENL108" s="137"/>
      <c r="ENM108" s="99"/>
      <c r="ENN108" s="137"/>
      <c r="ENO108" s="99"/>
      <c r="ENP108" s="138"/>
      <c r="ENQ108" s="139"/>
      <c r="ENR108" s="137"/>
      <c r="ENS108" s="140"/>
      <c r="ENT108" s="141"/>
      <c r="ENU108" s="141"/>
      <c r="ENV108" s="137"/>
      <c r="ENW108" s="137"/>
      <c r="ENX108" s="141"/>
      <c r="ENY108" s="137"/>
      <c r="ENZ108" s="137"/>
      <c r="EOA108" s="142"/>
      <c r="EOB108" s="143"/>
      <c r="EOC108" s="144"/>
      <c r="EOD108" s="137"/>
      <c r="EOE108" s="104"/>
      <c r="EOF108" s="243"/>
      <c r="EOG108" s="146"/>
      <c r="EOH108" s="96"/>
      <c r="EOI108" s="136"/>
      <c r="EOJ108" s="137"/>
      <c r="EOK108" s="137"/>
      <c r="EOL108" s="137"/>
      <c r="EOM108" s="137"/>
      <c r="EON108" s="137"/>
      <c r="EOO108" s="99"/>
      <c r="EOP108" s="137"/>
      <c r="EOQ108" s="99"/>
      <c r="EOR108" s="138"/>
      <c r="EOS108" s="139"/>
      <c r="EOT108" s="137"/>
      <c r="EOU108" s="140"/>
      <c r="EOV108" s="141"/>
      <c r="EOW108" s="141"/>
      <c r="EOX108" s="137"/>
      <c r="EOY108" s="137"/>
      <c r="EOZ108" s="141"/>
      <c r="EPA108" s="137"/>
      <c r="EPB108" s="137"/>
      <c r="EPC108" s="142"/>
      <c r="EPD108" s="143"/>
      <c r="EPE108" s="144"/>
      <c r="EPF108" s="137"/>
      <c r="EPG108" s="104"/>
      <c r="EPH108" s="243"/>
      <c r="EPI108" s="146"/>
      <c r="EPJ108" s="96"/>
      <c r="EPK108" s="136"/>
      <c r="EPL108" s="137"/>
      <c r="EPM108" s="137"/>
      <c r="EPN108" s="137"/>
      <c r="EPO108" s="137"/>
      <c r="EPP108" s="137"/>
      <c r="EPQ108" s="99"/>
      <c r="EPR108" s="137"/>
      <c r="EPS108" s="99"/>
      <c r="EPT108" s="138"/>
      <c r="EPU108" s="139"/>
      <c r="EPV108" s="137"/>
      <c r="EPW108" s="140"/>
      <c r="EPX108" s="141"/>
      <c r="EPY108" s="141"/>
      <c r="EPZ108" s="137"/>
      <c r="EQA108" s="137"/>
      <c r="EQB108" s="141"/>
      <c r="EQC108" s="137"/>
      <c r="EQD108" s="137"/>
      <c r="EQE108" s="142"/>
      <c r="EQF108" s="143"/>
      <c r="EQG108" s="144"/>
      <c r="EQH108" s="137"/>
      <c r="EQI108" s="104"/>
      <c r="EQJ108" s="243"/>
      <c r="EQK108" s="146"/>
      <c r="EQL108" s="96"/>
      <c r="EQM108" s="136"/>
      <c r="EQN108" s="137"/>
      <c r="EQO108" s="137"/>
      <c r="EQP108" s="137"/>
      <c r="EQQ108" s="137"/>
      <c r="EQR108" s="137"/>
      <c r="EQS108" s="99"/>
      <c r="EQT108" s="137"/>
      <c r="EQU108" s="99"/>
      <c r="EQV108" s="138"/>
      <c r="EQW108" s="139"/>
      <c r="EQX108" s="137"/>
      <c r="EQY108" s="140"/>
      <c r="EQZ108" s="141"/>
      <c r="ERA108" s="141"/>
      <c r="ERB108" s="137"/>
      <c r="ERC108" s="137"/>
      <c r="ERD108" s="141"/>
      <c r="ERE108" s="137"/>
      <c r="ERF108" s="137"/>
      <c r="ERG108" s="142"/>
      <c r="ERH108" s="143"/>
      <c r="ERI108" s="144"/>
      <c r="ERJ108" s="137"/>
      <c r="ERK108" s="104"/>
      <c r="ERL108" s="243"/>
      <c r="ERM108" s="146"/>
      <c r="ERN108" s="96"/>
      <c r="ERO108" s="136"/>
      <c r="ERP108" s="137"/>
      <c r="ERQ108" s="137"/>
      <c r="ERR108" s="137"/>
      <c r="ERS108" s="137"/>
      <c r="ERT108" s="137"/>
      <c r="ERU108" s="99"/>
      <c r="ERV108" s="137"/>
      <c r="ERW108" s="99"/>
      <c r="ERX108" s="138"/>
      <c r="ERY108" s="139"/>
      <c r="ERZ108" s="137"/>
      <c r="ESA108" s="140"/>
      <c r="ESB108" s="141"/>
      <c r="ESC108" s="141"/>
      <c r="ESD108" s="137"/>
      <c r="ESE108" s="137"/>
      <c r="ESF108" s="141"/>
      <c r="ESG108" s="137"/>
      <c r="ESH108" s="137"/>
      <c r="ESI108" s="142"/>
      <c r="ESJ108" s="143"/>
      <c r="ESK108" s="144"/>
      <c r="ESL108" s="137"/>
      <c r="ESM108" s="104"/>
      <c r="ESN108" s="243"/>
      <c r="ESO108" s="146"/>
      <c r="ESP108" s="96"/>
      <c r="ESQ108" s="136"/>
      <c r="ESR108" s="137"/>
      <c r="ESS108" s="137"/>
      <c r="EST108" s="137"/>
      <c r="ESU108" s="137"/>
      <c r="ESV108" s="137"/>
      <c r="ESW108" s="99"/>
      <c r="ESX108" s="137"/>
      <c r="ESY108" s="99"/>
      <c r="ESZ108" s="138"/>
      <c r="ETA108" s="139"/>
      <c r="ETB108" s="137"/>
      <c r="ETC108" s="140"/>
      <c r="ETD108" s="141"/>
      <c r="ETE108" s="141"/>
      <c r="ETF108" s="137"/>
      <c r="ETG108" s="137"/>
      <c r="ETH108" s="141"/>
      <c r="ETI108" s="137"/>
      <c r="ETJ108" s="137"/>
      <c r="ETK108" s="142"/>
      <c r="ETL108" s="143"/>
      <c r="ETM108" s="144"/>
      <c r="ETN108" s="137"/>
      <c r="ETO108" s="104"/>
      <c r="ETP108" s="243"/>
      <c r="ETQ108" s="146"/>
      <c r="ETR108" s="96"/>
      <c r="ETS108" s="136"/>
      <c r="ETT108" s="137"/>
      <c r="ETU108" s="137"/>
      <c r="ETV108" s="137"/>
      <c r="ETW108" s="137"/>
      <c r="ETX108" s="137"/>
      <c r="ETY108" s="99"/>
      <c r="ETZ108" s="137"/>
      <c r="EUA108" s="99"/>
      <c r="EUB108" s="138"/>
      <c r="EUC108" s="139"/>
      <c r="EUD108" s="137"/>
      <c r="EUE108" s="140"/>
      <c r="EUF108" s="141"/>
      <c r="EUG108" s="141"/>
      <c r="EUH108" s="137"/>
      <c r="EUI108" s="137"/>
      <c r="EUJ108" s="141"/>
      <c r="EUK108" s="137"/>
      <c r="EUL108" s="137"/>
      <c r="EUM108" s="142"/>
      <c r="EUN108" s="143"/>
      <c r="EUO108" s="144"/>
      <c r="EUP108" s="137"/>
      <c r="EUQ108" s="104"/>
      <c r="EUR108" s="243"/>
      <c r="EUS108" s="146"/>
      <c r="EUT108" s="96"/>
      <c r="EUU108" s="136"/>
      <c r="EUV108" s="137"/>
      <c r="EUW108" s="137"/>
      <c r="EUX108" s="137"/>
      <c r="EUY108" s="137"/>
      <c r="EUZ108" s="137"/>
      <c r="EVA108" s="99"/>
      <c r="EVB108" s="137"/>
      <c r="EVC108" s="99"/>
      <c r="EVD108" s="138"/>
      <c r="EVE108" s="139"/>
      <c r="EVF108" s="137"/>
      <c r="EVG108" s="140"/>
      <c r="EVH108" s="141"/>
      <c r="EVI108" s="141"/>
      <c r="EVJ108" s="137"/>
      <c r="EVK108" s="137"/>
      <c r="EVL108" s="141"/>
      <c r="EVM108" s="137"/>
      <c r="EVN108" s="137"/>
      <c r="EVO108" s="142"/>
      <c r="EVP108" s="143"/>
      <c r="EVQ108" s="144"/>
      <c r="EVR108" s="137"/>
      <c r="EVS108" s="104"/>
      <c r="EVT108" s="243"/>
      <c r="EVU108" s="146"/>
      <c r="EVV108" s="96"/>
      <c r="EVW108" s="136"/>
      <c r="EVX108" s="137"/>
      <c r="EVY108" s="137"/>
      <c r="EVZ108" s="137"/>
      <c r="EWA108" s="137"/>
      <c r="EWB108" s="137"/>
      <c r="EWC108" s="99"/>
      <c r="EWD108" s="137"/>
      <c r="EWE108" s="99"/>
      <c r="EWF108" s="138"/>
      <c r="EWG108" s="139"/>
      <c r="EWH108" s="137"/>
      <c r="EWI108" s="140"/>
      <c r="EWJ108" s="141"/>
      <c r="EWK108" s="141"/>
      <c r="EWL108" s="137"/>
      <c r="EWM108" s="137"/>
      <c r="EWN108" s="141"/>
      <c r="EWO108" s="137"/>
      <c r="EWP108" s="137"/>
      <c r="EWQ108" s="142"/>
      <c r="EWR108" s="143"/>
      <c r="EWS108" s="144"/>
      <c r="EWT108" s="137"/>
      <c r="EWU108" s="104"/>
      <c r="EWV108" s="243"/>
      <c r="EWW108" s="146"/>
      <c r="EWX108" s="96"/>
      <c r="EWY108" s="136"/>
      <c r="EWZ108" s="137"/>
      <c r="EXA108" s="137"/>
      <c r="EXB108" s="137"/>
      <c r="EXC108" s="137"/>
      <c r="EXD108" s="137"/>
      <c r="EXE108" s="99"/>
      <c r="EXF108" s="137"/>
      <c r="EXG108" s="99"/>
      <c r="EXH108" s="138"/>
      <c r="EXI108" s="139"/>
      <c r="EXJ108" s="137"/>
      <c r="EXK108" s="140"/>
      <c r="EXL108" s="141"/>
      <c r="EXM108" s="141"/>
      <c r="EXN108" s="137"/>
      <c r="EXO108" s="137"/>
      <c r="EXP108" s="141"/>
      <c r="EXQ108" s="137"/>
      <c r="EXR108" s="137"/>
      <c r="EXS108" s="142"/>
      <c r="EXT108" s="143"/>
      <c r="EXU108" s="144"/>
      <c r="EXV108" s="137"/>
      <c r="EXW108" s="104"/>
      <c r="EXX108" s="243"/>
      <c r="EXY108" s="146"/>
      <c r="EXZ108" s="96"/>
      <c r="EYA108" s="136"/>
      <c r="EYB108" s="137"/>
      <c r="EYC108" s="137"/>
      <c r="EYD108" s="137"/>
      <c r="EYE108" s="137"/>
      <c r="EYF108" s="137"/>
      <c r="EYG108" s="99"/>
      <c r="EYH108" s="137"/>
      <c r="EYI108" s="99"/>
      <c r="EYJ108" s="138"/>
      <c r="EYK108" s="139"/>
      <c r="EYL108" s="137"/>
      <c r="EYM108" s="140"/>
      <c r="EYN108" s="141"/>
      <c r="EYO108" s="141"/>
      <c r="EYP108" s="137"/>
      <c r="EYQ108" s="137"/>
      <c r="EYR108" s="141"/>
      <c r="EYS108" s="137"/>
      <c r="EYT108" s="137"/>
      <c r="EYU108" s="142"/>
      <c r="EYV108" s="143"/>
      <c r="EYW108" s="144"/>
      <c r="EYX108" s="137"/>
      <c r="EYY108" s="104"/>
      <c r="EYZ108" s="243"/>
      <c r="EZA108" s="146"/>
      <c r="EZB108" s="96"/>
      <c r="EZC108" s="136"/>
      <c r="EZD108" s="137"/>
      <c r="EZE108" s="137"/>
      <c r="EZF108" s="137"/>
      <c r="EZG108" s="137"/>
      <c r="EZH108" s="137"/>
      <c r="EZI108" s="99"/>
      <c r="EZJ108" s="137"/>
      <c r="EZK108" s="99"/>
      <c r="EZL108" s="138"/>
      <c r="EZM108" s="139"/>
      <c r="EZN108" s="137"/>
      <c r="EZO108" s="140"/>
      <c r="EZP108" s="141"/>
      <c r="EZQ108" s="141"/>
      <c r="EZR108" s="137"/>
      <c r="EZS108" s="137"/>
      <c r="EZT108" s="141"/>
      <c r="EZU108" s="137"/>
      <c r="EZV108" s="137"/>
      <c r="EZW108" s="142"/>
      <c r="EZX108" s="143"/>
      <c r="EZY108" s="144"/>
      <c r="EZZ108" s="137"/>
      <c r="FAA108" s="104"/>
      <c r="FAB108" s="243"/>
      <c r="FAC108" s="146"/>
      <c r="FAD108" s="96"/>
      <c r="FAE108" s="136"/>
      <c r="FAF108" s="137"/>
      <c r="FAG108" s="137"/>
      <c r="FAH108" s="137"/>
      <c r="FAI108" s="137"/>
      <c r="FAJ108" s="137"/>
      <c r="FAK108" s="99"/>
      <c r="FAL108" s="137"/>
      <c r="FAM108" s="99"/>
      <c r="FAN108" s="138"/>
      <c r="FAO108" s="139"/>
      <c r="FAP108" s="137"/>
      <c r="FAQ108" s="140"/>
      <c r="FAR108" s="141"/>
      <c r="FAS108" s="141"/>
      <c r="FAT108" s="137"/>
      <c r="FAU108" s="137"/>
      <c r="FAV108" s="141"/>
      <c r="FAW108" s="137"/>
      <c r="FAX108" s="137"/>
      <c r="FAY108" s="142"/>
      <c r="FAZ108" s="143"/>
      <c r="FBA108" s="144"/>
      <c r="FBB108" s="137"/>
      <c r="FBC108" s="104"/>
      <c r="FBD108" s="243"/>
      <c r="FBE108" s="146"/>
      <c r="FBF108" s="96"/>
      <c r="FBG108" s="136"/>
      <c r="FBH108" s="137"/>
      <c r="FBI108" s="137"/>
      <c r="FBJ108" s="137"/>
      <c r="FBK108" s="137"/>
      <c r="FBL108" s="137"/>
      <c r="FBM108" s="99"/>
      <c r="FBN108" s="137"/>
      <c r="FBO108" s="99"/>
      <c r="FBP108" s="138"/>
      <c r="FBQ108" s="139"/>
      <c r="FBR108" s="137"/>
      <c r="FBS108" s="140"/>
      <c r="FBT108" s="141"/>
      <c r="FBU108" s="141"/>
      <c r="FBV108" s="137"/>
      <c r="FBW108" s="137"/>
      <c r="FBX108" s="141"/>
      <c r="FBY108" s="137"/>
      <c r="FBZ108" s="137"/>
      <c r="FCA108" s="142"/>
      <c r="FCB108" s="143"/>
      <c r="FCC108" s="144"/>
      <c r="FCD108" s="137"/>
      <c r="FCE108" s="104"/>
      <c r="FCF108" s="243"/>
      <c r="FCG108" s="146"/>
      <c r="FCH108" s="96"/>
      <c r="FCI108" s="136"/>
      <c r="FCJ108" s="137"/>
      <c r="FCK108" s="137"/>
      <c r="FCL108" s="137"/>
      <c r="FCM108" s="137"/>
      <c r="FCN108" s="137"/>
      <c r="FCO108" s="99"/>
      <c r="FCP108" s="137"/>
      <c r="FCQ108" s="99"/>
      <c r="FCR108" s="138"/>
      <c r="FCS108" s="139"/>
      <c r="FCT108" s="137"/>
      <c r="FCU108" s="140"/>
      <c r="FCV108" s="141"/>
      <c r="FCW108" s="141"/>
      <c r="FCX108" s="137"/>
      <c r="FCY108" s="137"/>
      <c r="FCZ108" s="141"/>
      <c r="FDA108" s="137"/>
      <c r="FDB108" s="137"/>
      <c r="FDC108" s="142"/>
      <c r="FDD108" s="143"/>
      <c r="FDE108" s="144"/>
      <c r="FDF108" s="137"/>
      <c r="FDG108" s="104"/>
      <c r="FDH108" s="243"/>
      <c r="FDI108" s="146"/>
      <c r="FDJ108" s="96"/>
      <c r="FDK108" s="136"/>
      <c r="FDL108" s="137"/>
      <c r="FDM108" s="137"/>
      <c r="FDN108" s="137"/>
      <c r="FDO108" s="137"/>
      <c r="FDP108" s="137"/>
      <c r="FDQ108" s="99"/>
      <c r="FDR108" s="137"/>
      <c r="FDS108" s="99"/>
      <c r="FDT108" s="138"/>
      <c r="FDU108" s="139"/>
      <c r="FDV108" s="137"/>
      <c r="FDW108" s="140"/>
      <c r="FDX108" s="141"/>
      <c r="FDY108" s="141"/>
      <c r="FDZ108" s="137"/>
      <c r="FEA108" s="137"/>
      <c r="FEB108" s="141"/>
      <c r="FEC108" s="137"/>
      <c r="FED108" s="137"/>
      <c r="FEE108" s="142"/>
      <c r="FEF108" s="143"/>
      <c r="FEG108" s="144"/>
      <c r="FEH108" s="137"/>
      <c r="FEI108" s="104"/>
      <c r="FEJ108" s="243"/>
      <c r="FEK108" s="146"/>
      <c r="FEL108" s="96"/>
      <c r="FEM108" s="136"/>
      <c r="FEN108" s="137"/>
      <c r="FEO108" s="137"/>
      <c r="FEP108" s="137"/>
      <c r="FEQ108" s="137"/>
      <c r="FER108" s="137"/>
      <c r="FES108" s="99"/>
      <c r="FET108" s="137"/>
      <c r="FEU108" s="99"/>
      <c r="FEV108" s="138"/>
      <c r="FEW108" s="139"/>
      <c r="FEX108" s="137"/>
      <c r="FEY108" s="140"/>
      <c r="FEZ108" s="141"/>
      <c r="FFA108" s="141"/>
      <c r="FFB108" s="137"/>
      <c r="FFC108" s="137"/>
      <c r="FFD108" s="141"/>
      <c r="FFE108" s="137"/>
      <c r="FFF108" s="137"/>
      <c r="FFG108" s="142"/>
      <c r="FFH108" s="143"/>
      <c r="FFI108" s="144"/>
      <c r="FFJ108" s="137"/>
      <c r="FFK108" s="104"/>
      <c r="FFL108" s="243"/>
      <c r="FFM108" s="146"/>
      <c r="FFN108" s="96"/>
      <c r="FFO108" s="136"/>
      <c r="FFP108" s="137"/>
      <c r="FFQ108" s="137"/>
      <c r="FFR108" s="137"/>
      <c r="FFS108" s="137"/>
      <c r="FFT108" s="137"/>
      <c r="FFU108" s="99"/>
      <c r="FFV108" s="137"/>
      <c r="FFW108" s="99"/>
      <c r="FFX108" s="138"/>
      <c r="FFY108" s="139"/>
      <c r="FFZ108" s="137"/>
      <c r="FGA108" s="140"/>
      <c r="FGB108" s="141"/>
      <c r="FGC108" s="141"/>
      <c r="FGD108" s="137"/>
      <c r="FGE108" s="137"/>
      <c r="FGF108" s="141"/>
      <c r="FGG108" s="137"/>
      <c r="FGH108" s="137"/>
      <c r="FGI108" s="142"/>
      <c r="FGJ108" s="143"/>
      <c r="FGK108" s="144"/>
      <c r="FGL108" s="137"/>
      <c r="FGM108" s="104"/>
      <c r="FGN108" s="243"/>
      <c r="FGO108" s="146"/>
      <c r="FGP108" s="96"/>
      <c r="FGQ108" s="136"/>
      <c r="FGR108" s="137"/>
      <c r="FGS108" s="137"/>
      <c r="FGT108" s="137"/>
      <c r="FGU108" s="137"/>
      <c r="FGV108" s="137"/>
      <c r="FGW108" s="99"/>
      <c r="FGX108" s="137"/>
      <c r="FGY108" s="99"/>
      <c r="FGZ108" s="138"/>
      <c r="FHA108" s="139"/>
      <c r="FHB108" s="137"/>
      <c r="FHC108" s="140"/>
      <c r="FHD108" s="141"/>
      <c r="FHE108" s="141"/>
      <c r="FHF108" s="137"/>
      <c r="FHG108" s="137"/>
      <c r="FHH108" s="141"/>
      <c r="FHI108" s="137"/>
      <c r="FHJ108" s="137"/>
      <c r="FHK108" s="142"/>
      <c r="FHL108" s="143"/>
      <c r="FHM108" s="144"/>
      <c r="FHN108" s="137"/>
      <c r="FHO108" s="104"/>
      <c r="FHP108" s="243"/>
      <c r="FHQ108" s="146"/>
      <c r="FHR108" s="96"/>
      <c r="FHS108" s="136"/>
      <c r="FHT108" s="137"/>
      <c r="FHU108" s="137"/>
      <c r="FHV108" s="137"/>
      <c r="FHW108" s="137"/>
      <c r="FHX108" s="137"/>
      <c r="FHY108" s="99"/>
      <c r="FHZ108" s="137"/>
      <c r="FIA108" s="99"/>
      <c r="FIB108" s="138"/>
      <c r="FIC108" s="139"/>
      <c r="FID108" s="137"/>
      <c r="FIE108" s="140"/>
      <c r="FIF108" s="141"/>
      <c r="FIG108" s="141"/>
      <c r="FIH108" s="137"/>
      <c r="FII108" s="137"/>
      <c r="FIJ108" s="141"/>
      <c r="FIK108" s="137"/>
      <c r="FIL108" s="137"/>
      <c r="FIM108" s="142"/>
      <c r="FIN108" s="143"/>
      <c r="FIO108" s="144"/>
      <c r="FIP108" s="137"/>
      <c r="FIQ108" s="104"/>
      <c r="FIR108" s="243"/>
      <c r="FIS108" s="146"/>
      <c r="FIT108" s="96"/>
      <c r="FIU108" s="136"/>
      <c r="FIV108" s="137"/>
      <c r="FIW108" s="137"/>
      <c r="FIX108" s="137"/>
      <c r="FIY108" s="137"/>
      <c r="FIZ108" s="137"/>
      <c r="FJA108" s="99"/>
      <c r="FJB108" s="137"/>
      <c r="FJC108" s="99"/>
      <c r="FJD108" s="138"/>
      <c r="FJE108" s="139"/>
      <c r="FJF108" s="137"/>
      <c r="FJG108" s="140"/>
      <c r="FJH108" s="141"/>
      <c r="FJI108" s="141"/>
      <c r="FJJ108" s="137"/>
      <c r="FJK108" s="137"/>
      <c r="FJL108" s="141"/>
      <c r="FJM108" s="137"/>
      <c r="FJN108" s="137"/>
      <c r="FJO108" s="142"/>
      <c r="FJP108" s="143"/>
      <c r="FJQ108" s="144"/>
      <c r="FJR108" s="137"/>
      <c r="FJS108" s="104"/>
      <c r="FJT108" s="243"/>
      <c r="FJU108" s="146"/>
      <c r="FJV108" s="96"/>
      <c r="FJW108" s="136"/>
      <c r="FJX108" s="137"/>
      <c r="FJY108" s="137"/>
      <c r="FJZ108" s="137"/>
      <c r="FKA108" s="137"/>
      <c r="FKB108" s="137"/>
      <c r="FKC108" s="99"/>
      <c r="FKD108" s="137"/>
      <c r="FKE108" s="99"/>
      <c r="FKF108" s="138"/>
      <c r="FKG108" s="139"/>
      <c r="FKH108" s="137"/>
      <c r="FKI108" s="140"/>
      <c r="FKJ108" s="141"/>
      <c r="FKK108" s="141"/>
      <c r="FKL108" s="137"/>
      <c r="FKM108" s="137"/>
      <c r="FKN108" s="141"/>
      <c r="FKO108" s="137"/>
      <c r="FKP108" s="137"/>
      <c r="FKQ108" s="142"/>
      <c r="FKR108" s="143"/>
      <c r="FKS108" s="144"/>
      <c r="FKT108" s="137"/>
      <c r="FKU108" s="104"/>
      <c r="FKV108" s="243"/>
      <c r="FKW108" s="146"/>
      <c r="FKX108" s="96"/>
      <c r="FKY108" s="136"/>
      <c r="FKZ108" s="137"/>
      <c r="FLA108" s="137"/>
      <c r="FLB108" s="137"/>
      <c r="FLC108" s="137"/>
      <c r="FLD108" s="137"/>
      <c r="FLE108" s="99"/>
      <c r="FLF108" s="137"/>
      <c r="FLG108" s="99"/>
      <c r="FLH108" s="138"/>
      <c r="FLI108" s="139"/>
      <c r="FLJ108" s="137"/>
      <c r="FLK108" s="140"/>
      <c r="FLL108" s="141"/>
      <c r="FLM108" s="141"/>
      <c r="FLN108" s="137"/>
      <c r="FLO108" s="137"/>
      <c r="FLP108" s="141"/>
      <c r="FLQ108" s="137"/>
      <c r="FLR108" s="137"/>
      <c r="FLS108" s="142"/>
      <c r="FLT108" s="143"/>
      <c r="FLU108" s="144"/>
      <c r="FLV108" s="137"/>
      <c r="FLW108" s="104"/>
      <c r="FLX108" s="243"/>
      <c r="FLY108" s="146"/>
      <c r="FLZ108" s="96"/>
      <c r="FMA108" s="136"/>
      <c r="FMB108" s="137"/>
      <c r="FMC108" s="137"/>
      <c r="FMD108" s="137"/>
      <c r="FME108" s="137"/>
      <c r="FMF108" s="137"/>
      <c r="FMG108" s="99"/>
      <c r="FMH108" s="137"/>
      <c r="FMI108" s="99"/>
      <c r="FMJ108" s="138"/>
      <c r="FMK108" s="139"/>
      <c r="FML108" s="137"/>
      <c r="FMM108" s="140"/>
      <c r="FMN108" s="141"/>
      <c r="FMO108" s="141"/>
      <c r="FMP108" s="137"/>
      <c r="FMQ108" s="137"/>
      <c r="FMR108" s="141"/>
      <c r="FMS108" s="137"/>
      <c r="FMT108" s="137"/>
      <c r="FMU108" s="142"/>
      <c r="FMV108" s="143"/>
      <c r="FMW108" s="144"/>
      <c r="FMX108" s="137"/>
      <c r="FMY108" s="104"/>
      <c r="FMZ108" s="243"/>
      <c r="FNA108" s="146"/>
      <c r="FNB108" s="96"/>
      <c r="FNC108" s="136"/>
      <c r="FND108" s="137"/>
      <c r="FNE108" s="137"/>
      <c r="FNF108" s="137"/>
      <c r="FNG108" s="137"/>
      <c r="FNH108" s="137"/>
      <c r="FNI108" s="99"/>
      <c r="FNJ108" s="137"/>
      <c r="FNK108" s="99"/>
      <c r="FNL108" s="138"/>
      <c r="FNM108" s="139"/>
      <c r="FNN108" s="137"/>
      <c r="FNO108" s="140"/>
      <c r="FNP108" s="141"/>
      <c r="FNQ108" s="141"/>
      <c r="FNR108" s="137"/>
      <c r="FNS108" s="137"/>
      <c r="FNT108" s="141"/>
      <c r="FNU108" s="137"/>
      <c r="FNV108" s="137"/>
      <c r="FNW108" s="142"/>
      <c r="FNX108" s="143"/>
      <c r="FNY108" s="144"/>
      <c r="FNZ108" s="137"/>
      <c r="FOA108" s="104"/>
      <c r="FOB108" s="243"/>
      <c r="FOC108" s="146"/>
      <c r="FOD108" s="96"/>
      <c r="FOE108" s="136"/>
      <c r="FOF108" s="137"/>
      <c r="FOG108" s="137"/>
      <c r="FOH108" s="137"/>
      <c r="FOI108" s="137"/>
      <c r="FOJ108" s="137"/>
      <c r="FOK108" s="99"/>
      <c r="FOL108" s="137"/>
      <c r="FOM108" s="99"/>
      <c r="FON108" s="138"/>
      <c r="FOO108" s="139"/>
      <c r="FOP108" s="137"/>
      <c r="FOQ108" s="140"/>
      <c r="FOR108" s="141"/>
      <c r="FOS108" s="141"/>
      <c r="FOT108" s="137"/>
      <c r="FOU108" s="137"/>
      <c r="FOV108" s="141"/>
      <c r="FOW108" s="137"/>
      <c r="FOX108" s="137"/>
      <c r="FOY108" s="142"/>
      <c r="FOZ108" s="143"/>
      <c r="FPA108" s="144"/>
      <c r="FPB108" s="137"/>
      <c r="FPC108" s="104"/>
      <c r="FPD108" s="243"/>
      <c r="FPE108" s="146"/>
      <c r="FPF108" s="96"/>
      <c r="FPG108" s="136"/>
      <c r="FPH108" s="137"/>
      <c r="FPI108" s="137"/>
      <c r="FPJ108" s="137"/>
      <c r="FPK108" s="137"/>
      <c r="FPL108" s="137"/>
      <c r="FPM108" s="99"/>
      <c r="FPN108" s="137"/>
      <c r="FPO108" s="99"/>
      <c r="FPP108" s="138"/>
      <c r="FPQ108" s="139"/>
      <c r="FPR108" s="137"/>
      <c r="FPS108" s="140"/>
      <c r="FPT108" s="141"/>
      <c r="FPU108" s="141"/>
      <c r="FPV108" s="137"/>
      <c r="FPW108" s="137"/>
      <c r="FPX108" s="141"/>
      <c r="FPY108" s="137"/>
      <c r="FPZ108" s="137"/>
      <c r="FQA108" s="142"/>
      <c r="FQB108" s="143"/>
      <c r="FQC108" s="144"/>
      <c r="FQD108" s="137"/>
      <c r="FQE108" s="104"/>
      <c r="FQF108" s="243"/>
      <c r="FQG108" s="146"/>
      <c r="FQH108" s="96"/>
      <c r="FQI108" s="136"/>
      <c r="FQJ108" s="137"/>
      <c r="FQK108" s="137"/>
      <c r="FQL108" s="137"/>
      <c r="FQM108" s="137"/>
      <c r="FQN108" s="137"/>
      <c r="FQO108" s="99"/>
      <c r="FQP108" s="137"/>
      <c r="FQQ108" s="99"/>
      <c r="FQR108" s="138"/>
      <c r="FQS108" s="139"/>
      <c r="FQT108" s="137"/>
      <c r="FQU108" s="140"/>
      <c r="FQV108" s="141"/>
      <c r="FQW108" s="141"/>
      <c r="FQX108" s="137"/>
      <c r="FQY108" s="137"/>
      <c r="FQZ108" s="141"/>
      <c r="FRA108" s="137"/>
      <c r="FRB108" s="137"/>
      <c r="FRC108" s="142"/>
      <c r="FRD108" s="143"/>
      <c r="FRE108" s="144"/>
      <c r="FRF108" s="137"/>
      <c r="FRG108" s="104"/>
      <c r="FRH108" s="243"/>
      <c r="FRI108" s="146"/>
      <c r="FRJ108" s="96"/>
      <c r="FRK108" s="136"/>
      <c r="FRL108" s="137"/>
      <c r="FRM108" s="137"/>
      <c r="FRN108" s="137"/>
      <c r="FRO108" s="137"/>
      <c r="FRP108" s="137"/>
      <c r="FRQ108" s="99"/>
      <c r="FRR108" s="137"/>
      <c r="FRS108" s="99"/>
      <c r="FRT108" s="138"/>
      <c r="FRU108" s="139"/>
      <c r="FRV108" s="137"/>
      <c r="FRW108" s="140"/>
      <c r="FRX108" s="141"/>
      <c r="FRY108" s="141"/>
      <c r="FRZ108" s="137"/>
      <c r="FSA108" s="137"/>
      <c r="FSB108" s="141"/>
      <c r="FSC108" s="137"/>
      <c r="FSD108" s="137"/>
      <c r="FSE108" s="142"/>
      <c r="FSF108" s="143"/>
      <c r="FSG108" s="144"/>
      <c r="FSH108" s="137"/>
      <c r="FSI108" s="104"/>
      <c r="FSJ108" s="243"/>
      <c r="FSK108" s="146"/>
      <c r="FSL108" s="96"/>
      <c r="FSM108" s="136"/>
      <c r="FSN108" s="137"/>
      <c r="FSO108" s="137"/>
      <c r="FSP108" s="137"/>
      <c r="FSQ108" s="137"/>
      <c r="FSR108" s="137"/>
      <c r="FSS108" s="99"/>
      <c r="FST108" s="137"/>
      <c r="FSU108" s="99"/>
      <c r="FSV108" s="138"/>
      <c r="FSW108" s="139"/>
      <c r="FSX108" s="137"/>
      <c r="FSY108" s="140"/>
      <c r="FSZ108" s="141"/>
      <c r="FTA108" s="141"/>
      <c r="FTB108" s="137"/>
      <c r="FTC108" s="137"/>
      <c r="FTD108" s="141"/>
      <c r="FTE108" s="137"/>
      <c r="FTF108" s="137"/>
      <c r="FTG108" s="142"/>
      <c r="FTH108" s="143"/>
      <c r="FTI108" s="144"/>
      <c r="FTJ108" s="137"/>
      <c r="FTK108" s="104"/>
      <c r="FTL108" s="243"/>
      <c r="FTM108" s="146"/>
      <c r="FTN108" s="96"/>
      <c r="FTO108" s="136"/>
      <c r="FTP108" s="137"/>
      <c r="FTQ108" s="137"/>
      <c r="FTR108" s="137"/>
      <c r="FTS108" s="137"/>
      <c r="FTT108" s="137"/>
      <c r="FTU108" s="99"/>
      <c r="FTV108" s="137"/>
      <c r="FTW108" s="99"/>
      <c r="FTX108" s="138"/>
      <c r="FTY108" s="139"/>
      <c r="FTZ108" s="137"/>
      <c r="FUA108" s="140"/>
      <c r="FUB108" s="141"/>
      <c r="FUC108" s="141"/>
      <c r="FUD108" s="137"/>
      <c r="FUE108" s="137"/>
      <c r="FUF108" s="141"/>
      <c r="FUG108" s="137"/>
      <c r="FUH108" s="137"/>
      <c r="FUI108" s="142"/>
      <c r="FUJ108" s="143"/>
      <c r="FUK108" s="144"/>
      <c r="FUL108" s="137"/>
      <c r="FUM108" s="104"/>
      <c r="FUN108" s="243"/>
      <c r="FUO108" s="146"/>
      <c r="FUP108" s="96"/>
      <c r="FUQ108" s="136"/>
      <c r="FUR108" s="137"/>
      <c r="FUS108" s="137"/>
      <c r="FUT108" s="137"/>
      <c r="FUU108" s="137"/>
      <c r="FUV108" s="137"/>
      <c r="FUW108" s="99"/>
      <c r="FUX108" s="137"/>
      <c r="FUY108" s="99"/>
      <c r="FUZ108" s="138"/>
      <c r="FVA108" s="139"/>
      <c r="FVB108" s="137"/>
      <c r="FVC108" s="140"/>
      <c r="FVD108" s="141"/>
      <c r="FVE108" s="141"/>
      <c r="FVF108" s="137"/>
      <c r="FVG108" s="137"/>
      <c r="FVH108" s="141"/>
      <c r="FVI108" s="137"/>
      <c r="FVJ108" s="137"/>
      <c r="FVK108" s="142"/>
      <c r="FVL108" s="143"/>
      <c r="FVM108" s="144"/>
      <c r="FVN108" s="137"/>
      <c r="FVO108" s="104"/>
      <c r="FVP108" s="243"/>
      <c r="FVQ108" s="146"/>
      <c r="FVR108" s="96"/>
      <c r="FVS108" s="136"/>
      <c r="FVT108" s="137"/>
      <c r="FVU108" s="137"/>
      <c r="FVV108" s="137"/>
      <c r="FVW108" s="137"/>
      <c r="FVX108" s="137"/>
      <c r="FVY108" s="99"/>
      <c r="FVZ108" s="137"/>
      <c r="FWA108" s="99"/>
      <c r="FWB108" s="138"/>
      <c r="FWC108" s="139"/>
      <c r="FWD108" s="137"/>
      <c r="FWE108" s="140"/>
      <c r="FWF108" s="141"/>
      <c r="FWG108" s="141"/>
      <c r="FWH108" s="137"/>
      <c r="FWI108" s="137"/>
      <c r="FWJ108" s="141"/>
      <c r="FWK108" s="137"/>
      <c r="FWL108" s="137"/>
      <c r="FWM108" s="142"/>
      <c r="FWN108" s="143"/>
      <c r="FWO108" s="144"/>
      <c r="FWP108" s="137"/>
      <c r="FWQ108" s="104"/>
      <c r="FWR108" s="243"/>
      <c r="FWS108" s="146"/>
      <c r="FWT108" s="96"/>
      <c r="FWU108" s="136"/>
      <c r="FWV108" s="137"/>
      <c r="FWW108" s="137"/>
      <c r="FWX108" s="137"/>
      <c r="FWY108" s="137"/>
      <c r="FWZ108" s="137"/>
      <c r="FXA108" s="99"/>
      <c r="FXB108" s="137"/>
      <c r="FXC108" s="99"/>
      <c r="FXD108" s="138"/>
      <c r="FXE108" s="139"/>
      <c r="FXF108" s="137"/>
      <c r="FXG108" s="140"/>
      <c r="FXH108" s="141"/>
      <c r="FXI108" s="141"/>
      <c r="FXJ108" s="137"/>
      <c r="FXK108" s="137"/>
      <c r="FXL108" s="141"/>
      <c r="FXM108" s="137"/>
      <c r="FXN108" s="137"/>
      <c r="FXO108" s="142"/>
      <c r="FXP108" s="143"/>
      <c r="FXQ108" s="144"/>
      <c r="FXR108" s="137"/>
      <c r="FXS108" s="104"/>
      <c r="FXT108" s="243"/>
      <c r="FXU108" s="146"/>
      <c r="FXV108" s="96"/>
      <c r="FXW108" s="136"/>
      <c r="FXX108" s="137"/>
      <c r="FXY108" s="137"/>
      <c r="FXZ108" s="137"/>
      <c r="FYA108" s="137"/>
      <c r="FYB108" s="137"/>
      <c r="FYC108" s="99"/>
      <c r="FYD108" s="137"/>
      <c r="FYE108" s="99"/>
      <c r="FYF108" s="138"/>
      <c r="FYG108" s="139"/>
      <c r="FYH108" s="137"/>
      <c r="FYI108" s="140"/>
      <c r="FYJ108" s="141"/>
      <c r="FYK108" s="141"/>
      <c r="FYL108" s="137"/>
      <c r="FYM108" s="137"/>
      <c r="FYN108" s="141"/>
      <c r="FYO108" s="137"/>
      <c r="FYP108" s="137"/>
      <c r="FYQ108" s="142"/>
      <c r="FYR108" s="143"/>
      <c r="FYS108" s="144"/>
      <c r="FYT108" s="137"/>
      <c r="FYU108" s="104"/>
      <c r="FYV108" s="243"/>
      <c r="FYW108" s="146"/>
      <c r="FYX108" s="96"/>
      <c r="FYY108" s="136"/>
      <c r="FYZ108" s="137"/>
      <c r="FZA108" s="137"/>
      <c r="FZB108" s="137"/>
      <c r="FZC108" s="137"/>
      <c r="FZD108" s="137"/>
      <c r="FZE108" s="99"/>
      <c r="FZF108" s="137"/>
      <c r="FZG108" s="99"/>
      <c r="FZH108" s="138"/>
      <c r="FZI108" s="139"/>
      <c r="FZJ108" s="137"/>
      <c r="FZK108" s="140"/>
      <c r="FZL108" s="141"/>
      <c r="FZM108" s="141"/>
      <c r="FZN108" s="137"/>
      <c r="FZO108" s="137"/>
      <c r="FZP108" s="141"/>
      <c r="FZQ108" s="137"/>
      <c r="FZR108" s="137"/>
      <c r="FZS108" s="142"/>
      <c r="FZT108" s="143"/>
      <c r="FZU108" s="144"/>
      <c r="FZV108" s="137"/>
      <c r="FZW108" s="104"/>
      <c r="FZX108" s="243"/>
      <c r="FZY108" s="146"/>
      <c r="FZZ108" s="96"/>
      <c r="GAA108" s="136"/>
      <c r="GAB108" s="137"/>
      <c r="GAC108" s="137"/>
      <c r="GAD108" s="137"/>
      <c r="GAE108" s="137"/>
      <c r="GAF108" s="137"/>
      <c r="GAG108" s="99"/>
      <c r="GAH108" s="137"/>
      <c r="GAI108" s="99"/>
      <c r="GAJ108" s="138"/>
      <c r="GAK108" s="139"/>
      <c r="GAL108" s="137"/>
      <c r="GAM108" s="140"/>
      <c r="GAN108" s="141"/>
      <c r="GAO108" s="141"/>
      <c r="GAP108" s="137"/>
      <c r="GAQ108" s="137"/>
      <c r="GAR108" s="141"/>
      <c r="GAS108" s="137"/>
      <c r="GAT108" s="137"/>
      <c r="GAU108" s="142"/>
      <c r="GAV108" s="143"/>
      <c r="GAW108" s="144"/>
      <c r="GAX108" s="137"/>
      <c r="GAY108" s="104"/>
      <c r="GAZ108" s="243"/>
      <c r="GBA108" s="146"/>
      <c r="GBB108" s="96"/>
      <c r="GBC108" s="136"/>
      <c r="GBD108" s="137"/>
      <c r="GBE108" s="137"/>
      <c r="GBF108" s="137"/>
      <c r="GBG108" s="137"/>
      <c r="GBH108" s="137"/>
      <c r="GBI108" s="99"/>
      <c r="GBJ108" s="137"/>
      <c r="GBK108" s="99"/>
      <c r="GBL108" s="138"/>
      <c r="GBM108" s="139"/>
      <c r="GBN108" s="137"/>
      <c r="GBO108" s="140"/>
      <c r="GBP108" s="141"/>
      <c r="GBQ108" s="141"/>
      <c r="GBR108" s="137"/>
      <c r="GBS108" s="137"/>
      <c r="GBT108" s="141"/>
      <c r="GBU108" s="137"/>
      <c r="GBV108" s="137"/>
      <c r="GBW108" s="142"/>
      <c r="GBX108" s="143"/>
      <c r="GBY108" s="144"/>
      <c r="GBZ108" s="137"/>
      <c r="GCA108" s="104"/>
      <c r="GCB108" s="243"/>
      <c r="GCC108" s="146"/>
      <c r="GCD108" s="96"/>
      <c r="GCE108" s="136"/>
      <c r="GCF108" s="137"/>
      <c r="GCG108" s="137"/>
      <c r="GCH108" s="137"/>
      <c r="GCI108" s="137"/>
      <c r="GCJ108" s="137"/>
      <c r="GCK108" s="99"/>
      <c r="GCL108" s="137"/>
      <c r="GCM108" s="99"/>
      <c r="GCN108" s="138"/>
      <c r="GCO108" s="139"/>
      <c r="GCP108" s="137"/>
      <c r="GCQ108" s="140"/>
      <c r="GCR108" s="141"/>
      <c r="GCS108" s="141"/>
      <c r="GCT108" s="137"/>
      <c r="GCU108" s="137"/>
      <c r="GCV108" s="141"/>
      <c r="GCW108" s="137"/>
      <c r="GCX108" s="137"/>
      <c r="GCY108" s="142"/>
      <c r="GCZ108" s="143"/>
      <c r="GDA108" s="144"/>
      <c r="GDB108" s="137"/>
      <c r="GDC108" s="104"/>
      <c r="GDD108" s="243"/>
      <c r="GDE108" s="146"/>
      <c r="GDF108" s="96"/>
      <c r="GDG108" s="136"/>
      <c r="GDH108" s="137"/>
      <c r="GDI108" s="137"/>
      <c r="GDJ108" s="137"/>
      <c r="GDK108" s="137"/>
      <c r="GDL108" s="137"/>
      <c r="GDM108" s="99"/>
      <c r="GDN108" s="137"/>
      <c r="GDO108" s="99"/>
      <c r="GDP108" s="138"/>
      <c r="GDQ108" s="139"/>
      <c r="GDR108" s="137"/>
      <c r="GDS108" s="140"/>
      <c r="GDT108" s="141"/>
      <c r="GDU108" s="141"/>
      <c r="GDV108" s="137"/>
      <c r="GDW108" s="137"/>
      <c r="GDX108" s="141"/>
      <c r="GDY108" s="137"/>
      <c r="GDZ108" s="137"/>
      <c r="GEA108" s="142"/>
      <c r="GEB108" s="143"/>
      <c r="GEC108" s="144"/>
      <c r="GED108" s="137"/>
      <c r="GEE108" s="104"/>
      <c r="GEF108" s="243"/>
      <c r="GEG108" s="146"/>
      <c r="GEH108" s="96"/>
      <c r="GEI108" s="136"/>
      <c r="GEJ108" s="137"/>
      <c r="GEK108" s="137"/>
      <c r="GEL108" s="137"/>
      <c r="GEM108" s="137"/>
      <c r="GEN108" s="137"/>
      <c r="GEO108" s="99"/>
      <c r="GEP108" s="137"/>
      <c r="GEQ108" s="99"/>
      <c r="GER108" s="138"/>
      <c r="GES108" s="139"/>
      <c r="GET108" s="137"/>
      <c r="GEU108" s="140"/>
      <c r="GEV108" s="141"/>
      <c r="GEW108" s="141"/>
      <c r="GEX108" s="137"/>
      <c r="GEY108" s="137"/>
      <c r="GEZ108" s="141"/>
      <c r="GFA108" s="137"/>
      <c r="GFB108" s="137"/>
      <c r="GFC108" s="142"/>
      <c r="GFD108" s="143"/>
      <c r="GFE108" s="144"/>
      <c r="GFF108" s="137"/>
      <c r="GFG108" s="104"/>
      <c r="GFH108" s="243"/>
      <c r="GFI108" s="146"/>
      <c r="GFJ108" s="96"/>
      <c r="GFK108" s="136"/>
      <c r="GFL108" s="137"/>
      <c r="GFM108" s="137"/>
      <c r="GFN108" s="137"/>
      <c r="GFO108" s="137"/>
      <c r="GFP108" s="137"/>
      <c r="GFQ108" s="99"/>
      <c r="GFR108" s="137"/>
      <c r="GFS108" s="99"/>
      <c r="GFT108" s="138"/>
      <c r="GFU108" s="139"/>
      <c r="GFV108" s="137"/>
      <c r="GFW108" s="140"/>
      <c r="GFX108" s="141"/>
      <c r="GFY108" s="141"/>
      <c r="GFZ108" s="137"/>
      <c r="GGA108" s="137"/>
      <c r="GGB108" s="141"/>
      <c r="GGC108" s="137"/>
      <c r="GGD108" s="137"/>
      <c r="GGE108" s="142"/>
      <c r="GGF108" s="143"/>
      <c r="GGG108" s="144"/>
      <c r="GGH108" s="137"/>
      <c r="GGI108" s="104"/>
      <c r="GGJ108" s="243"/>
      <c r="GGK108" s="146"/>
      <c r="GGL108" s="96"/>
      <c r="GGM108" s="136"/>
      <c r="GGN108" s="137"/>
      <c r="GGO108" s="137"/>
      <c r="GGP108" s="137"/>
      <c r="GGQ108" s="137"/>
      <c r="GGR108" s="137"/>
      <c r="GGS108" s="99"/>
      <c r="GGT108" s="137"/>
      <c r="GGU108" s="99"/>
      <c r="GGV108" s="138"/>
      <c r="GGW108" s="139"/>
      <c r="GGX108" s="137"/>
      <c r="GGY108" s="140"/>
      <c r="GGZ108" s="141"/>
      <c r="GHA108" s="141"/>
      <c r="GHB108" s="137"/>
      <c r="GHC108" s="137"/>
      <c r="GHD108" s="141"/>
      <c r="GHE108" s="137"/>
      <c r="GHF108" s="137"/>
      <c r="GHG108" s="142"/>
      <c r="GHH108" s="143"/>
      <c r="GHI108" s="144"/>
      <c r="GHJ108" s="137"/>
      <c r="GHK108" s="104"/>
      <c r="GHL108" s="243"/>
      <c r="GHM108" s="146"/>
      <c r="GHN108" s="96"/>
      <c r="GHO108" s="136"/>
      <c r="GHP108" s="137"/>
      <c r="GHQ108" s="137"/>
      <c r="GHR108" s="137"/>
      <c r="GHS108" s="137"/>
      <c r="GHT108" s="137"/>
      <c r="GHU108" s="99"/>
      <c r="GHV108" s="137"/>
      <c r="GHW108" s="99"/>
      <c r="GHX108" s="138"/>
      <c r="GHY108" s="139"/>
      <c r="GHZ108" s="137"/>
      <c r="GIA108" s="140"/>
      <c r="GIB108" s="141"/>
      <c r="GIC108" s="141"/>
      <c r="GID108" s="137"/>
      <c r="GIE108" s="137"/>
      <c r="GIF108" s="141"/>
      <c r="GIG108" s="137"/>
      <c r="GIH108" s="137"/>
      <c r="GII108" s="142"/>
      <c r="GIJ108" s="143"/>
      <c r="GIK108" s="144"/>
      <c r="GIL108" s="137"/>
      <c r="GIM108" s="104"/>
      <c r="GIN108" s="243"/>
      <c r="GIO108" s="146"/>
      <c r="GIP108" s="96"/>
      <c r="GIQ108" s="136"/>
      <c r="GIR108" s="137"/>
      <c r="GIS108" s="137"/>
      <c r="GIT108" s="137"/>
      <c r="GIU108" s="137"/>
      <c r="GIV108" s="137"/>
      <c r="GIW108" s="99"/>
      <c r="GIX108" s="137"/>
      <c r="GIY108" s="99"/>
      <c r="GIZ108" s="138"/>
      <c r="GJA108" s="139"/>
      <c r="GJB108" s="137"/>
      <c r="GJC108" s="140"/>
      <c r="GJD108" s="141"/>
      <c r="GJE108" s="141"/>
      <c r="GJF108" s="137"/>
      <c r="GJG108" s="137"/>
      <c r="GJH108" s="141"/>
      <c r="GJI108" s="137"/>
      <c r="GJJ108" s="137"/>
      <c r="GJK108" s="142"/>
      <c r="GJL108" s="143"/>
      <c r="GJM108" s="144"/>
      <c r="GJN108" s="137"/>
      <c r="GJO108" s="104"/>
      <c r="GJP108" s="243"/>
      <c r="GJQ108" s="146"/>
      <c r="GJR108" s="96"/>
      <c r="GJS108" s="136"/>
      <c r="GJT108" s="137"/>
      <c r="GJU108" s="137"/>
      <c r="GJV108" s="137"/>
      <c r="GJW108" s="137"/>
      <c r="GJX108" s="137"/>
      <c r="GJY108" s="99"/>
      <c r="GJZ108" s="137"/>
      <c r="GKA108" s="99"/>
      <c r="GKB108" s="138"/>
      <c r="GKC108" s="139"/>
      <c r="GKD108" s="137"/>
      <c r="GKE108" s="140"/>
      <c r="GKF108" s="141"/>
      <c r="GKG108" s="141"/>
      <c r="GKH108" s="137"/>
      <c r="GKI108" s="137"/>
      <c r="GKJ108" s="141"/>
      <c r="GKK108" s="137"/>
      <c r="GKL108" s="137"/>
      <c r="GKM108" s="142"/>
      <c r="GKN108" s="143"/>
      <c r="GKO108" s="144"/>
      <c r="GKP108" s="137"/>
      <c r="GKQ108" s="104"/>
      <c r="GKR108" s="243"/>
      <c r="GKS108" s="146"/>
      <c r="GKT108" s="96"/>
      <c r="GKU108" s="136"/>
      <c r="GKV108" s="137"/>
      <c r="GKW108" s="137"/>
      <c r="GKX108" s="137"/>
      <c r="GKY108" s="137"/>
      <c r="GKZ108" s="137"/>
      <c r="GLA108" s="99"/>
      <c r="GLB108" s="137"/>
      <c r="GLC108" s="99"/>
      <c r="GLD108" s="138"/>
      <c r="GLE108" s="139"/>
      <c r="GLF108" s="137"/>
      <c r="GLG108" s="140"/>
      <c r="GLH108" s="141"/>
      <c r="GLI108" s="141"/>
      <c r="GLJ108" s="137"/>
      <c r="GLK108" s="137"/>
      <c r="GLL108" s="141"/>
      <c r="GLM108" s="137"/>
      <c r="GLN108" s="137"/>
      <c r="GLO108" s="142"/>
      <c r="GLP108" s="143"/>
      <c r="GLQ108" s="144"/>
      <c r="GLR108" s="137"/>
      <c r="GLS108" s="104"/>
      <c r="GLT108" s="243"/>
      <c r="GLU108" s="146"/>
      <c r="GLV108" s="96"/>
      <c r="GLW108" s="136"/>
      <c r="GLX108" s="137"/>
      <c r="GLY108" s="137"/>
      <c r="GLZ108" s="137"/>
      <c r="GMA108" s="137"/>
      <c r="GMB108" s="137"/>
      <c r="GMC108" s="99"/>
      <c r="GMD108" s="137"/>
      <c r="GME108" s="99"/>
      <c r="GMF108" s="138"/>
      <c r="GMG108" s="139"/>
      <c r="GMH108" s="137"/>
      <c r="GMI108" s="140"/>
      <c r="GMJ108" s="141"/>
      <c r="GMK108" s="141"/>
      <c r="GML108" s="137"/>
      <c r="GMM108" s="137"/>
      <c r="GMN108" s="141"/>
      <c r="GMO108" s="137"/>
      <c r="GMP108" s="137"/>
      <c r="GMQ108" s="142"/>
      <c r="GMR108" s="143"/>
      <c r="GMS108" s="144"/>
      <c r="GMT108" s="137"/>
      <c r="GMU108" s="104"/>
      <c r="GMV108" s="243"/>
      <c r="GMW108" s="146"/>
      <c r="GMX108" s="96"/>
      <c r="GMY108" s="136"/>
      <c r="GMZ108" s="137"/>
      <c r="GNA108" s="137"/>
      <c r="GNB108" s="137"/>
      <c r="GNC108" s="137"/>
      <c r="GND108" s="137"/>
      <c r="GNE108" s="99"/>
      <c r="GNF108" s="137"/>
      <c r="GNG108" s="99"/>
      <c r="GNH108" s="138"/>
      <c r="GNI108" s="139"/>
      <c r="GNJ108" s="137"/>
      <c r="GNK108" s="140"/>
      <c r="GNL108" s="141"/>
      <c r="GNM108" s="141"/>
      <c r="GNN108" s="137"/>
      <c r="GNO108" s="137"/>
      <c r="GNP108" s="141"/>
      <c r="GNQ108" s="137"/>
      <c r="GNR108" s="137"/>
      <c r="GNS108" s="142"/>
      <c r="GNT108" s="143"/>
      <c r="GNU108" s="144"/>
      <c r="GNV108" s="137"/>
      <c r="GNW108" s="104"/>
      <c r="GNX108" s="243"/>
      <c r="GNY108" s="146"/>
      <c r="GNZ108" s="96"/>
      <c r="GOA108" s="136"/>
      <c r="GOB108" s="137"/>
      <c r="GOC108" s="137"/>
      <c r="GOD108" s="137"/>
      <c r="GOE108" s="137"/>
      <c r="GOF108" s="137"/>
      <c r="GOG108" s="99"/>
      <c r="GOH108" s="137"/>
      <c r="GOI108" s="99"/>
      <c r="GOJ108" s="138"/>
      <c r="GOK108" s="139"/>
      <c r="GOL108" s="137"/>
      <c r="GOM108" s="140"/>
      <c r="GON108" s="141"/>
      <c r="GOO108" s="141"/>
      <c r="GOP108" s="137"/>
      <c r="GOQ108" s="137"/>
      <c r="GOR108" s="141"/>
      <c r="GOS108" s="137"/>
      <c r="GOT108" s="137"/>
      <c r="GOU108" s="142"/>
      <c r="GOV108" s="143"/>
      <c r="GOW108" s="144"/>
      <c r="GOX108" s="137"/>
      <c r="GOY108" s="104"/>
      <c r="GOZ108" s="243"/>
      <c r="GPA108" s="146"/>
      <c r="GPB108" s="96"/>
      <c r="GPC108" s="136"/>
      <c r="GPD108" s="137"/>
      <c r="GPE108" s="137"/>
      <c r="GPF108" s="137"/>
      <c r="GPG108" s="137"/>
      <c r="GPH108" s="137"/>
      <c r="GPI108" s="99"/>
      <c r="GPJ108" s="137"/>
      <c r="GPK108" s="99"/>
      <c r="GPL108" s="138"/>
      <c r="GPM108" s="139"/>
      <c r="GPN108" s="137"/>
      <c r="GPO108" s="140"/>
      <c r="GPP108" s="141"/>
      <c r="GPQ108" s="141"/>
      <c r="GPR108" s="137"/>
      <c r="GPS108" s="137"/>
      <c r="GPT108" s="141"/>
      <c r="GPU108" s="137"/>
      <c r="GPV108" s="137"/>
      <c r="GPW108" s="142"/>
      <c r="GPX108" s="143"/>
      <c r="GPY108" s="144"/>
      <c r="GPZ108" s="137"/>
      <c r="GQA108" s="104"/>
      <c r="GQB108" s="243"/>
      <c r="GQC108" s="146"/>
      <c r="GQD108" s="96"/>
      <c r="GQE108" s="136"/>
      <c r="GQF108" s="137"/>
      <c r="GQG108" s="137"/>
      <c r="GQH108" s="137"/>
      <c r="GQI108" s="137"/>
      <c r="GQJ108" s="137"/>
      <c r="GQK108" s="99"/>
      <c r="GQL108" s="137"/>
      <c r="GQM108" s="99"/>
      <c r="GQN108" s="138"/>
      <c r="GQO108" s="139"/>
      <c r="GQP108" s="137"/>
      <c r="GQQ108" s="140"/>
      <c r="GQR108" s="141"/>
      <c r="GQS108" s="141"/>
      <c r="GQT108" s="137"/>
      <c r="GQU108" s="137"/>
      <c r="GQV108" s="141"/>
      <c r="GQW108" s="137"/>
      <c r="GQX108" s="137"/>
      <c r="GQY108" s="142"/>
      <c r="GQZ108" s="143"/>
      <c r="GRA108" s="144"/>
      <c r="GRB108" s="137"/>
      <c r="GRC108" s="104"/>
      <c r="GRD108" s="243"/>
      <c r="GRE108" s="146"/>
      <c r="GRF108" s="96"/>
      <c r="GRG108" s="136"/>
      <c r="GRH108" s="137"/>
      <c r="GRI108" s="137"/>
      <c r="GRJ108" s="137"/>
      <c r="GRK108" s="137"/>
      <c r="GRL108" s="137"/>
      <c r="GRM108" s="99"/>
      <c r="GRN108" s="137"/>
      <c r="GRO108" s="99"/>
      <c r="GRP108" s="138"/>
      <c r="GRQ108" s="139"/>
      <c r="GRR108" s="137"/>
      <c r="GRS108" s="140"/>
      <c r="GRT108" s="141"/>
      <c r="GRU108" s="141"/>
      <c r="GRV108" s="137"/>
      <c r="GRW108" s="137"/>
      <c r="GRX108" s="141"/>
      <c r="GRY108" s="137"/>
      <c r="GRZ108" s="137"/>
      <c r="GSA108" s="142"/>
      <c r="GSB108" s="143"/>
      <c r="GSC108" s="144"/>
      <c r="GSD108" s="137"/>
      <c r="GSE108" s="104"/>
      <c r="GSF108" s="243"/>
      <c r="GSG108" s="146"/>
      <c r="GSH108" s="96"/>
      <c r="GSI108" s="136"/>
      <c r="GSJ108" s="137"/>
      <c r="GSK108" s="137"/>
      <c r="GSL108" s="137"/>
      <c r="GSM108" s="137"/>
      <c r="GSN108" s="137"/>
      <c r="GSO108" s="99"/>
      <c r="GSP108" s="137"/>
      <c r="GSQ108" s="99"/>
      <c r="GSR108" s="138"/>
      <c r="GSS108" s="139"/>
      <c r="GST108" s="137"/>
      <c r="GSU108" s="140"/>
      <c r="GSV108" s="141"/>
      <c r="GSW108" s="141"/>
      <c r="GSX108" s="137"/>
      <c r="GSY108" s="137"/>
      <c r="GSZ108" s="141"/>
      <c r="GTA108" s="137"/>
      <c r="GTB108" s="137"/>
      <c r="GTC108" s="142"/>
      <c r="GTD108" s="143"/>
      <c r="GTE108" s="144"/>
      <c r="GTF108" s="137"/>
      <c r="GTG108" s="104"/>
      <c r="GTH108" s="243"/>
      <c r="GTI108" s="146"/>
      <c r="GTJ108" s="96"/>
      <c r="GTK108" s="136"/>
      <c r="GTL108" s="137"/>
      <c r="GTM108" s="137"/>
      <c r="GTN108" s="137"/>
      <c r="GTO108" s="137"/>
      <c r="GTP108" s="137"/>
      <c r="GTQ108" s="99"/>
      <c r="GTR108" s="137"/>
      <c r="GTS108" s="99"/>
      <c r="GTT108" s="138"/>
      <c r="GTU108" s="139"/>
      <c r="GTV108" s="137"/>
      <c r="GTW108" s="140"/>
      <c r="GTX108" s="141"/>
      <c r="GTY108" s="141"/>
      <c r="GTZ108" s="137"/>
      <c r="GUA108" s="137"/>
      <c r="GUB108" s="141"/>
      <c r="GUC108" s="137"/>
      <c r="GUD108" s="137"/>
      <c r="GUE108" s="142"/>
      <c r="GUF108" s="143"/>
      <c r="GUG108" s="144"/>
      <c r="GUH108" s="137"/>
      <c r="GUI108" s="104"/>
      <c r="GUJ108" s="243"/>
      <c r="GUK108" s="146"/>
      <c r="GUL108" s="96"/>
      <c r="GUM108" s="136"/>
      <c r="GUN108" s="137"/>
      <c r="GUO108" s="137"/>
      <c r="GUP108" s="137"/>
      <c r="GUQ108" s="137"/>
      <c r="GUR108" s="137"/>
      <c r="GUS108" s="99"/>
      <c r="GUT108" s="137"/>
      <c r="GUU108" s="99"/>
      <c r="GUV108" s="138"/>
      <c r="GUW108" s="139"/>
      <c r="GUX108" s="137"/>
      <c r="GUY108" s="140"/>
      <c r="GUZ108" s="141"/>
      <c r="GVA108" s="141"/>
      <c r="GVB108" s="137"/>
      <c r="GVC108" s="137"/>
      <c r="GVD108" s="141"/>
      <c r="GVE108" s="137"/>
      <c r="GVF108" s="137"/>
      <c r="GVG108" s="142"/>
      <c r="GVH108" s="143"/>
      <c r="GVI108" s="144"/>
      <c r="GVJ108" s="137"/>
      <c r="GVK108" s="104"/>
      <c r="GVL108" s="243"/>
      <c r="GVM108" s="146"/>
      <c r="GVN108" s="96"/>
      <c r="GVO108" s="136"/>
      <c r="GVP108" s="137"/>
      <c r="GVQ108" s="137"/>
      <c r="GVR108" s="137"/>
      <c r="GVS108" s="137"/>
      <c r="GVT108" s="137"/>
      <c r="GVU108" s="99"/>
      <c r="GVV108" s="137"/>
      <c r="GVW108" s="99"/>
      <c r="GVX108" s="138"/>
      <c r="GVY108" s="139"/>
      <c r="GVZ108" s="137"/>
      <c r="GWA108" s="140"/>
      <c r="GWB108" s="141"/>
      <c r="GWC108" s="141"/>
      <c r="GWD108" s="137"/>
      <c r="GWE108" s="137"/>
      <c r="GWF108" s="141"/>
      <c r="GWG108" s="137"/>
      <c r="GWH108" s="137"/>
      <c r="GWI108" s="142"/>
      <c r="GWJ108" s="143"/>
      <c r="GWK108" s="144"/>
      <c r="GWL108" s="137"/>
      <c r="GWM108" s="104"/>
      <c r="GWN108" s="243"/>
      <c r="GWO108" s="146"/>
      <c r="GWP108" s="96"/>
      <c r="GWQ108" s="136"/>
      <c r="GWR108" s="137"/>
      <c r="GWS108" s="137"/>
      <c r="GWT108" s="137"/>
      <c r="GWU108" s="137"/>
      <c r="GWV108" s="137"/>
      <c r="GWW108" s="99"/>
      <c r="GWX108" s="137"/>
      <c r="GWY108" s="99"/>
      <c r="GWZ108" s="138"/>
      <c r="GXA108" s="139"/>
      <c r="GXB108" s="137"/>
      <c r="GXC108" s="140"/>
      <c r="GXD108" s="141"/>
      <c r="GXE108" s="141"/>
      <c r="GXF108" s="137"/>
      <c r="GXG108" s="137"/>
      <c r="GXH108" s="141"/>
      <c r="GXI108" s="137"/>
      <c r="GXJ108" s="137"/>
      <c r="GXK108" s="142"/>
      <c r="GXL108" s="143"/>
      <c r="GXM108" s="144"/>
      <c r="GXN108" s="137"/>
      <c r="GXO108" s="104"/>
      <c r="GXP108" s="243"/>
      <c r="GXQ108" s="146"/>
      <c r="GXR108" s="96"/>
      <c r="GXS108" s="136"/>
      <c r="GXT108" s="137"/>
      <c r="GXU108" s="137"/>
      <c r="GXV108" s="137"/>
      <c r="GXW108" s="137"/>
      <c r="GXX108" s="137"/>
      <c r="GXY108" s="99"/>
      <c r="GXZ108" s="137"/>
      <c r="GYA108" s="99"/>
      <c r="GYB108" s="138"/>
      <c r="GYC108" s="139"/>
      <c r="GYD108" s="137"/>
      <c r="GYE108" s="140"/>
      <c r="GYF108" s="141"/>
      <c r="GYG108" s="141"/>
      <c r="GYH108" s="137"/>
      <c r="GYI108" s="137"/>
      <c r="GYJ108" s="141"/>
      <c r="GYK108" s="137"/>
      <c r="GYL108" s="137"/>
      <c r="GYM108" s="142"/>
      <c r="GYN108" s="143"/>
      <c r="GYO108" s="144"/>
      <c r="GYP108" s="137"/>
      <c r="GYQ108" s="104"/>
      <c r="GYR108" s="243"/>
      <c r="GYS108" s="146"/>
      <c r="GYT108" s="96"/>
      <c r="GYU108" s="136"/>
      <c r="GYV108" s="137"/>
      <c r="GYW108" s="137"/>
      <c r="GYX108" s="137"/>
      <c r="GYY108" s="137"/>
      <c r="GYZ108" s="137"/>
      <c r="GZA108" s="99"/>
      <c r="GZB108" s="137"/>
      <c r="GZC108" s="99"/>
      <c r="GZD108" s="138"/>
      <c r="GZE108" s="139"/>
      <c r="GZF108" s="137"/>
      <c r="GZG108" s="140"/>
      <c r="GZH108" s="141"/>
      <c r="GZI108" s="141"/>
      <c r="GZJ108" s="137"/>
      <c r="GZK108" s="137"/>
      <c r="GZL108" s="141"/>
      <c r="GZM108" s="137"/>
      <c r="GZN108" s="137"/>
      <c r="GZO108" s="142"/>
      <c r="GZP108" s="143"/>
      <c r="GZQ108" s="144"/>
      <c r="GZR108" s="137"/>
      <c r="GZS108" s="104"/>
      <c r="GZT108" s="243"/>
      <c r="GZU108" s="146"/>
      <c r="GZV108" s="96"/>
      <c r="GZW108" s="136"/>
      <c r="GZX108" s="137"/>
      <c r="GZY108" s="137"/>
      <c r="GZZ108" s="137"/>
      <c r="HAA108" s="137"/>
      <c r="HAB108" s="137"/>
      <c r="HAC108" s="99"/>
      <c r="HAD108" s="137"/>
      <c r="HAE108" s="99"/>
      <c r="HAF108" s="138"/>
      <c r="HAG108" s="139"/>
      <c r="HAH108" s="137"/>
      <c r="HAI108" s="140"/>
      <c r="HAJ108" s="141"/>
      <c r="HAK108" s="141"/>
      <c r="HAL108" s="137"/>
      <c r="HAM108" s="137"/>
      <c r="HAN108" s="141"/>
      <c r="HAO108" s="137"/>
      <c r="HAP108" s="137"/>
      <c r="HAQ108" s="142"/>
      <c r="HAR108" s="143"/>
      <c r="HAS108" s="144"/>
      <c r="HAT108" s="137"/>
      <c r="HAU108" s="104"/>
      <c r="HAV108" s="243"/>
      <c r="HAW108" s="146"/>
      <c r="HAX108" s="96"/>
      <c r="HAY108" s="136"/>
      <c r="HAZ108" s="137"/>
      <c r="HBA108" s="137"/>
      <c r="HBB108" s="137"/>
      <c r="HBC108" s="137"/>
      <c r="HBD108" s="137"/>
      <c r="HBE108" s="99"/>
      <c r="HBF108" s="137"/>
      <c r="HBG108" s="99"/>
      <c r="HBH108" s="138"/>
      <c r="HBI108" s="139"/>
      <c r="HBJ108" s="137"/>
      <c r="HBK108" s="140"/>
      <c r="HBL108" s="141"/>
      <c r="HBM108" s="141"/>
      <c r="HBN108" s="137"/>
      <c r="HBO108" s="137"/>
      <c r="HBP108" s="141"/>
      <c r="HBQ108" s="137"/>
      <c r="HBR108" s="137"/>
      <c r="HBS108" s="142"/>
      <c r="HBT108" s="143"/>
      <c r="HBU108" s="144"/>
      <c r="HBV108" s="137"/>
      <c r="HBW108" s="104"/>
      <c r="HBX108" s="243"/>
      <c r="HBY108" s="146"/>
      <c r="HBZ108" s="96"/>
      <c r="HCA108" s="136"/>
      <c r="HCB108" s="137"/>
      <c r="HCC108" s="137"/>
      <c r="HCD108" s="137"/>
      <c r="HCE108" s="137"/>
      <c r="HCF108" s="137"/>
      <c r="HCG108" s="99"/>
      <c r="HCH108" s="137"/>
      <c r="HCI108" s="99"/>
      <c r="HCJ108" s="138"/>
      <c r="HCK108" s="139"/>
      <c r="HCL108" s="137"/>
      <c r="HCM108" s="140"/>
      <c r="HCN108" s="141"/>
      <c r="HCO108" s="141"/>
      <c r="HCP108" s="137"/>
      <c r="HCQ108" s="137"/>
      <c r="HCR108" s="141"/>
      <c r="HCS108" s="137"/>
      <c r="HCT108" s="137"/>
      <c r="HCU108" s="142"/>
      <c r="HCV108" s="143"/>
      <c r="HCW108" s="144"/>
      <c r="HCX108" s="137"/>
      <c r="HCY108" s="104"/>
      <c r="HCZ108" s="243"/>
      <c r="HDA108" s="146"/>
      <c r="HDB108" s="96"/>
      <c r="HDC108" s="136"/>
      <c r="HDD108" s="137"/>
      <c r="HDE108" s="137"/>
      <c r="HDF108" s="137"/>
      <c r="HDG108" s="137"/>
      <c r="HDH108" s="137"/>
      <c r="HDI108" s="99"/>
      <c r="HDJ108" s="137"/>
      <c r="HDK108" s="99"/>
      <c r="HDL108" s="138"/>
      <c r="HDM108" s="139"/>
      <c r="HDN108" s="137"/>
      <c r="HDO108" s="140"/>
      <c r="HDP108" s="141"/>
      <c r="HDQ108" s="141"/>
      <c r="HDR108" s="137"/>
      <c r="HDS108" s="137"/>
      <c r="HDT108" s="141"/>
      <c r="HDU108" s="137"/>
      <c r="HDV108" s="137"/>
      <c r="HDW108" s="142"/>
      <c r="HDX108" s="143"/>
      <c r="HDY108" s="144"/>
      <c r="HDZ108" s="137"/>
      <c r="HEA108" s="104"/>
      <c r="HEB108" s="243"/>
      <c r="HEC108" s="146"/>
      <c r="HED108" s="96"/>
      <c r="HEE108" s="136"/>
      <c r="HEF108" s="137"/>
      <c r="HEG108" s="137"/>
      <c r="HEH108" s="137"/>
      <c r="HEI108" s="137"/>
      <c r="HEJ108" s="137"/>
      <c r="HEK108" s="99"/>
      <c r="HEL108" s="137"/>
      <c r="HEM108" s="99"/>
      <c r="HEN108" s="138"/>
      <c r="HEO108" s="139"/>
      <c r="HEP108" s="137"/>
      <c r="HEQ108" s="140"/>
      <c r="HER108" s="141"/>
      <c r="HES108" s="141"/>
      <c r="HET108" s="137"/>
      <c r="HEU108" s="137"/>
      <c r="HEV108" s="141"/>
      <c r="HEW108" s="137"/>
      <c r="HEX108" s="137"/>
      <c r="HEY108" s="142"/>
      <c r="HEZ108" s="143"/>
      <c r="HFA108" s="144"/>
      <c r="HFB108" s="137"/>
      <c r="HFC108" s="104"/>
      <c r="HFD108" s="243"/>
      <c r="HFE108" s="146"/>
      <c r="HFF108" s="96"/>
      <c r="HFG108" s="136"/>
      <c r="HFH108" s="137"/>
      <c r="HFI108" s="137"/>
      <c r="HFJ108" s="137"/>
      <c r="HFK108" s="137"/>
      <c r="HFL108" s="137"/>
      <c r="HFM108" s="99"/>
      <c r="HFN108" s="137"/>
      <c r="HFO108" s="99"/>
      <c r="HFP108" s="138"/>
      <c r="HFQ108" s="139"/>
      <c r="HFR108" s="137"/>
      <c r="HFS108" s="140"/>
      <c r="HFT108" s="141"/>
      <c r="HFU108" s="141"/>
      <c r="HFV108" s="137"/>
      <c r="HFW108" s="137"/>
      <c r="HFX108" s="141"/>
      <c r="HFY108" s="137"/>
      <c r="HFZ108" s="137"/>
      <c r="HGA108" s="142"/>
      <c r="HGB108" s="143"/>
      <c r="HGC108" s="144"/>
      <c r="HGD108" s="137"/>
      <c r="HGE108" s="104"/>
      <c r="HGF108" s="243"/>
      <c r="HGG108" s="146"/>
      <c r="HGH108" s="96"/>
      <c r="HGI108" s="136"/>
      <c r="HGJ108" s="137"/>
      <c r="HGK108" s="137"/>
      <c r="HGL108" s="137"/>
      <c r="HGM108" s="137"/>
      <c r="HGN108" s="137"/>
      <c r="HGO108" s="99"/>
      <c r="HGP108" s="137"/>
      <c r="HGQ108" s="99"/>
      <c r="HGR108" s="138"/>
      <c r="HGS108" s="139"/>
      <c r="HGT108" s="137"/>
      <c r="HGU108" s="140"/>
      <c r="HGV108" s="141"/>
      <c r="HGW108" s="141"/>
      <c r="HGX108" s="137"/>
      <c r="HGY108" s="137"/>
      <c r="HGZ108" s="141"/>
      <c r="HHA108" s="137"/>
      <c r="HHB108" s="137"/>
      <c r="HHC108" s="142"/>
      <c r="HHD108" s="143"/>
      <c r="HHE108" s="144"/>
      <c r="HHF108" s="137"/>
      <c r="HHG108" s="104"/>
      <c r="HHH108" s="243"/>
      <c r="HHI108" s="146"/>
      <c r="HHJ108" s="96"/>
      <c r="HHK108" s="136"/>
      <c r="HHL108" s="137"/>
      <c r="HHM108" s="137"/>
      <c r="HHN108" s="137"/>
      <c r="HHO108" s="137"/>
      <c r="HHP108" s="137"/>
      <c r="HHQ108" s="99"/>
      <c r="HHR108" s="137"/>
      <c r="HHS108" s="99"/>
      <c r="HHT108" s="138"/>
      <c r="HHU108" s="139"/>
      <c r="HHV108" s="137"/>
      <c r="HHW108" s="140"/>
      <c r="HHX108" s="141"/>
      <c r="HHY108" s="141"/>
      <c r="HHZ108" s="137"/>
      <c r="HIA108" s="137"/>
      <c r="HIB108" s="141"/>
      <c r="HIC108" s="137"/>
      <c r="HID108" s="137"/>
      <c r="HIE108" s="142"/>
      <c r="HIF108" s="143"/>
      <c r="HIG108" s="144"/>
      <c r="HIH108" s="137"/>
      <c r="HII108" s="104"/>
      <c r="HIJ108" s="243"/>
      <c r="HIK108" s="146"/>
      <c r="HIL108" s="96"/>
      <c r="HIM108" s="136"/>
      <c r="HIN108" s="137"/>
      <c r="HIO108" s="137"/>
      <c r="HIP108" s="137"/>
      <c r="HIQ108" s="137"/>
      <c r="HIR108" s="137"/>
      <c r="HIS108" s="99"/>
      <c r="HIT108" s="137"/>
      <c r="HIU108" s="99"/>
      <c r="HIV108" s="138"/>
      <c r="HIW108" s="139"/>
      <c r="HIX108" s="137"/>
      <c r="HIY108" s="140"/>
      <c r="HIZ108" s="141"/>
      <c r="HJA108" s="141"/>
      <c r="HJB108" s="137"/>
      <c r="HJC108" s="137"/>
      <c r="HJD108" s="141"/>
      <c r="HJE108" s="137"/>
      <c r="HJF108" s="137"/>
      <c r="HJG108" s="142"/>
      <c r="HJH108" s="143"/>
      <c r="HJI108" s="144"/>
      <c r="HJJ108" s="137"/>
      <c r="HJK108" s="104"/>
      <c r="HJL108" s="243"/>
      <c r="HJM108" s="146"/>
      <c r="HJN108" s="96"/>
      <c r="HJO108" s="136"/>
      <c r="HJP108" s="137"/>
      <c r="HJQ108" s="137"/>
      <c r="HJR108" s="137"/>
      <c r="HJS108" s="137"/>
      <c r="HJT108" s="137"/>
      <c r="HJU108" s="99"/>
      <c r="HJV108" s="137"/>
      <c r="HJW108" s="99"/>
      <c r="HJX108" s="138"/>
      <c r="HJY108" s="139"/>
      <c r="HJZ108" s="137"/>
      <c r="HKA108" s="140"/>
      <c r="HKB108" s="141"/>
      <c r="HKC108" s="141"/>
      <c r="HKD108" s="137"/>
      <c r="HKE108" s="137"/>
      <c r="HKF108" s="141"/>
      <c r="HKG108" s="137"/>
      <c r="HKH108" s="137"/>
      <c r="HKI108" s="142"/>
      <c r="HKJ108" s="143"/>
      <c r="HKK108" s="144"/>
      <c r="HKL108" s="137"/>
      <c r="HKM108" s="104"/>
      <c r="HKN108" s="243"/>
      <c r="HKO108" s="146"/>
      <c r="HKP108" s="96"/>
      <c r="HKQ108" s="136"/>
      <c r="HKR108" s="137"/>
      <c r="HKS108" s="137"/>
      <c r="HKT108" s="137"/>
      <c r="HKU108" s="137"/>
      <c r="HKV108" s="137"/>
      <c r="HKW108" s="99"/>
      <c r="HKX108" s="137"/>
      <c r="HKY108" s="99"/>
      <c r="HKZ108" s="138"/>
      <c r="HLA108" s="139"/>
      <c r="HLB108" s="137"/>
      <c r="HLC108" s="140"/>
      <c r="HLD108" s="141"/>
      <c r="HLE108" s="141"/>
      <c r="HLF108" s="137"/>
      <c r="HLG108" s="137"/>
      <c r="HLH108" s="141"/>
      <c r="HLI108" s="137"/>
      <c r="HLJ108" s="137"/>
      <c r="HLK108" s="142"/>
      <c r="HLL108" s="143"/>
      <c r="HLM108" s="144"/>
      <c r="HLN108" s="137"/>
      <c r="HLO108" s="104"/>
      <c r="HLP108" s="243"/>
      <c r="HLQ108" s="146"/>
      <c r="HLR108" s="96"/>
      <c r="HLS108" s="136"/>
      <c r="HLT108" s="137"/>
      <c r="HLU108" s="137"/>
      <c r="HLV108" s="137"/>
      <c r="HLW108" s="137"/>
      <c r="HLX108" s="137"/>
      <c r="HLY108" s="99"/>
      <c r="HLZ108" s="137"/>
      <c r="HMA108" s="99"/>
      <c r="HMB108" s="138"/>
      <c r="HMC108" s="139"/>
      <c r="HMD108" s="137"/>
      <c r="HME108" s="140"/>
      <c r="HMF108" s="141"/>
      <c r="HMG108" s="141"/>
      <c r="HMH108" s="137"/>
      <c r="HMI108" s="137"/>
      <c r="HMJ108" s="141"/>
      <c r="HMK108" s="137"/>
      <c r="HML108" s="137"/>
      <c r="HMM108" s="142"/>
      <c r="HMN108" s="143"/>
      <c r="HMO108" s="144"/>
      <c r="HMP108" s="137"/>
      <c r="HMQ108" s="104"/>
      <c r="HMR108" s="243"/>
      <c r="HMS108" s="146"/>
      <c r="HMT108" s="96"/>
      <c r="HMU108" s="136"/>
      <c r="HMV108" s="137"/>
      <c r="HMW108" s="137"/>
      <c r="HMX108" s="137"/>
      <c r="HMY108" s="137"/>
      <c r="HMZ108" s="137"/>
      <c r="HNA108" s="99"/>
      <c r="HNB108" s="137"/>
      <c r="HNC108" s="99"/>
      <c r="HND108" s="138"/>
      <c r="HNE108" s="139"/>
      <c r="HNF108" s="137"/>
      <c r="HNG108" s="140"/>
      <c r="HNH108" s="141"/>
      <c r="HNI108" s="141"/>
      <c r="HNJ108" s="137"/>
      <c r="HNK108" s="137"/>
      <c r="HNL108" s="141"/>
      <c r="HNM108" s="137"/>
      <c r="HNN108" s="137"/>
      <c r="HNO108" s="142"/>
      <c r="HNP108" s="143"/>
      <c r="HNQ108" s="144"/>
      <c r="HNR108" s="137"/>
      <c r="HNS108" s="104"/>
      <c r="HNT108" s="243"/>
      <c r="HNU108" s="146"/>
      <c r="HNV108" s="96"/>
      <c r="HNW108" s="136"/>
      <c r="HNX108" s="137"/>
      <c r="HNY108" s="137"/>
      <c r="HNZ108" s="137"/>
      <c r="HOA108" s="137"/>
      <c r="HOB108" s="137"/>
      <c r="HOC108" s="99"/>
      <c r="HOD108" s="137"/>
      <c r="HOE108" s="99"/>
      <c r="HOF108" s="138"/>
      <c r="HOG108" s="139"/>
      <c r="HOH108" s="137"/>
      <c r="HOI108" s="140"/>
      <c r="HOJ108" s="141"/>
      <c r="HOK108" s="141"/>
      <c r="HOL108" s="137"/>
      <c r="HOM108" s="137"/>
      <c r="HON108" s="141"/>
      <c r="HOO108" s="137"/>
      <c r="HOP108" s="137"/>
      <c r="HOQ108" s="142"/>
      <c r="HOR108" s="143"/>
      <c r="HOS108" s="144"/>
      <c r="HOT108" s="137"/>
      <c r="HOU108" s="104"/>
      <c r="HOV108" s="243"/>
      <c r="HOW108" s="146"/>
      <c r="HOX108" s="96"/>
      <c r="HOY108" s="136"/>
      <c r="HOZ108" s="137"/>
      <c r="HPA108" s="137"/>
      <c r="HPB108" s="137"/>
      <c r="HPC108" s="137"/>
      <c r="HPD108" s="137"/>
      <c r="HPE108" s="99"/>
      <c r="HPF108" s="137"/>
      <c r="HPG108" s="99"/>
      <c r="HPH108" s="138"/>
      <c r="HPI108" s="139"/>
      <c r="HPJ108" s="137"/>
      <c r="HPK108" s="140"/>
      <c r="HPL108" s="141"/>
      <c r="HPM108" s="141"/>
      <c r="HPN108" s="137"/>
      <c r="HPO108" s="137"/>
      <c r="HPP108" s="141"/>
      <c r="HPQ108" s="137"/>
      <c r="HPR108" s="137"/>
      <c r="HPS108" s="142"/>
      <c r="HPT108" s="143"/>
      <c r="HPU108" s="144"/>
      <c r="HPV108" s="137"/>
      <c r="HPW108" s="104"/>
      <c r="HPX108" s="243"/>
      <c r="HPY108" s="146"/>
      <c r="HPZ108" s="96"/>
      <c r="HQA108" s="136"/>
      <c r="HQB108" s="137"/>
      <c r="HQC108" s="137"/>
      <c r="HQD108" s="137"/>
      <c r="HQE108" s="137"/>
      <c r="HQF108" s="137"/>
      <c r="HQG108" s="99"/>
      <c r="HQH108" s="137"/>
      <c r="HQI108" s="99"/>
      <c r="HQJ108" s="138"/>
      <c r="HQK108" s="139"/>
      <c r="HQL108" s="137"/>
      <c r="HQM108" s="140"/>
      <c r="HQN108" s="141"/>
      <c r="HQO108" s="141"/>
      <c r="HQP108" s="137"/>
      <c r="HQQ108" s="137"/>
      <c r="HQR108" s="141"/>
      <c r="HQS108" s="137"/>
      <c r="HQT108" s="137"/>
      <c r="HQU108" s="142"/>
      <c r="HQV108" s="143"/>
      <c r="HQW108" s="144"/>
      <c r="HQX108" s="137"/>
      <c r="HQY108" s="104"/>
      <c r="HQZ108" s="243"/>
      <c r="HRA108" s="146"/>
      <c r="HRB108" s="96"/>
      <c r="HRC108" s="136"/>
      <c r="HRD108" s="137"/>
      <c r="HRE108" s="137"/>
      <c r="HRF108" s="137"/>
      <c r="HRG108" s="137"/>
      <c r="HRH108" s="137"/>
      <c r="HRI108" s="99"/>
      <c r="HRJ108" s="137"/>
      <c r="HRK108" s="99"/>
      <c r="HRL108" s="138"/>
      <c r="HRM108" s="139"/>
      <c r="HRN108" s="137"/>
      <c r="HRO108" s="140"/>
      <c r="HRP108" s="141"/>
      <c r="HRQ108" s="141"/>
      <c r="HRR108" s="137"/>
      <c r="HRS108" s="137"/>
      <c r="HRT108" s="141"/>
      <c r="HRU108" s="137"/>
      <c r="HRV108" s="137"/>
      <c r="HRW108" s="142"/>
      <c r="HRX108" s="143"/>
      <c r="HRY108" s="144"/>
      <c r="HRZ108" s="137"/>
      <c r="HSA108" s="104"/>
      <c r="HSB108" s="243"/>
      <c r="HSC108" s="146"/>
      <c r="HSD108" s="96"/>
      <c r="HSE108" s="136"/>
      <c r="HSF108" s="137"/>
      <c r="HSG108" s="137"/>
      <c r="HSH108" s="137"/>
      <c r="HSI108" s="137"/>
      <c r="HSJ108" s="137"/>
      <c r="HSK108" s="99"/>
      <c r="HSL108" s="137"/>
      <c r="HSM108" s="99"/>
      <c r="HSN108" s="138"/>
      <c r="HSO108" s="139"/>
      <c r="HSP108" s="137"/>
      <c r="HSQ108" s="140"/>
      <c r="HSR108" s="141"/>
      <c r="HSS108" s="141"/>
      <c r="HST108" s="137"/>
      <c r="HSU108" s="137"/>
      <c r="HSV108" s="141"/>
      <c r="HSW108" s="137"/>
      <c r="HSX108" s="137"/>
      <c r="HSY108" s="142"/>
      <c r="HSZ108" s="143"/>
      <c r="HTA108" s="144"/>
      <c r="HTB108" s="137"/>
      <c r="HTC108" s="104"/>
      <c r="HTD108" s="243"/>
      <c r="HTE108" s="146"/>
      <c r="HTF108" s="96"/>
      <c r="HTG108" s="136"/>
      <c r="HTH108" s="137"/>
      <c r="HTI108" s="137"/>
      <c r="HTJ108" s="137"/>
      <c r="HTK108" s="137"/>
      <c r="HTL108" s="137"/>
      <c r="HTM108" s="99"/>
      <c r="HTN108" s="137"/>
      <c r="HTO108" s="99"/>
      <c r="HTP108" s="138"/>
      <c r="HTQ108" s="139"/>
      <c r="HTR108" s="137"/>
      <c r="HTS108" s="140"/>
      <c r="HTT108" s="141"/>
      <c r="HTU108" s="141"/>
      <c r="HTV108" s="137"/>
      <c r="HTW108" s="137"/>
      <c r="HTX108" s="141"/>
      <c r="HTY108" s="137"/>
      <c r="HTZ108" s="137"/>
      <c r="HUA108" s="142"/>
      <c r="HUB108" s="143"/>
      <c r="HUC108" s="144"/>
      <c r="HUD108" s="137"/>
      <c r="HUE108" s="104"/>
      <c r="HUF108" s="243"/>
      <c r="HUG108" s="146"/>
      <c r="HUH108" s="96"/>
      <c r="HUI108" s="136"/>
      <c r="HUJ108" s="137"/>
      <c r="HUK108" s="137"/>
      <c r="HUL108" s="137"/>
      <c r="HUM108" s="137"/>
      <c r="HUN108" s="137"/>
      <c r="HUO108" s="99"/>
      <c r="HUP108" s="137"/>
      <c r="HUQ108" s="99"/>
      <c r="HUR108" s="138"/>
      <c r="HUS108" s="139"/>
      <c r="HUT108" s="137"/>
      <c r="HUU108" s="140"/>
      <c r="HUV108" s="141"/>
      <c r="HUW108" s="141"/>
      <c r="HUX108" s="137"/>
      <c r="HUY108" s="137"/>
      <c r="HUZ108" s="141"/>
      <c r="HVA108" s="137"/>
      <c r="HVB108" s="137"/>
      <c r="HVC108" s="142"/>
      <c r="HVD108" s="143"/>
      <c r="HVE108" s="144"/>
      <c r="HVF108" s="137"/>
      <c r="HVG108" s="104"/>
      <c r="HVH108" s="243"/>
      <c r="HVI108" s="146"/>
      <c r="HVJ108" s="96"/>
      <c r="HVK108" s="136"/>
      <c r="HVL108" s="137"/>
      <c r="HVM108" s="137"/>
      <c r="HVN108" s="137"/>
      <c r="HVO108" s="137"/>
      <c r="HVP108" s="137"/>
      <c r="HVQ108" s="99"/>
      <c r="HVR108" s="137"/>
      <c r="HVS108" s="99"/>
      <c r="HVT108" s="138"/>
      <c r="HVU108" s="139"/>
      <c r="HVV108" s="137"/>
      <c r="HVW108" s="140"/>
      <c r="HVX108" s="141"/>
      <c r="HVY108" s="141"/>
      <c r="HVZ108" s="137"/>
      <c r="HWA108" s="137"/>
      <c r="HWB108" s="141"/>
      <c r="HWC108" s="137"/>
      <c r="HWD108" s="137"/>
      <c r="HWE108" s="142"/>
      <c r="HWF108" s="143"/>
      <c r="HWG108" s="144"/>
      <c r="HWH108" s="137"/>
      <c r="HWI108" s="104"/>
      <c r="HWJ108" s="243"/>
      <c r="HWK108" s="146"/>
      <c r="HWL108" s="96"/>
      <c r="HWM108" s="136"/>
      <c r="HWN108" s="137"/>
      <c r="HWO108" s="137"/>
      <c r="HWP108" s="137"/>
      <c r="HWQ108" s="137"/>
      <c r="HWR108" s="137"/>
      <c r="HWS108" s="99"/>
      <c r="HWT108" s="137"/>
      <c r="HWU108" s="99"/>
      <c r="HWV108" s="138"/>
      <c r="HWW108" s="139"/>
      <c r="HWX108" s="137"/>
      <c r="HWY108" s="140"/>
      <c r="HWZ108" s="141"/>
      <c r="HXA108" s="141"/>
      <c r="HXB108" s="137"/>
      <c r="HXC108" s="137"/>
      <c r="HXD108" s="141"/>
      <c r="HXE108" s="137"/>
      <c r="HXF108" s="137"/>
      <c r="HXG108" s="142"/>
      <c r="HXH108" s="143"/>
      <c r="HXI108" s="144"/>
      <c r="HXJ108" s="137"/>
      <c r="HXK108" s="104"/>
      <c r="HXL108" s="243"/>
      <c r="HXM108" s="146"/>
      <c r="HXN108" s="96"/>
      <c r="HXO108" s="136"/>
      <c r="HXP108" s="137"/>
      <c r="HXQ108" s="137"/>
      <c r="HXR108" s="137"/>
      <c r="HXS108" s="137"/>
      <c r="HXT108" s="137"/>
      <c r="HXU108" s="99"/>
      <c r="HXV108" s="137"/>
      <c r="HXW108" s="99"/>
      <c r="HXX108" s="138"/>
      <c r="HXY108" s="139"/>
      <c r="HXZ108" s="137"/>
      <c r="HYA108" s="140"/>
      <c r="HYB108" s="141"/>
      <c r="HYC108" s="141"/>
      <c r="HYD108" s="137"/>
      <c r="HYE108" s="137"/>
      <c r="HYF108" s="141"/>
      <c r="HYG108" s="137"/>
      <c r="HYH108" s="137"/>
      <c r="HYI108" s="142"/>
      <c r="HYJ108" s="143"/>
      <c r="HYK108" s="144"/>
      <c r="HYL108" s="137"/>
      <c r="HYM108" s="104"/>
      <c r="HYN108" s="243"/>
      <c r="HYO108" s="146"/>
      <c r="HYP108" s="96"/>
      <c r="HYQ108" s="136"/>
      <c r="HYR108" s="137"/>
      <c r="HYS108" s="137"/>
      <c r="HYT108" s="137"/>
      <c r="HYU108" s="137"/>
      <c r="HYV108" s="137"/>
      <c r="HYW108" s="99"/>
      <c r="HYX108" s="137"/>
      <c r="HYY108" s="99"/>
      <c r="HYZ108" s="138"/>
      <c r="HZA108" s="139"/>
      <c r="HZB108" s="137"/>
      <c r="HZC108" s="140"/>
      <c r="HZD108" s="141"/>
      <c r="HZE108" s="141"/>
      <c r="HZF108" s="137"/>
      <c r="HZG108" s="137"/>
      <c r="HZH108" s="141"/>
      <c r="HZI108" s="137"/>
      <c r="HZJ108" s="137"/>
      <c r="HZK108" s="142"/>
      <c r="HZL108" s="143"/>
      <c r="HZM108" s="144"/>
      <c r="HZN108" s="137"/>
      <c r="HZO108" s="104"/>
      <c r="HZP108" s="243"/>
      <c r="HZQ108" s="146"/>
      <c r="HZR108" s="96"/>
      <c r="HZS108" s="136"/>
      <c r="HZT108" s="137"/>
      <c r="HZU108" s="137"/>
      <c r="HZV108" s="137"/>
      <c r="HZW108" s="137"/>
      <c r="HZX108" s="137"/>
      <c r="HZY108" s="99"/>
      <c r="HZZ108" s="137"/>
      <c r="IAA108" s="99"/>
      <c r="IAB108" s="138"/>
      <c r="IAC108" s="139"/>
      <c r="IAD108" s="137"/>
      <c r="IAE108" s="140"/>
      <c r="IAF108" s="141"/>
      <c r="IAG108" s="141"/>
      <c r="IAH108" s="137"/>
      <c r="IAI108" s="137"/>
      <c r="IAJ108" s="141"/>
      <c r="IAK108" s="137"/>
      <c r="IAL108" s="137"/>
      <c r="IAM108" s="142"/>
      <c r="IAN108" s="143"/>
      <c r="IAO108" s="144"/>
      <c r="IAP108" s="137"/>
      <c r="IAQ108" s="104"/>
      <c r="IAR108" s="243"/>
      <c r="IAS108" s="146"/>
      <c r="IAT108" s="96"/>
      <c r="IAU108" s="136"/>
      <c r="IAV108" s="137"/>
      <c r="IAW108" s="137"/>
      <c r="IAX108" s="137"/>
      <c r="IAY108" s="137"/>
      <c r="IAZ108" s="137"/>
      <c r="IBA108" s="99"/>
      <c r="IBB108" s="137"/>
      <c r="IBC108" s="99"/>
      <c r="IBD108" s="138"/>
      <c r="IBE108" s="139"/>
      <c r="IBF108" s="137"/>
      <c r="IBG108" s="140"/>
      <c r="IBH108" s="141"/>
      <c r="IBI108" s="141"/>
      <c r="IBJ108" s="137"/>
      <c r="IBK108" s="137"/>
      <c r="IBL108" s="141"/>
      <c r="IBM108" s="137"/>
      <c r="IBN108" s="137"/>
      <c r="IBO108" s="142"/>
      <c r="IBP108" s="143"/>
      <c r="IBQ108" s="144"/>
      <c r="IBR108" s="137"/>
      <c r="IBS108" s="104"/>
      <c r="IBT108" s="243"/>
      <c r="IBU108" s="146"/>
      <c r="IBV108" s="96"/>
      <c r="IBW108" s="136"/>
      <c r="IBX108" s="137"/>
      <c r="IBY108" s="137"/>
      <c r="IBZ108" s="137"/>
      <c r="ICA108" s="137"/>
      <c r="ICB108" s="137"/>
      <c r="ICC108" s="99"/>
      <c r="ICD108" s="137"/>
      <c r="ICE108" s="99"/>
      <c r="ICF108" s="138"/>
      <c r="ICG108" s="139"/>
      <c r="ICH108" s="137"/>
      <c r="ICI108" s="140"/>
      <c r="ICJ108" s="141"/>
      <c r="ICK108" s="141"/>
      <c r="ICL108" s="137"/>
      <c r="ICM108" s="137"/>
      <c r="ICN108" s="141"/>
      <c r="ICO108" s="137"/>
      <c r="ICP108" s="137"/>
      <c r="ICQ108" s="142"/>
      <c r="ICR108" s="143"/>
      <c r="ICS108" s="144"/>
      <c r="ICT108" s="137"/>
      <c r="ICU108" s="104"/>
      <c r="ICV108" s="243"/>
      <c r="ICW108" s="146"/>
      <c r="ICX108" s="96"/>
      <c r="ICY108" s="136"/>
      <c r="ICZ108" s="137"/>
      <c r="IDA108" s="137"/>
      <c r="IDB108" s="137"/>
      <c r="IDC108" s="137"/>
      <c r="IDD108" s="137"/>
      <c r="IDE108" s="99"/>
      <c r="IDF108" s="137"/>
      <c r="IDG108" s="99"/>
      <c r="IDH108" s="138"/>
      <c r="IDI108" s="139"/>
      <c r="IDJ108" s="137"/>
      <c r="IDK108" s="140"/>
      <c r="IDL108" s="141"/>
      <c r="IDM108" s="141"/>
      <c r="IDN108" s="137"/>
      <c r="IDO108" s="137"/>
      <c r="IDP108" s="141"/>
      <c r="IDQ108" s="137"/>
      <c r="IDR108" s="137"/>
      <c r="IDS108" s="142"/>
      <c r="IDT108" s="143"/>
      <c r="IDU108" s="144"/>
      <c r="IDV108" s="137"/>
      <c r="IDW108" s="104"/>
      <c r="IDX108" s="243"/>
      <c r="IDY108" s="146"/>
      <c r="IDZ108" s="96"/>
      <c r="IEA108" s="136"/>
      <c r="IEB108" s="137"/>
      <c r="IEC108" s="137"/>
      <c r="IED108" s="137"/>
      <c r="IEE108" s="137"/>
      <c r="IEF108" s="137"/>
      <c r="IEG108" s="99"/>
      <c r="IEH108" s="137"/>
      <c r="IEI108" s="99"/>
      <c r="IEJ108" s="138"/>
      <c r="IEK108" s="139"/>
      <c r="IEL108" s="137"/>
      <c r="IEM108" s="140"/>
      <c r="IEN108" s="141"/>
      <c r="IEO108" s="141"/>
      <c r="IEP108" s="137"/>
      <c r="IEQ108" s="137"/>
      <c r="IER108" s="141"/>
      <c r="IES108" s="137"/>
      <c r="IET108" s="137"/>
      <c r="IEU108" s="142"/>
      <c r="IEV108" s="143"/>
      <c r="IEW108" s="144"/>
      <c r="IEX108" s="137"/>
      <c r="IEY108" s="104"/>
      <c r="IEZ108" s="243"/>
      <c r="IFA108" s="146"/>
      <c r="IFB108" s="96"/>
      <c r="IFC108" s="136"/>
      <c r="IFD108" s="137"/>
      <c r="IFE108" s="137"/>
      <c r="IFF108" s="137"/>
      <c r="IFG108" s="137"/>
      <c r="IFH108" s="137"/>
      <c r="IFI108" s="99"/>
      <c r="IFJ108" s="137"/>
      <c r="IFK108" s="99"/>
      <c r="IFL108" s="138"/>
      <c r="IFM108" s="139"/>
      <c r="IFN108" s="137"/>
      <c r="IFO108" s="140"/>
      <c r="IFP108" s="141"/>
      <c r="IFQ108" s="141"/>
      <c r="IFR108" s="137"/>
      <c r="IFS108" s="137"/>
      <c r="IFT108" s="141"/>
      <c r="IFU108" s="137"/>
      <c r="IFV108" s="137"/>
      <c r="IFW108" s="142"/>
      <c r="IFX108" s="143"/>
      <c r="IFY108" s="144"/>
      <c r="IFZ108" s="137"/>
      <c r="IGA108" s="104"/>
      <c r="IGB108" s="243"/>
      <c r="IGC108" s="146"/>
      <c r="IGD108" s="96"/>
      <c r="IGE108" s="136"/>
      <c r="IGF108" s="137"/>
      <c r="IGG108" s="137"/>
      <c r="IGH108" s="137"/>
      <c r="IGI108" s="137"/>
      <c r="IGJ108" s="137"/>
      <c r="IGK108" s="99"/>
      <c r="IGL108" s="137"/>
      <c r="IGM108" s="99"/>
      <c r="IGN108" s="138"/>
      <c r="IGO108" s="139"/>
      <c r="IGP108" s="137"/>
      <c r="IGQ108" s="140"/>
      <c r="IGR108" s="141"/>
      <c r="IGS108" s="141"/>
      <c r="IGT108" s="137"/>
      <c r="IGU108" s="137"/>
      <c r="IGV108" s="141"/>
      <c r="IGW108" s="137"/>
      <c r="IGX108" s="137"/>
      <c r="IGY108" s="142"/>
      <c r="IGZ108" s="143"/>
      <c r="IHA108" s="144"/>
      <c r="IHB108" s="137"/>
      <c r="IHC108" s="104"/>
      <c r="IHD108" s="243"/>
      <c r="IHE108" s="146"/>
      <c r="IHF108" s="96"/>
      <c r="IHG108" s="136"/>
      <c r="IHH108" s="137"/>
      <c r="IHI108" s="137"/>
      <c r="IHJ108" s="137"/>
      <c r="IHK108" s="137"/>
      <c r="IHL108" s="137"/>
      <c r="IHM108" s="99"/>
      <c r="IHN108" s="137"/>
      <c r="IHO108" s="99"/>
      <c r="IHP108" s="138"/>
      <c r="IHQ108" s="139"/>
      <c r="IHR108" s="137"/>
      <c r="IHS108" s="140"/>
      <c r="IHT108" s="141"/>
      <c r="IHU108" s="141"/>
      <c r="IHV108" s="137"/>
      <c r="IHW108" s="137"/>
      <c r="IHX108" s="141"/>
      <c r="IHY108" s="137"/>
      <c r="IHZ108" s="137"/>
      <c r="IIA108" s="142"/>
      <c r="IIB108" s="143"/>
      <c r="IIC108" s="144"/>
      <c r="IID108" s="137"/>
      <c r="IIE108" s="104"/>
      <c r="IIF108" s="243"/>
      <c r="IIG108" s="146"/>
      <c r="IIH108" s="96"/>
      <c r="III108" s="136"/>
      <c r="IIJ108" s="137"/>
      <c r="IIK108" s="137"/>
      <c r="IIL108" s="137"/>
      <c r="IIM108" s="137"/>
      <c r="IIN108" s="137"/>
      <c r="IIO108" s="99"/>
      <c r="IIP108" s="137"/>
      <c r="IIQ108" s="99"/>
      <c r="IIR108" s="138"/>
      <c r="IIS108" s="139"/>
      <c r="IIT108" s="137"/>
      <c r="IIU108" s="140"/>
      <c r="IIV108" s="141"/>
      <c r="IIW108" s="141"/>
      <c r="IIX108" s="137"/>
      <c r="IIY108" s="137"/>
      <c r="IIZ108" s="141"/>
      <c r="IJA108" s="137"/>
      <c r="IJB108" s="137"/>
      <c r="IJC108" s="142"/>
      <c r="IJD108" s="143"/>
      <c r="IJE108" s="144"/>
      <c r="IJF108" s="137"/>
      <c r="IJG108" s="104"/>
      <c r="IJH108" s="243"/>
      <c r="IJI108" s="146"/>
      <c r="IJJ108" s="96"/>
      <c r="IJK108" s="136"/>
      <c r="IJL108" s="137"/>
      <c r="IJM108" s="137"/>
      <c r="IJN108" s="137"/>
      <c r="IJO108" s="137"/>
      <c r="IJP108" s="137"/>
      <c r="IJQ108" s="99"/>
      <c r="IJR108" s="137"/>
      <c r="IJS108" s="99"/>
      <c r="IJT108" s="138"/>
      <c r="IJU108" s="139"/>
      <c r="IJV108" s="137"/>
      <c r="IJW108" s="140"/>
      <c r="IJX108" s="141"/>
      <c r="IJY108" s="141"/>
      <c r="IJZ108" s="137"/>
      <c r="IKA108" s="137"/>
      <c r="IKB108" s="141"/>
      <c r="IKC108" s="137"/>
      <c r="IKD108" s="137"/>
      <c r="IKE108" s="142"/>
      <c r="IKF108" s="143"/>
      <c r="IKG108" s="144"/>
      <c r="IKH108" s="137"/>
      <c r="IKI108" s="104"/>
      <c r="IKJ108" s="243"/>
      <c r="IKK108" s="146"/>
      <c r="IKL108" s="96"/>
      <c r="IKM108" s="136"/>
      <c r="IKN108" s="137"/>
      <c r="IKO108" s="137"/>
      <c r="IKP108" s="137"/>
      <c r="IKQ108" s="137"/>
      <c r="IKR108" s="137"/>
      <c r="IKS108" s="99"/>
      <c r="IKT108" s="137"/>
      <c r="IKU108" s="99"/>
      <c r="IKV108" s="138"/>
      <c r="IKW108" s="139"/>
      <c r="IKX108" s="137"/>
      <c r="IKY108" s="140"/>
      <c r="IKZ108" s="141"/>
      <c r="ILA108" s="141"/>
      <c r="ILB108" s="137"/>
      <c r="ILC108" s="137"/>
      <c r="ILD108" s="141"/>
      <c r="ILE108" s="137"/>
      <c r="ILF108" s="137"/>
      <c r="ILG108" s="142"/>
      <c r="ILH108" s="143"/>
      <c r="ILI108" s="144"/>
      <c r="ILJ108" s="137"/>
      <c r="ILK108" s="104"/>
      <c r="ILL108" s="243"/>
      <c r="ILM108" s="146"/>
      <c r="ILN108" s="96"/>
      <c r="ILO108" s="136"/>
      <c r="ILP108" s="137"/>
      <c r="ILQ108" s="137"/>
      <c r="ILR108" s="137"/>
      <c r="ILS108" s="137"/>
      <c r="ILT108" s="137"/>
      <c r="ILU108" s="99"/>
      <c r="ILV108" s="137"/>
      <c r="ILW108" s="99"/>
      <c r="ILX108" s="138"/>
      <c r="ILY108" s="139"/>
      <c r="ILZ108" s="137"/>
      <c r="IMA108" s="140"/>
      <c r="IMB108" s="141"/>
      <c r="IMC108" s="141"/>
      <c r="IMD108" s="137"/>
      <c r="IME108" s="137"/>
      <c r="IMF108" s="141"/>
      <c r="IMG108" s="137"/>
      <c r="IMH108" s="137"/>
      <c r="IMI108" s="142"/>
      <c r="IMJ108" s="143"/>
      <c r="IMK108" s="144"/>
      <c r="IML108" s="137"/>
      <c r="IMM108" s="104"/>
      <c r="IMN108" s="243"/>
      <c r="IMO108" s="146"/>
      <c r="IMP108" s="96"/>
      <c r="IMQ108" s="136"/>
      <c r="IMR108" s="137"/>
      <c r="IMS108" s="137"/>
      <c r="IMT108" s="137"/>
      <c r="IMU108" s="137"/>
      <c r="IMV108" s="137"/>
      <c r="IMW108" s="99"/>
      <c r="IMX108" s="137"/>
      <c r="IMY108" s="99"/>
      <c r="IMZ108" s="138"/>
      <c r="INA108" s="139"/>
      <c r="INB108" s="137"/>
      <c r="INC108" s="140"/>
      <c r="IND108" s="141"/>
      <c r="INE108" s="141"/>
      <c r="INF108" s="137"/>
      <c r="ING108" s="137"/>
      <c r="INH108" s="141"/>
      <c r="INI108" s="137"/>
      <c r="INJ108" s="137"/>
      <c r="INK108" s="142"/>
      <c r="INL108" s="143"/>
      <c r="INM108" s="144"/>
      <c r="INN108" s="137"/>
      <c r="INO108" s="104"/>
      <c r="INP108" s="243"/>
      <c r="INQ108" s="146"/>
      <c r="INR108" s="96"/>
      <c r="INS108" s="136"/>
      <c r="INT108" s="137"/>
      <c r="INU108" s="137"/>
      <c r="INV108" s="137"/>
      <c r="INW108" s="137"/>
      <c r="INX108" s="137"/>
      <c r="INY108" s="99"/>
      <c r="INZ108" s="137"/>
      <c r="IOA108" s="99"/>
      <c r="IOB108" s="138"/>
      <c r="IOC108" s="139"/>
      <c r="IOD108" s="137"/>
      <c r="IOE108" s="140"/>
      <c r="IOF108" s="141"/>
      <c r="IOG108" s="141"/>
      <c r="IOH108" s="137"/>
      <c r="IOI108" s="137"/>
      <c r="IOJ108" s="141"/>
      <c r="IOK108" s="137"/>
      <c r="IOL108" s="137"/>
      <c r="IOM108" s="142"/>
      <c r="ION108" s="143"/>
      <c r="IOO108" s="144"/>
      <c r="IOP108" s="137"/>
      <c r="IOQ108" s="104"/>
      <c r="IOR108" s="243"/>
      <c r="IOS108" s="146"/>
      <c r="IOT108" s="96"/>
      <c r="IOU108" s="136"/>
      <c r="IOV108" s="137"/>
      <c r="IOW108" s="137"/>
      <c r="IOX108" s="137"/>
      <c r="IOY108" s="137"/>
      <c r="IOZ108" s="137"/>
      <c r="IPA108" s="99"/>
      <c r="IPB108" s="137"/>
      <c r="IPC108" s="99"/>
      <c r="IPD108" s="138"/>
      <c r="IPE108" s="139"/>
      <c r="IPF108" s="137"/>
      <c r="IPG108" s="140"/>
      <c r="IPH108" s="141"/>
      <c r="IPI108" s="141"/>
      <c r="IPJ108" s="137"/>
      <c r="IPK108" s="137"/>
      <c r="IPL108" s="141"/>
      <c r="IPM108" s="137"/>
      <c r="IPN108" s="137"/>
      <c r="IPO108" s="142"/>
      <c r="IPP108" s="143"/>
      <c r="IPQ108" s="144"/>
      <c r="IPR108" s="137"/>
      <c r="IPS108" s="104"/>
      <c r="IPT108" s="243"/>
      <c r="IPU108" s="146"/>
      <c r="IPV108" s="96"/>
      <c r="IPW108" s="136"/>
      <c r="IPX108" s="137"/>
      <c r="IPY108" s="137"/>
      <c r="IPZ108" s="137"/>
      <c r="IQA108" s="137"/>
      <c r="IQB108" s="137"/>
      <c r="IQC108" s="99"/>
      <c r="IQD108" s="137"/>
      <c r="IQE108" s="99"/>
      <c r="IQF108" s="138"/>
      <c r="IQG108" s="139"/>
      <c r="IQH108" s="137"/>
      <c r="IQI108" s="140"/>
      <c r="IQJ108" s="141"/>
      <c r="IQK108" s="141"/>
      <c r="IQL108" s="137"/>
      <c r="IQM108" s="137"/>
      <c r="IQN108" s="141"/>
      <c r="IQO108" s="137"/>
      <c r="IQP108" s="137"/>
      <c r="IQQ108" s="142"/>
      <c r="IQR108" s="143"/>
      <c r="IQS108" s="144"/>
      <c r="IQT108" s="137"/>
      <c r="IQU108" s="104"/>
      <c r="IQV108" s="243"/>
      <c r="IQW108" s="146"/>
      <c r="IQX108" s="96"/>
      <c r="IQY108" s="136"/>
      <c r="IQZ108" s="137"/>
      <c r="IRA108" s="137"/>
      <c r="IRB108" s="137"/>
      <c r="IRC108" s="137"/>
      <c r="IRD108" s="137"/>
      <c r="IRE108" s="99"/>
      <c r="IRF108" s="137"/>
      <c r="IRG108" s="99"/>
      <c r="IRH108" s="138"/>
      <c r="IRI108" s="139"/>
      <c r="IRJ108" s="137"/>
      <c r="IRK108" s="140"/>
      <c r="IRL108" s="141"/>
      <c r="IRM108" s="141"/>
      <c r="IRN108" s="137"/>
      <c r="IRO108" s="137"/>
      <c r="IRP108" s="141"/>
      <c r="IRQ108" s="137"/>
      <c r="IRR108" s="137"/>
      <c r="IRS108" s="142"/>
      <c r="IRT108" s="143"/>
      <c r="IRU108" s="144"/>
      <c r="IRV108" s="137"/>
      <c r="IRW108" s="104"/>
      <c r="IRX108" s="243"/>
      <c r="IRY108" s="146"/>
      <c r="IRZ108" s="96"/>
      <c r="ISA108" s="136"/>
      <c r="ISB108" s="137"/>
      <c r="ISC108" s="137"/>
      <c r="ISD108" s="137"/>
      <c r="ISE108" s="137"/>
      <c r="ISF108" s="137"/>
      <c r="ISG108" s="99"/>
      <c r="ISH108" s="137"/>
      <c r="ISI108" s="99"/>
      <c r="ISJ108" s="138"/>
      <c r="ISK108" s="139"/>
      <c r="ISL108" s="137"/>
      <c r="ISM108" s="140"/>
      <c r="ISN108" s="141"/>
      <c r="ISO108" s="141"/>
      <c r="ISP108" s="137"/>
      <c r="ISQ108" s="137"/>
      <c r="ISR108" s="141"/>
      <c r="ISS108" s="137"/>
      <c r="IST108" s="137"/>
      <c r="ISU108" s="142"/>
      <c r="ISV108" s="143"/>
      <c r="ISW108" s="144"/>
      <c r="ISX108" s="137"/>
      <c r="ISY108" s="104"/>
      <c r="ISZ108" s="243"/>
      <c r="ITA108" s="146"/>
      <c r="ITB108" s="96"/>
      <c r="ITC108" s="136"/>
      <c r="ITD108" s="137"/>
      <c r="ITE108" s="137"/>
      <c r="ITF108" s="137"/>
      <c r="ITG108" s="137"/>
      <c r="ITH108" s="137"/>
      <c r="ITI108" s="99"/>
      <c r="ITJ108" s="137"/>
      <c r="ITK108" s="99"/>
      <c r="ITL108" s="138"/>
      <c r="ITM108" s="139"/>
      <c r="ITN108" s="137"/>
      <c r="ITO108" s="140"/>
      <c r="ITP108" s="141"/>
      <c r="ITQ108" s="141"/>
      <c r="ITR108" s="137"/>
      <c r="ITS108" s="137"/>
      <c r="ITT108" s="141"/>
      <c r="ITU108" s="137"/>
      <c r="ITV108" s="137"/>
      <c r="ITW108" s="142"/>
      <c r="ITX108" s="143"/>
      <c r="ITY108" s="144"/>
      <c r="ITZ108" s="137"/>
      <c r="IUA108" s="104"/>
      <c r="IUB108" s="243"/>
      <c r="IUC108" s="146"/>
      <c r="IUD108" s="96"/>
      <c r="IUE108" s="136"/>
      <c r="IUF108" s="137"/>
      <c r="IUG108" s="137"/>
      <c r="IUH108" s="137"/>
      <c r="IUI108" s="137"/>
      <c r="IUJ108" s="137"/>
      <c r="IUK108" s="99"/>
      <c r="IUL108" s="137"/>
      <c r="IUM108" s="99"/>
      <c r="IUN108" s="138"/>
      <c r="IUO108" s="139"/>
      <c r="IUP108" s="137"/>
      <c r="IUQ108" s="140"/>
      <c r="IUR108" s="141"/>
      <c r="IUS108" s="141"/>
      <c r="IUT108" s="137"/>
      <c r="IUU108" s="137"/>
      <c r="IUV108" s="141"/>
      <c r="IUW108" s="137"/>
      <c r="IUX108" s="137"/>
      <c r="IUY108" s="142"/>
      <c r="IUZ108" s="143"/>
      <c r="IVA108" s="144"/>
      <c r="IVB108" s="137"/>
      <c r="IVC108" s="104"/>
      <c r="IVD108" s="243"/>
      <c r="IVE108" s="146"/>
      <c r="IVF108" s="96"/>
      <c r="IVG108" s="136"/>
      <c r="IVH108" s="137"/>
      <c r="IVI108" s="137"/>
      <c r="IVJ108" s="137"/>
      <c r="IVK108" s="137"/>
      <c r="IVL108" s="137"/>
      <c r="IVM108" s="99"/>
      <c r="IVN108" s="137"/>
      <c r="IVO108" s="99"/>
      <c r="IVP108" s="138"/>
      <c r="IVQ108" s="139"/>
      <c r="IVR108" s="137"/>
      <c r="IVS108" s="140"/>
      <c r="IVT108" s="141"/>
      <c r="IVU108" s="141"/>
      <c r="IVV108" s="137"/>
      <c r="IVW108" s="137"/>
      <c r="IVX108" s="141"/>
      <c r="IVY108" s="137"/>
      <c r="IVZ108" s="137"/>
      <c r="IWA108" s="142"/>
      <c r="IWB108" s="143"/>
      <c r="IWC108" s="144"/>
      <c r="IWD108" s="137"/>
      <c r="IWE108" s="104"/>
      <c r="IWF108" s="243"/>
      <c r="IWG108" s="146"/>
      <c r="IWH108" s="96"/>
      <c r="IWI108" s="136"/>
      <c r="IWJ108" s="137"/>
      <c r="IWK108" s="137"/>
      <c r="IWL108" s="137"/>
      <c r="IWM108" s="137"/>
      <c r="IWN108" s="137"/>
      <c r="IWO108" s="99"/>
      <c r="IWP108" s="137"/>
      <c r="IWQ108" s="99"/>
      <c r="IWR108" s="138"/>
      <c r="IWS108" s="139"/>
      <c r="IWT108" s="137"/>
      <c r="IWU108" s="140"/>
      <c r="IWV108" s="141"/>
      <c r="IWW108" s="141"/>
      <c r="IWX108" s="137"/>
      <c r="IWY108" s="137"/>
      <c r="IWZ108" s="141"/>
      <c r="IXA108" s="137"/>
      <c r="IXB108" s="137"/>
      <c r="IXC108" s="142"/>
      <c r="IXD108" s="143"/>
      <c r="IXE108" s="144"/>
      <c r="IXF108" s="137"/>
      <c r="IXG108" s="104"/>
      <c r="IXH108" s="243"/>
      <c r="IXI108" s="146"/>
      <c r="IXJ108" s="96"/>
      <c r="IXK108" s="136"/>
      <c r="IXL108" s="137"/>
      <c r="IXM108" s="137"/>
      <c r="IXN108" s="137"/>
      <c r="IXO108" s="137"/>
      <c r="IXP108" s="137"/>
      <c r="IXQ108" s="99"/>
      <c r="IXR108" s="137"/>
      <c r="IXS108" s="99"/>
      <c r="IXT108" s="138"/>
      <c r="IXU108" s="139"/>
      <c r="IXV108" s="137"/>
      <c r="IXW108" s="140"/>
      <c r="IXX108" s="141"/>
      <c r="IXY108" s="141"/>
      <c r="IXZ108" s="137"/>
      <c r="IYA108" s="137"/>
      <c r="IYB108" s="141"/>
      <c r="IYC108" s="137"/>
      <c r="IYD108" s="137"/>
      <c r="IYE108" s="142"/>
      <c r="IYF108" s="143"/>
      <c r="IYG108" s="144"/>
      <c r="IYH108" s="137"/>
      <c r="IYI108" s="104"/>
      <c r="IYJ108" s="243"/>
      <c r="IYK108" s="146"/>
      <c r="IYL108" s="96"/>
      <c r="IYM108" s="136"/>
      <c r="IYN108" s="137"/>
      <c r="IYO108" s="137"/>
      <c r="IYP108" s="137"/>
      <c r="IYQ108" s="137"/>
      <c r="IYR108" s="137"/>
      <c r="IYS108" s="99"/>
      <c r="IYT108" s="137"/>
      <c r="IYU108" s="99"/>
      <c r="IYV108" s="138"/>
      <c r="IYW108" s="139"/>
      <c r="IYX108" s="137"/>
      <c r="IYY108" s="140"/>
      <c r="IYZ108" s="141"/>
      <c r="IZA108" s="141"/>
      <c r="IZB108" s="137"/>
      <c r="IZC108" s="137"/>
      <c r="IZD108" s="141"/>
      <c r="IZE108" s="137"/>
      <c r="IZF108" s="137"/>
      <c r="IZG108" s="142"/>
      <c r="IZH108" s="143"/>
      <c r="IZI108" s="144"/>
      <c r="IZJ108" s="137"/>
      <c r="IZK108" s="104"/>
      <c r="IZL108" s="243"/>
      <c r="IZM108" s="146"/>
      <c r="IZN108" s="96"/>
      <c r="IZO108" s="136"/>
      <c r="IZP108" s="137"/>
      <c r="IZQ108" s="137"/>
      <c r="IZR108" s="137"/>
      <c r="IZS108" s="137"/>
      <c r="IZT108" s="137"/>
      <c r="IZU108" s="99"/>
      <c r="IZV108" s="137"/>
      <c r="IZW108" s="99"/>
      <c r="IZX108" s="138"/>
      <c r="IZY108" s="139"/>
      <c r="IZZ108" s="137"/>
      <c r="JAA108" s="140"/>
      <c r="JAB108" s="141"/>
      <c r="JAC108" s="141"/>
      <c r="JAD108" s="137"/>
      <c r="JAE108" s="137"/>
      <c r="JAF108" s="141"/>
      <c r="JAG108" s="137"/>
      <c r="JAH108" s="137"/>
      <c r="JAI108" s="142"/>
      <c r="JAJ108" s="143"/>
      <c r="JAK108" s="144"/>
      <c r="JAL108" s="137"/>
      <c r="JAM108" s="104"/>
      <c r="JAN108" s="243"/>
      <c r="JAO108" s="146"/>
      <c r="JAP108" s="96"/>
      <c r="JAQ108" s="136"/>
      <c r="JAR108" s="137"/>
      <c r="JAS108" s="137"/>
      <c r="JAT108" s="137"/>
      <c r="JAU108" s="137"/>
      <c r="JAV108" s="137"/>
      <c r="JAW108" s="99"/>
      <c r="JAX108" s="137"/>
      <c r="JAY108" s="99"/>
      <c r="JAZ108" s="138"/>
      <c r="JBA108" s="139"/>
      <c r="JBB108" s="137"/>
      <c r="JBC108" s="140"/>
      <c r="JBD108" s="141"/>
      <c r="JBE108" s="141"/>
      <c r="JBF108" s="137"/>
      <c r="JBG108" s="137"/>
      <c r="JBH108" s="141"/>
      <c r="JBI108" s="137"/>
      <c r="JBJ108" s="137"/>
      <c r="JBK108" s="142"/>
      <c r="JBL108" s="143"/>
      <c r="JBM108" s="144"/>
      <c r="JBN108" s="137"/>
      <c r="JBO108" s="104"/>
      <c r="JBP108" s="243"/>
      <c r="JBQ108" s="146"/>
      <c r="JBR108" s="96"/>
      <c r="JBS108" s="136"/>
      <c r="JBT108" s="137"/>
      <c r="JBU108" s="137"/>
      <c r="JBV108" s="137"/>
      <c r="JBW108" s="137"/>
      <c r="JBX108" s="137"/>
      <c r="JBY108" s="99"/>
      <c r="JBZ108" s="137"/>
      <c r="JCA108" s="99"/>
      <c r="JCB108" s="138"/>
      <c r="JCC108" s="139"/>
      <c r="JCD108" s="137"/>
      <c r="JCE108" s="140"/>
      <c r="JCF108" s="141"/>
      <c r="JCG108" s="141"/>
      <c r="JCH108" s="137"/>
      <c r="JCI108" s="137"/>
      <c r="JCJ108" s="141"/>
      <c r="JCK108" s="137"/>
      <c r="JCL108" s="137"/>
      <c r="JCM108" s="142"/>
      <c r="JCN108" s="143"/>
      <c r="JCO108" s="144"/>
      <c r="JCP108" s="137"/>
      <c r="JCQ108" s="104"/>
      <c r="JCR108" s="243"/>
      <c r="JCS108" s="146"/>
      <c r="JCT108" s="96"/>
      <c r="JCU108" s="136"/>
      <c r="JCV108" s="137"/>
      <c r="JCW108" s="137"/>
      <c r="JCX108" s="137"/>
      <c r="JCY108" s="137"/>
      <c r="JCZ108" s="137"/>
      <c r="JDA108" s="99"/>
      <c r="JDB108" s="137"/>
      <c r="JDC108" s="99"/>
      <c r="JDD108" s="138"/>
      <c r="JDE108" s="139"/>
      <c r="JDF108" s="137"/>
      <c r="JDG108" s="140"/>
      <c r="JDH108" s="141"/>
      <c r="JDI108" s="141"/>
      <c r="JDJ108" s="137"/>
      <c r="JDK108" s="137"/>
      <c r="JDL108" s="141"/>
      <c r="JDM108" s="137"/>
      <c r="JDN108" s="137"/>
      <c r="JDO108" s="142"/>
      <c r="JDP108" s="143"/>
      <c r="JDQ108" s="144"/>
      <c r="JDR108" s="137"/>
      <c r="JDS108" s="104"/>
      <c r="JDT108" s="243"/>
      <c r="JDU108" s="146"/>
      <c r="JDV108" s="96"/>
      <c r="JDW108" s="136"/>
      <c r="JDX108" s="137"/>
      <c r="JDY108" s="137"/>
      <c r="JDZ108" s="137"/>
      <c r="JEA108" s="137"/>
      <c r="JEB108" s="137"/>
      <c r="JEC108" s="99"/>
      <c r="JED108" s="137"/>
      <c r="JEE108" s="99"/>
      <c r="JEF108" s="138"/>
      <c r="JEG108" s="139"/>
      <c r="JEH108" s="137"/>
      <c r="JEI108" s="140"/>
      <c r="JEJ108" s="141"/>
      <c r="JEK108" s="141"/>
      <c r="JEL108" s="137"/>
      <c r="JEM108" s="137"/>
      <c r="JEN108" s="141"/>
      <c r="JEO108" s="137"/>
      <c r="JEP108" s="137"/>
      <c r="JEQ108" s="142"/>
      <c r="JER108" s="143"/>
      <c r="JES108" s="144"/>
      <c r="JET108" s="137"/>
      <c r="JEU108" s="104"/>
      <c r="JEV108" s="243"/>
      <c r="JEW108" s="146"/>
      <c r="JEX108" s="96"/>
      <c r="JEY108" s="136"/>
      <c r="JEZ108" s="137"/>
      <c r="JFA108" s="137"/>
      <c r="JFB108" s="137"/>
      <c r="JFC108" s="137"/>
      <c r="JFD108" s="137"/>
      <c r="JFE108" s="99"/>
      <c r="JFF108" s="137"/>
      <c r="JFG108" s="99"/>
      <c r="JFH108" s="138"/>
      <c r="JFI108" s="139"/>
      <c r="JFJ108" s="137"/>
      <c r="JFK108" s="140"/>
      <c r="JFL108" s="141"/>
      <c r="JFM108" s="141"/>
      <c r="JFN108" s="137"/>
      <c r="JFO108" s="137"/>
      <c r="JFP108" s="141"/>
      <c r="JFQ108" s="137"/>
      <c r="JFR108" s="137"/>
      <c r="JFS108" s="142"/>
      <c r="JFT108" s="143"/>
      <c r="JFU108" s="144"/>
      <c r="JFV108" s="137"/>
      <c r="JFW108" s="104"/>
      <c r="JFX108" s="243"/>
      <c r="JFY108" s="146"/>
      <c r="JFZ108" s="96"/>
      <c r="JGA108" s="136"/>
      <c r="JGB108" s="137"/>
      <c r="JGC108" s="137"/>
      <c r="JGD108" s="137"/>
      <c r="JGE108" s="137"/>
      <c r="JGF108" s="137"/>
      <c r="JGG108" s="99"/>
      <c r="JGH108" s="137"/>
      <c r="JGI108" s="99"/>
      <c r="JGJ108" s="138"/>
      <c r="JGK108" s="139"/>
      <c r="JGL108" s="137"/>
      <c r="JGM108" s="140"/>
      <c r="JGN108" s="141"/>
      <c r="JGO108" s="141"/>
      <c r="JGP108" s="137"/>
      <c r="JGQ108" s="137"/>
      <c r="JGR108" s="141"/>
      <c r="JGS108" s="137"/>
      <c r="JGT108" s="137"/>
      <c r="JGU108" s="142"/>
      <c r="JGV108" s="143"/>
      <c r="JGW108" s="144"/>
      <c r="JGX108" s="137"/>
      <c r="JGY108" s="104"/>
      <c r="JGZ108" s="243"/>
      <c r="JHA108" s="146"/>
      <c r="JHB108" s="96"/>
      <c r="JHC108" s="136"/>
      <c r="JHD108" s="137"/>
      <c r="JHE108" s="137"/>
      <c r="JHF108" s="137"/>
      <c r="JHG108" s="137"/>
      <c r="JHH108" s="137"/>
      <c r="JHI108" s="99"/>
      <c r="JHJ108" s="137"/>
      <c r="JHK108" s="99"/>
      <c r="JHL108" s="138"/>
      <c r="JHM108" s="139"/>
      <c r="JHN108" s="137"/>
      <c r="JHO108" s="140"/>
      <c r="JHP108" s="141"/>
      <c r="JHQ108" s="141"/>
      <c r="JHR108" s="137"/>
      <c r="JHS108" s="137"/>
      <c r="JHT108" s="141"/>
      <c r="JHU108" s="137"/>
      <c r="JHV108" s="137"/>
      <c r="JHW108" s="142"/>
      <c r="JHX108" s="143"/>
      <c r="JHY108" s="144"/>
      <c r="JHZ108" s="137"/>
      <c r="JIA108" s="104"/>
      <c r="JIB108" s="243"/>
      <c r="JIC108" s="146"/>
      <c r="JID108" s="96"/>
      <c r="JIE108" s="136"/>
      <c r="JIF108" s="137"/>
      <c r="JIG108" s="137"/>
      <c r="JIH108" s="137"/>
      <c r="JII108" s="137"/>
      <c r="JIJ108" s="137"/>
      <c r="JIK108" s="99"/>
      <c r="JIL108" s="137"/>
      <c r="JIM108" s="99"/>
      <c r="JIN108" s="138"/>
      <c r="JIO108" s="139"/>
      <c r="JIP108" s="137"/>
      <c r="JIQ108" s="140"/>
      <c r="JIR108" s="141"/>
      <c r="JIS108" s="141"/>
      <c r="JIT108" s="137"/>
      <c r="JIU108" s="137"/>
      <c r="JIV108" s="141"/>
      <c r="JIW108" s="137"/>
      <c r="JIX108" s="137"/>
      <c r="JIY108" s="142"/>
      <c r="JIZ108" s="143"/>
      <c r="JJA108" s="144"/>
      <c r="JJB108" s="137"/>
      <c r="JJC108" s="104"/>
      <c r="JJD108" s="243"/>
      <c r="JJE108" s="146"/>
      <c r="JJF108" s="96"/>
      <c r="JJG108" s="136"/>
      <c r="JJH108" s="137"/>
      <c r="JJI108" s="137"/>
      <c r="JJJ108" s="137"/>
      <c r="JJK108" s="137"/>
      <c r="JJL108" s="137"/>
      <c r="JJM108" s="99"/>
      <c r="JJN108" s="137"/>
      <c r="JJO108" s="99"/>
      <c r="JJP108" s="138"/>
      <c r="JJQ108" s="139"/>
      <c r="JJR108" s="137"/>
      <c r="JJS108" s="140"/>
      <c r="JJT108" s="141"/>
      <c r="JJU108" s="141"/>
      <c r="JJV108" s="137"/>
      <c r="JJW108" s="137"/>
      <c r="JJX108" s="141"/>
      <c r="JJY108" s="137"/>
      <c r="JJZ108" s="137"/>
      <c r="JKA108" s="142"/>
      <c r="JKB108" s="143"/>
      <c r="JKC108" s="144"/>
      <c r="JKD108" s="137"/>
      <c r="JKE108" s="104"/>
      <c r="JKF108" s="243"/>
      <c r="JKG108" s="146"/>
      <c r="JKH108" s="96"/>
      <c r="JKI108" s="136"/>
      <c r="JKJ108" s="137"/>
      <c r="JKK108" s="137"/>
      <c r="JKL108" s="137"/>
      <c r="JKM108" s="137"/>
      <c r="JKN108" s="137"/>
      <c r="JKO108" s="99"/>
      <c r="JKP108" s="137"/>
      <c r="JKQ108" s="99"/>
      <c r="JKR108" s="138"/>
      <c r="JKS108" s="139"/>
      <c r="JKT108" s="137"/>
      <c r="JKU108" s="140"/>
      <c r="JKV108" s="141"/>
      <c r="JKW108" s="141"/>
      <c r="JKX108" s="137"/>
      <c r="JKY108" s="137"/>
      <c r="JKZ108" s="141"/>
      <c r="JLA108" s="137"/>
      <c r="JLB108" s="137"/>
      <c r="JLC108" s="142"/>
      <c r="JLD108" s="143"/>
      <c r="JLE108" s="144"/>
      <c r="JLF108" s="137"/>
      <c r="JLG108" s="104"/>
      <c r="JLH108" s="243"/>
      <c r="JLI108" s="146"/>
      <c r="JLJ108" s="96"/>
      <c r="JLK108" s="136"/>
      <c r="JLL108" s="137"/>
      <c r="JLM108" s="137"/>
      <c r="JLN108" s="137"/>
      <c r="JLO108" s="137"/>
      <c r="JLP108" s="137"/>
      <c r="JLQ108" s="99"/>
      <c r="JLR108" s="137"/>
      <c r="JLS108" s="99"/>
      <c r="JLT108" s="138"/>
      <c r="JLU108" s="139"/>
      <c r="JLV108" s="137"/>
      <c r="JLW108" s="140"/>
      <c r="JLX108" s="141"/>
      <c r="JLY108" s="141"/>
      <c r="JLZ108" s="137"/>
      <c r="JMA108" s="137"/>
      <c r="JMB108" s="141"/>
      <c r="JMC108" s="137"/>
      <c r="JMD108" s="137"/>
      <c r="JME108" s="142"/>
      <c r="JMF108" s="143"/>
      <c r="JMG108" s="144"/>
      <c r="JMH108" s="137"/>
      <c r="JMI108" s="104"/>
      <c r="JMJ108" s="243"/>
      <c r="JMK108" s="146"/>
      <c r="JML108" s="96"/>
      <c r="JMM108" s="136"/>
      <c r="JMN108" s="137"/>
      <c r="JMO108" s="137"/>
      <c r="JMP108" s="137"/>
      <c r="JMQ108" s="137"/>
      <c r="JMR108" s="137"/>
      <c r="JMS108" s="99"/>
      <c r="JMT108" s="137"/>
      <c r="JMU108" s="99"/>
      <c r="JMV108" s="138"/>
      <c r="JMW108" s="139"/>
      <c r="JMX108" s="137"/>
      <c r="JMY108" s="140"/>
      <c r="JMZ108" s="141"/>
      <c r="JNA108" s="141"/>
      <c r="JNB108" s="137"/>
      <c r="JNC108" s="137"/>
      <c r="JND108" s="141"/>
      <c r="JNE108" s="137"/>
      <c r="JNF108" s="137"/>
      <c r="JNG108" s="142"/>
      <c r="JNH108" s="143"/>
      <c r="JNI108" s="144"/>
      <c r="JNJ108" s="137"/>
      <c r="JNK108" s="104"/>
      <c r="JNL108" s="243"/>
      <c r="JNM108" s="146"/>
      <c r="JNN108" s="96"/>
      <c r="JNO108" s="136"/>
      <c r="JNP108" s="137"/>
      <c r="JNQ108" s="137"/>
      <c r="JNR108" s="137"/>
      <c r="JNS108" s="137"/>
      <c r="JNT108" s="137"/>
      <c r="JNU108" s="99"/>
      <c r="JNV108" s="137"/>
      <c r="JNW108" s="99"/>
      <c r="JNX108" s="138"/>
      <c r="JNY108" s="139"/>
      <c r="JNZ108" s="137"/>
      <c r="JOA108" s="140"/>
      <c r="JOB108" s="141"/>
      <c r="JOC108" s="141"/>
      <c r="JOD108" s="137"/>
      <c r="JOE108" s="137"/>
      <c r="JOF108" s="141"/>
      <c r="JOG108" s="137"/>
      <c r="JOH108" s="137"/>
      <c r="JOI108" s="142"/>
      <c r="JOJ108" s="143"/>
      <c r="JOK108" s="144"/>
      <c r="JOL108" s="137"/>
      <c r="JOM108" s="104"/>
      <c r="JON108" s="243"/>
      <c r="JOO108" s="146"/>
      <c r="JOP108" s="96"/>
      <c r="JOQ108" s="136"/>
      <c r="JOR108" s="137"/>
      <c r="JOS108" s="137"/>
      <c r="JOT108" s="137"/>
      <c r="JOU108" s="137"/>
      <c r="JOV108" s="137"/>
      <c r="JOW108" s="99"/>
      <c r="JOX108" s="137"/>
      <c r="JOY108" s="99"/>
      <c r="JOZ108" s="138"/>
      <c r="JPA108" s="139"/>
      <c r="JPB108" s="137"/>
      <c r="JPC108" s="140"/>
      <c r="JPD108" s="141"/>
      <c r="JPE108" s="141"/>
      <c r="JPF108" s="137"/>
      <c r="JPG108" s="137"/>
      <c r="JPH108" s="141"/>
      <c r="JPI108" s="137"/>
      <c r="JPJ108" s="137"/>
      <c r="JPK108" s="142"/>
      <c r="JPL108" s="143"/>
      <c r="JPM108" s="144"/>
      <c r="JPN108" s="137"/>
      <c r="JPO108" s="104"/>
      <c r="JPP108" s="243"/>
      <c r="JPQ108" s="146"/>
      <c r="JPR108" s="96"/>
      <c r="JPS108" s="136"/>
      <c r="JPT108" s="137"/>
      <c r="JPU108" s="137"/>
      <c r="JPV108" s="137"/>
      <c r="JPW108" s="137"/>
      <c r="JPX108" s="137"/>
      <c r="JPY108" s="99"/>
      <c r="JPZ108" s="137"/>
      <c r="JQA108" s="99"/>
      <c r="JQB108" s="138"/>
      <c r="JQC108" s="139"/>
      <c r="JQD108" s="137"/>
      <c r="JQE108" s="140"/>
      <c r="JQF108" s="141"/>
      <c r="JQG108" s="141"/>
      <c r="JQH108" s="137"/>
      <c r="JQI108" s="137"/>
      <c r="JQJ108" s="141"/>
      <c r="JQK108" s="137"/>
      <c r="JQL108" s="137"/>
      <c r="JQM108" s="142"/>
      <c r="JQN108" s="143"/>
      <c r="JQO108" s="144"/>
      <c r="JQP108" s="137"/>
      <c r="JQQ108" s="104"/>
      <c r="JQR108" s="243"/>
      <c r="JQS108" s="146"/>
      <c r="JQT108" s="96"/>
      <c r="JQU108" s="136"/>
      <c r="JQV108" s="137"/>
      <c r="JQW108" s="137"/>
      <c r="JQX108" s="137"/>
      <c r="JQY108" s="137"/>
      <c r="JQZ108" s="137"/>
      <c r="JRA108" s="99"/>
      <c r="JRB108" s="137"/>
      <c r="JRC108" s="99"/>
      <c r="JRD108" s="138"/>
      <c r="JRE108" s="139"/>
      <c r="JRF108" s="137"/>
      <c r="JRG108" s="140"/>
      <c r="JRH108" s="141"/>
      <c r="JRI108" s="141"/>
      <c r="JRJ108" s="137"/>
      <c r="JRK108" s="137"/>
      <c r="JRL108" s="141"/>
      <c r="JRM108" s="137"/>
      <c r="JRN108" s="137"/>
      <c r="JRO108" s="142"/>
      <c r="JRP108" s="143"/>
      <c r="JRQ108" s="144"/>
      <c r="JRR108" s="137"/>
      <c r="JRS108" s="104"/>
      <c r="JRT108" s="243"/>
      <c r="JRU108" s="146"/>
      <c r="JRV108" s="96"/>
      <c r="JRW108" s="136"/>
      <c r="JRX108" s="137"/>
      <c r="JRY108" s="137"/>
      <c r="JRZ108" s="137"/>
      <c r="JSA108" s="137"/>
      <c r="JSB108" s="137"/>
      <c r="JSC108" s="99"/>
      <c r="JSD108" s="137"/>
      <c r="JSE108" s="99"/>
      <c r="JSF108" s="138"/>
      <c r="JSG108" s="139"/>
      <c r="JSH108" s="137"/>
      <c r="JSI108" s="140"/>
      <c r="JSJ108" s="141"/>
      <c r="JSK108" s="141"/>
      <c r="JSL108" s="137"/>
      <c r="JSM108" s="137"/>
      <c r="JSN108" s="141"/>
      <c r="JSO108" s="137"/>
      <c r="JSP108" s="137"/>
      <c r="JSQ108" s="142"/>
      <c r="JSR108" s="143"/>
      <c r="JSS108" s="144"/>
      <c r="JST108" s="137"/>
      <c r="JSU108" s="104"/>
      <c r="JSV108" s="243"/>
      <c r="JSW108" s="146"/>
      <c r="JSX108" s="96"/>
      <c r="JSY108" s="136"/>
      <c r="JSZ108" s="137"/>
      <c r="JTA108" s="137"/>
      <c r="JTB108" s="137"/>
      <c r="JTC108" s="137"/>
      <c r="JTD108" s="137"/>
      <c r="JTE108" s="99"/>
      <c r="JTF108" s="137"/>
      <c r="JTG108" s="99"/>
      <c r="JTH108" s="138"/>
      <c r="JTI108" s="139"/>
      <c r="JTJ108" s="137"/>
      <c r="JTK108" s="140"/>
      <c r="JTL108" s="141"/>
      <c r="JTM108" s="141"/>
      <c r="JTN108" s="137"/>
      <c r="JTO108" s="137"/>
      <c r="JTP108" s="141"/>
      <c r="JTQ108" s="137"/>
      <c r="JTR108" s="137"/>
      <c r="JTS108" s="142"/>
      <c r="JTT108" s="143"/>
      <c r="JTU108" s="144"/>
      <c r="JTV108" s="137"/>
      <c r="JTW108" s="104"/>
      <c r="JTX108" s="243"/>
      <c r="JTY108" s="146"/>
      <c r="JTZ108" s="96"/>
      <c r="JUA108" s="136"/>
      <c r="JUB108" s="137"/>
      <c r="JUC108" s="137"/>
      <c r="JUD108" s="137"/>
      <c r="JUE108" s="137"/>
      <c r="JUF108" s="137"/>
      <c r="JUG108" s="99"/>
      <c r="JUH108" s="137"/>
      <c r="JUI108" s="99"/>
      <c r="JUJ108" s="138"/>
      <c r="JUK108" s="139"/>
      <c r="JUL108" s="137"/>
      <c r="JUM108" s="140"/>
      <c r="JUN108" s="141"/>
      <c r="JUO108" s="141"/>
      <c r="JUP108" s="137"/>
      <c r="JUQ108" s="137"/>
      <c r="JUR108" s="141"/>
      <c r="JUS108" s="137"/>
      <c r="JUT108" s="137"/>
      <c r="JUU108" s="142"/>
      <c r="JUV108" s="143"/>
      <c r="JUW108" s="144"/>
      <c r="JUX108" s="137"/>
      <c r="JUY108" s="104"/>
      <c r="JUZ108" s="243"/>
      <c r="JVA108" s="146"/>
      <c r="JVB108" s="96"/>
      <c r="JVC108" s="136"/>
      <c r="JVD108" s="137"/>
      <c r="JVE108" s="137"/>
      <c r="JVF108" s="137"/>
      <c r="JVG108" s="137"/>
      <c r="JVH108" s="137"/>
      <c r="JVI108" s="99"/>
      <c r="JVJ108" s="137"/>
      <c r="JVK108" s="99"/>
      <c r="JVL108" s="138"/>
      <c r="JVM108" s="139"/>
      <c r="JVN108" s="137"/>
      <c r="JVO108" s="140"/>
      <c r="JVP108" s="141"/>
      <c r="JVQ108" s="141"/>
      <c r="JVR108" s="137"/>
      <c r="JVS108" s="137"/>
      <c r="JVT108" s="141"/>
      <c r="JVU108" s="137"/>
      <c r="JVV108" s="137"/>
      <c r="JVW108" s="142"/>
      <c r="JVX108" s="143"/>
      <c r="JVY108" s="144"/>
      <c r="JVZ108" s="137"/>
      <c r="JWA108" s="104"/>
      <c r="JWB108" s="243"/>
      <c r="JWC108" s="146"/>
      <c r="JWD108" s="96"/>
      <c r="JWE108" s="136"/>
      <c r="JWF108" s="137"/>
      <c r="JWG108" s="137"/>
      <c r="JWH108" s="137"/>
      <c r="JWI108" s="137"/>
      <c r="JWJ108" s="137"/>
      <c r="JWK108" s="99"/>
      <c r="JWL108" s="137"/>
      <c r="JWM108" s="99"/>
      <c r="JWN108" s="138"/>
      <c r="JWO108" s="139"/>
      <c r="JWP108" s="137"/>
      <c r="JWQ108" s="140"/>
      <c r="JWR108" s="141"/>
      <c r="JWS108" s="141"/>
      <c r="JWT108" s="137"/>
      <c r="JWU108" s="137"/>
      <c r="JWV108" s="141"/>
      <c r="JWW108" s="137"/>
      <c r="JWX108" s="137"/>
      <c r="JWY108" s="142"/>
      <c r="JWZ108" s="143"/>
      <c r="JXA108" s="144"/>
      <c r="JXB108" s="137"/>
      <c r="JXC108" s="104"/>
      <c r="JXD108" s="243"/>
      <c r="JXE108" s="146"/>
      <c r="JXF108" s="96"/>
      <c r="JXG108" s="136"/>
      <c r="JXH108" s="137"/>
      <c r="JXI108" s="137"/>
      <c r="JXJ108" s="137"/>
      <c r="JXK108" s="137"/>
      <c r="JXL108" s="137"/>
      <c r="JXM108" s="99"/>
      <c r="JXN108" s="137"/>
      <c r="JXO108" s="99"/>
      <c r="JXP108" s="138"/>
      <c r="JXQ108" s="139"/>
      <c r="JXR108" s="137"/>
      <c r="JXS108" s="140"/>
      <c r="JXT108" s="141"/>
      <c r="JXU108" s="141"/>
      <c r="JXV108" s="137"/>
      <c r="JXW108" s="137"/>
      <c r="JXX108" s="141"/>
      <c r="JXY108" s="137"/>
      <c r="JXZ108" s="137"/>
      <c r="JYA108" s="142"/>
      <c r="JYB108" s="143"/>
      <c r="JYC108" s="144"/>
      <c r="JYD108" s="137"/>
      <c r="JYE108" s="104"/>
      <c r="JYF108" s="243"/>
      <c r="JYG108" s="146"/>
      <c r="JYH108" s="96"/>
      <c r="JYI108" s="136"/>
      <c r="JYJ108" s="137"/>
      <c r="JYK108" s="137"/>
      <c r="JYL108" s="137"/>
      <c r="JYM108" s="137"/>
      <c r="JYN108" s="137"/>
      <c r="JYO108" s="99"/>
      <c r="JYP108" s="137"/>
      <c r="JYQ108" s="99"/>
      <c r="JYR108" s="138"/>
      <c r="JYS108" s="139"/>
      <c r="JYT108" s="137"/>
      <c r="JYU108" s="140"/>
      <c r="JYV108" s="141"/>
      <c r="JYW108" s="141"/>
      <c r="JYX108" s="137"/>
      <c r="JYY108" s="137"/>
      <c r="JYZ108" s="141"/>
      <c r="JZA108" s="137"/>
      <c r="JZB108" s="137"/>
      <c r="JZC108" s="142"/>
      <c r="JZD108" s="143"/>
      <c r="JZE108" s="144"/>
      <c r="JZF108" s="137"/>
      <c r="JZG108" s="104"/>
      <c r="JZH108" s="243"/>
      <c r="JZI108" s="146"/>
      <c r="JZJ108" s="96"/>
      <c r="JZK108" s="136"/>
      <c r="JZL108" s="137"/>
      <c r="JZM108" s="137"/>
      <c r="JZN108" s="137"/>
      <c r="JZO108" s="137"/>
      <c r="JZP108" s="137"/>
      <c r="JZQ108" s="99"/>
      <c r="JZR108" s="137"/>
      <c r="JZS108" s="99"/>
      <c r="JZT108" s="138"/>
      <c r="JZU108" s="139"/>
      <c r="JZV108" s="137"/>
      <c r="JZW108" s="140"/>
      <c r="JZX108" s="141"/>
      <c r="JZY108" s="141"/>
      <c r="JZZ108" s="137"/>
      <c r="KAA108" s="137"/>
      <c r="KAB108" s="141"/>
      <c r="KAC108" s="137"/>
      <c r="KAD108" s="137"/>
      <c r="KAE108" s="142"/>
      <c r="KAF108" s="143"/>
      <c r="KAG108" s="144"/>
      <c r="KAH108" s="137"/>
      <c r="KAI108" s="104"/>
      <c r="KAJ108" s="243"/>
      <c r="KAK108" s="146"/>
      <c r="KAL108" s="96"/>
      <c r="KAM108" s="136"/>
      <c r="KAN108" s="137"/>
      <c r="KAO108" s="137"/>
      <c r="KAP108" s="137"/>
      <c r="KAQ108" s="137"/>
      <c r="KAR108" s="137"/>
      <c r="KAS108" s="99"/>
      <c r="KAT108" s="137"/>
      <c r="KAU108" s="99"/>
      <c r="KAV108" s="138"/>
      <c r="KAW108" s="139"/>
      <c r="KAX108" s="137"/>
      <c r="KAY108" s="140"/>
      <c r="KAZ108" s="141"/>
      <c r="KBA108" s="141"/>
      <c r="KBB108" s="137"/>
      <c r="KBC108" s="137"/>
      <c r="KBD108" s="141"/>
      <c r="KBE108" s="137"/>
      <c r="KBF108" s="137"/>
      <c r="KBG108" s="142"/>
      <c r="KBH108" s="143"/>
      <c r="KBI108" s="144"/>
      <c r="KBJ108" s="137"/>
      <c r="KBK108" s="104"/>
      <c r="KBL108" s="243"/>
      <c r="KBM108" s="146"/>
      <c r="KBN108" s="96"/>
      <c r="KBO108" s="136"/>
      <c r="KBP108" s="137"/>
      <c r="KBQ108" s="137"/>
      <c r="KBR108" s="137"/>
      <c r="KBS108" s="137"/>
      <c r="KBT108" s="137"/>
      <c r="KBU108" s="99"/>
      <c r="KBV108" s="137"/>
      <c r="KBW108" s="99"/>
      <c r="KBX108" s="138"/>
      <c r="KBY108" s="139"/>
      <c r="KBZ108" s="137"/>
      <c r="KCA108" s="140"/>
      <c r="KCB108" s="141"/>
      <c r="KCC108" s="141"/>
      <c r="KCD108" s="137"/>
      <c r="KCE108" s="137"/>
      <c r="KCF108" s="141"/>
      <c r="KCG108" s="137"/>
      <c r="KCH108" s="137"/>
      <c r="KCI108" s="142"/>
      <c r="KCJ108" s="143"/>
      <c r="KCK108" s="144"/>
      <c r="KCL108" s="137"/>
      <c r="KCM108" s="104"/>
      <c r="KCN108" s="243"/>
      <c r="KCO108" s="146"/>
      <c r="KCP108" s="96"/>
      <c r="KCQ108" s="136"/>
      <c r="KCR108" s="137"/>
      <c r="KCS108" s="137"/>
      <c r="KCT108" s="137"/>
      <c r="KCU108" s="137"/>
      <c r="KCV108" s="137"/>
      <c r="KCW108" s="99"/>
      <c r="KCX108" s="137"/>
      <c r="KCY108" s="99"/>
      <c r="KCZ108" s="138"/>
      <c r="KDA108" s="139"/>
      <c r="KDB108" s="137"/>
      <c r="KDC108" s="140"/>
      <c r="KDD108" s="141"/>
      <c r="KDE108" s="141"/>
      <c r="KDF108" s="137"/>
      <c r="KDG108" s="137"/>
      <c r="KDH108" s="141"/>
      <c r="KDI108" s="137"/>
      <c r="KDJ108" s="137"/>
      <c r="KDK108" s="142"/>
      <c r="KDL108" s="143"/>
      <c r="KDM108" s="144"/>
      <c r="KDN108" s="137"/>
      <c r="KDO108" s="104"/>
      <c r="KDP108" s="243"/>
      <c r="KDQ108" s="146"/>
      <c r="KDR108" s="96"/>
      <c r="KDS108" s="136"/>
      <c r="KDT108" s="137"/>
      <c r="KDU108" s="137"/>
      <c r="KDV108" s="137"/>
      <c r="KDW108" s="137"/>
      <c r="KDX108" s="137"/>
      <c r="KDY108" s="99"/>
      <c r="KDZ108" s="137"/>
      <c r="KEA108" s="99"/>
      <c r="KEB108" s="138"/>
      <c r="KEC108" s="139"/>
      <c r="KED108" s="137"/>
      <c r="KEE108" s="140"/>
      <c r="KEF108" s="141"/>
      <c r="KEG108" s="141"/>
      <c r="KEH108" s="137"/>
      <c r="KEI108" s="137"/>
      <c r="KEJ108" s="141"/>
      <c r="KEK108" s="137"/>
      <c r="KEL108" s="137"/>
      <c r="KEM108" s="142"/>
      <c r="KEN108" s="143"/>
      <c r="KEO108" s="144"/>
      <c r="KEP108" s="137"/>
      <c r="KEQ108" s="104"/>
      <c r="KER108" s="243"/>
      <c r="KES108" s="146"/>
      <c r="KET108" s="96"/>
      <c r="KEU108" s="136"/>
      <c r="KEV108" s="137"/>
      <c r="KEW108" s="137"/>
      <c r="KEX108" s="137"/>
      <c r="KEY108" s="137"/>
      <c r="KEZ108" s="137"/>
      <c r="KFA108" s="99"/>
      <c r="KFB108" s="137"/>
      <c r="KFC108" s="99"/>
      <c r="KFD108" s="138"/>
      <c r="KFE108" s="139"/>
      <c r="KFF108" s="137"/>
      <c r="KFG108" s="140"/>
      <c r="KFH108" s="141"/>
      <c r="KFI108" s="141"/>
      <c r="KFJ108" s="137"/>
      <c r="KFK108" s="137"/>
      <c r="KFL108" s="141"/>
      <c r="KFM108" s="137"/>
      <c r="KFN108" s="137"/>
      <c r="KFO108" s="142"/>
      <c r="KFP108" s="143"/>
      <c r="KFQ108" s="144"/>
      <c r="KFR108" s="137"/>
      <c r="KFS108" s="104"/>
      <c r="KFT108" s="243"/>
      <c r="KFU108" s="146"/>
      <c r="KFV108" s="96"/>
      <c r="KFW108" s="136"/>
      <c r="KFX108" s="137"/>
      <c r="KFY108" s="137"/>
      <c r="KFZ108" s="137"/>
      <c r="KGA108" s="137"/>
      <c r="KGB108" s="137"/>
      <c r="KGC108" s="99"/>
      <c r="KGD108" s="137"/>
      <c r="KGE108" s="99"/>
      <c r="KGF108" s="138"/>
      <c r="KGG108" s="139"/>
      <c r="KGH108" s="137"/>
      <c r="KGI108" s="140"/>
      <c r="KGJ108" s="141"/>
      <c r="KGK108" s="141"/>
      <c r="KGL108" s="137"/>
      <c r="KGM108" s="137"/>
      <c r="KGN108" s="141"/>
      <c r="KGO108" s="137"/>
      <c r="KGP108" s="137"/>
      <c r="KGQ108" s="142"/>
      <c r="KGR108" s="143"/>
      <c r="KGS108" s="144"/>
      <c r="KGT108" s="137"/>
      <c r="KGU108" s="104"/>
      <c r="KGV108" s="243"/>
      <c r="KGW108" s="146"/>
      <c r="KGX108" s="96"/>
      <c r="KGY108" s="136"/>
      <c r="KGZ108" s="137"/>
      <c r="KHA108" s="137"/>
      <c r="KHB108" s="137"/>
      <c r="KHC108" s="137"/>
      <c r="KHD108" s="137"/>
      <c r="KHE108" s="99"/>
      <c r="KHF108" s="137"/>
      <c r="KHG108" s="99"/>
      <c r="KHH108" s="138"/>
      <c r="KHI108" s="139"/>
      <c r="KHJ108" s="137"/>
      <c r="KHK108" s="140"/>
      <c r="KHL108" s="141"/>
      <c r="KHM108" s="141"/>
      <c r="KHN108" s="137"/>
      <c r="KHO108" s="137"/>
      <c r="KHP108" s="141"/>
      <c r="KHQ108" s="137"/>
      <c r="KHR108" s="137"/>
      <c r="KHS108" s="142"/>
      <c r="KHT108" s="143"/>
      <c r="KHU108" s="144"/>
      <c r="KHV108" s="137"/>
      <c r="KHW108" s="104"/>
      <c r="KHX108" s="243"/>
      <c r="KHY108" s="146"/>
      <c r="KHZ108" s="96"/>
      <c r="KIA108" s="136"/>
      <c r="KIB108" s="137"/>
      <c r="KIC108" s="137"/>
      <c r="KID108" s="137"/>
      <c r="KIE108" s="137"/>
      <c r="KIF108" s="137"/>
      <c r="KIG108" s="99"/>
      <c r="KIH108" s="137"/>
      <c r="KII108" s="99"/>
      <c r="KIJ108" s="138"/>
      <c r="KIK108" s="139"/>
      <c r="KIL108" s="137"/>
      <c r="KIM108" s="140"/>
      <c r="KIN108" s="141"/>
      <c r="KIO108" s="141"/>
      <c r="KIP108" s="137"/>
      <c r="KIQ108" s="137"/>
      <c r="KIR108" s="141"/>
      <c r="KIS108" s="137"/>
      <c r="KIT108" s="137"/>
      <c r="KIU108" s="142"/>
      <c r="KIV108" s="143"/>
      <c r="KIW108" s="144"/>
      <c r="KIX108" s="137"/>
      <c r="KIY108" s="104"/>
      <c r="KIZ108" s="243"/>
      <c r="KJA108" s="146"/>
      <c r="KJB108" s="96"/>
      <c r="KJC108" s="136"/>
      <c r="KJD108" s="137"/>
      <c r="KJE108" s="137"/>
      <c r="KJF108" s="137"/>
      <c r="KJG108" s="137"/>
      <c r="KJH108" s="137"/>
      <c r="KJI108" s="99"/>
      <c r="KJJ108" s="137"/>
      <c r="KJK108" s="99"/>
      <c r="KJL108" s="138"/>
      <c r="KJM108" s="139"/>
      <c r="KJN108" s="137"/>
      <c r="KJO108" s="140"/>
      <c r="KJP108" s="141"/>
      <c r="KJQ108" s="141"/>
      <c r="KJR108" s="137"/>
      <c r="KJS108" s="137"/>
      <c r="KJT108" s="141"/>
      <c r="KJU108" s="137"/>
      <c r="KJV108" s="137"/>
      <c r="KJW108" s="142"/>
      <c r="KJX108" s="143"/>
      <c r="KJY108" s="144"/>
      <c r="KJZ108" s="137"/>
      <c r="KKA108" s="104"/>
      <c r="KKB108" s="243"/>
      <c r="KKC108" s="146"/>
      <c r="KKD108" s="96"/>
      <c r="KKE108" s="136"/>
      <c r="KKF108" s="137"/>
      <c r="KKG108" s="137"/>
      <c r="KKH108" s="137"/>
      <c r="KKI108" s="137"/>
      <c r="KKJ108" s="137"/>
      <c r="KKK108" s="99"/>
      <c r="KKL108" s="137"/>
      <c r="KKM108" s="99"/>
      <c r="KKN108" s="138"/>
      <c r="KKO108" s="139"/>
      <c r="KKP108" s="137"/>
      <c r="KKQ108" s="140"/>
      <c r="KKR108" s="141"/>
      <c r="KKS108" s="141"/>
      <c r="KKT108" s="137"/>
      <c r="KKU108" s="137"/>
      <c r="KKV108" s="141"/>
      <c r="KKW108" s="137"/>
      <c r="KKX108" s="137"/>
      <c r="KKY108" s="142"/>
      <c r="KKZ108" s="143"/>
      <c r="KLA108" s="144"/>
      <c r="KLB108" s="137"/>
      <c r="KLC108" s="104"/>
      <c r="KLD108" s="243"/>
      <c r="KLE108" s="146"/>
      <c r="KLF108" s="96"/>
      <c r="KLG108" s="136"/>
      <c r="KLH108" s="137"/>
      <c r="KLI108" s="137"/>
      <c r="KLJ108" s="137"/>
      <c r="KLK108" s="137"/>
      <c r="KLL108" s="137"/>
      <c r="KLM108" s="99"/>
      <c r="KLN108" s="137"/>
      <c r="KLO108" s="99"/>
      <c r="KLP108" s="138"/>
      <c r="KLQ108" s="139"/>
      <c r="KLR108" s="137"/>
      <c r="KLS108" s="140"/>
      <c r="KLT108" s="141"/>
      <c r="KLU108" s="141"/>
      <c r="KLV108" s="137"/>
      <c r="KLW108" s="137"/>
      <c r="KLX108" s="141"/>
      <c r="KLY108" s="137"/>
      <c r="KLZ108" s="137"/>
      <c r="KMA108" s="142"/>
      <c r="KMB108" s="143"/>
      <c r="KMC108" s="144"/>
      <c r="KMD108" s="137"/>
      <c r="KME108" s="104"/>
      <c r="KMF108" s="243"/>
      <c r="KMG108" s="146"/>
      <c r="KMH108" s="96"/>
      <c r="KMI108" s="136"/>
      <c r="KMJ108" s="137"/>
      <c r="KMK108" s="137"/>
      <c r="KML108" s="137"/>
      <c r="KMM108" s="137"/>
      <c r="KMN108" s="137"/>
      <c r="KMO108" s="99"/>
      <c r="KMP108" s="137"/>
      <c r="KMQ108" s="99"/>
      <c r="KMR108" s="138"/>
      <c r="KMS108" s="139"/>
      <c r="KMT108" s="137"/>
      <c r="KMU108" s="140"/>
      <c r="KMV108" s="141"/>
      <c r="KMW108" s="141"/>
      <c r="KMX108" s="137"/>
      <c r="KMY108" s="137"/>
      <c r="KMZ108" s="141"/>
      <c r="KNA108" s="137"/>
      <c r="KNB108" s="137"/>
      <c r="KNC108" s="142"/>
      <c r="KND108" s="143"/>
      <c r="KNE108" s="144"/>
      <c r="KNF108" s="137"/>
      <c r="KNG108" s="104"/>
      <c r="KNH108" s="243"/>
      <c r="KNI108" s="146"/>
      <c r="KNJ108" s="96"/>
      <c r="KNK108" s="136"/>
      <c r="KNL108" s="137"/>
      <c r="KNM108" s="137"/>
      <c r="KNN108" s="137"/>
      <c r="KNO108" s="137"/>
      <c r="KNP108" s="137"/>
      <c r="KNQ108" s="99"/>
      <c r="KNR108" s="137"/>
      <c r="KNS108" s="99"/>
      <c r="KNT108" s="138"/>
      <c r="KNU108" s="139"/>
      <c r="KNV108" s="137"/>
      <c r="KNW108" s="140"/>
      <c r="KNX108" s="141"/>
      <c r="KNY108" s="141"/>
      <c r="KNZ108" s="137"/>
      <c r="KOA108" s="137"/>
      <c r="KOB108" s="141"/>
      <c r="KOC108" s="137"/>
      <c r="KOD108" s="137"/>
      <c r="KOE108" s="142"/>
      <c r="KOF108" s="143"/>
      <c r="KOG108" s="144"/>
      <c r="KOH108" s="137"/>
      <c r="KOI108" s="104"/>
      <c r="KOJ108" s="243"/>
      <c r="KOK108" s="146"/>
      <c r="KOL108" s="96"/>
      <c r="KOM108" s="136"/>
      <c r="KON108" s="137"/>
      <c r="KOO108" s="137"/>
      <c r="KOP108" s="137"/>
      <c r="KOQ108" s="137"/>
      <c r="KOR108" s="137"/>
      <c r="KOS108" s="99"/>
      <c r="KOT108" s="137"/>
      <c r="KOU108" s="99"/>
      <c r="KOV108" s="138"/>
      <c r="KOW108" s="139"/>
      <c r="KOX108" s="137"/>
      <c r="KOY108" s="140"/>
      <c r="KOZ108" s="141"/>
      <c r="KPA108" s="141"/>
      <c r="KPB108" s="137"/>
      <c r="KPC108" s="137"/>
      <c r="KPD108" s="141"/>
      <c r="KPE108" s="137"/>
      <c r="KPF108" s="137"/>
      <c r="KPG108" s="142"/>
      <c r="KPH108" s="143"/>
      <c r="KPI108" s="144"/>
      <c r="KPJ108" s="137"/>
      <c r="KPK108" s="104"/>
      <c r="KPL108" s="243"/>
      <c r="KPM108" s="146"/>
      <c r="KPN108" s="96"/>
      <c r="KPO108" s="136"/>
      <c r="KPP108" s="137"/>
      <c r="KPQ108" s="137"/>
      <c r="KPR108" s="137"/>
      <c r="KPS108" s="137"/>
      <c r="KPT108" s="137"/>
      <c r="KPU108" s="99"/>
      <c r="KPV108" s="137"/>
      <c r="KPW108" s="99"/>
      <c r="KPX108" s="138"/>
      <c r="KPY108" s="139"/>
      <c r="KPZ108" s="137"/>
      <c r="KQA108" s="140"/>
      <c r="KQB108" s="141"/>
      <c r="KQC108" s="141"/>
      <c r="KQD108" s="137"/>
      <c r="KQE108" s="137"/>
      <c r="KQF108" s="141"/>
      <c r="KQG108" s="137"/>
      <c r="KQH108" s="137"/>
      <c r="KQI108" s="142"/>
      <c r="KQJ108" s="143"/>
      <c r="KQK108" s="144"/>
      <c r="KQL108" s="137"/>
      <c r="KQM108" s="104"/>
      <c r="KQN108" s="243"/>
      <c r="KQO108" s="146"/>
      <c r="KQP108" s="96"/>
      <c r="KQQ108" s="136"/>
      <c r="KQR108" s="137"/>
      <c r="KQS108" s="137"/>
      <c r="KQT108" s="137"/>
      <c r="KQU108" s="137"/>
      <c r="KQV108" s="137"/>
      <c r="KQW108" s="99"/>
      <c r="KQX108" s="137"/>
      <c r="KQY108" s="99"/>
      <c r="KQZ108" s="138"/>
      <c r="KRA108" s="139"/>
      <c r="KRB108" s="137"/>
      <c r="KRC108" s="140"/>
      <c r="KRD108" s="141"/>
      <c r="KRE108" s="141"/>
      <c r="KRF108" s="137"/>
      <c r="KRG108" s="137"/>
      <c r="KRH108" s="141"/>
      <c r="KRI108" s="137"/>
      <c r="KRJ108" s="137"/>
      <c r="KRK108" s="142"/>
      <c r="KRL108" s="143"/>
      <c r="KRM108" s="144"/>
      <c r="KRN108" s="137"/>
      <c r="KRO108" s="104"/>
      <c r="KRP108" s="243"/>
      <c r="KRQ108" s="146"/>
      <c r="KRR108" s="96"/>
      <c r="KRS108" s="136"/>
      <c r="KRT108" s="137"/>
      <c r="KRU108" s="137"/>
      <c r="KRV108" s="137"/>
      <c r="KRW108" s="137"/>
      <c r="KRX108" s="137"/>
      <c r="KRY108" s="99"/>
      <c r="KRZ108" s="137"/>
      <c r="KSA108" s="99"/>
      <c r="KSB108" s="138"/>
      <c r="KSC108" s="139"/>
      <c r="KSD108" s="137"/>
      <c r="KSE108" s="140"/>
      <c r="KSF108" s="141"/>
      <c r="KSG108" s="141"/>
      <c r="KSH108" s="137"/>
      <c r="KSI108" s="137"/>
      <c r="KSJ108" s="141"/>
      <c r="KSK108" s="137"/>
      <c r="KSL108" s="137"/>
      <c r="KSM108" s="142"/>
      <c r="KSN108" s="143"/>
      <c r="KSO108" s="144"/>
      <c r="KSP108" s="137"/>
      <c r="KSQ108" s="104"/>
      <c r="KSR108" s="243"/>
      <c r="KSS108" s="146"/>
      <c r="KST108" s="96"/>
      <c r="KSU108" s="136"/>
      <c r="KSV108" s="137"/>
      <c r="KSW108" s="137"/>
      <c r="KSX108" s="137"/>
      <c r="KSY108" s="137"/>
      <c r="KSZ108" s="137"/>
      <c r="KTA108" s="99"/>
      <c r="KTB108" s="137"/>
      <c r="KTC108" s="99"/>
      <c r="KTD108" s="138"/>
      <c r="KTE108" s="139"/>
      <c r="KTF108" s="137"/>
      <c r="KTG108" s="140"/>
      <c r="KTH108" s="141"/>
      <c r="KTI108" s="141"/>
      <c r="KTJ108" s="137"/>
      <c r="KTK108" s="137"/>
      <c r="KTL108" s="141"/>
      <c r="KTM108" s="137"/>
      <c r="KTN108" s="137"/>
      <c r="KTO108" s="142"/>
      <c r="KTP108" s="143"/>
      <c r="KTQ108" s="144"/>
      <c r="KTR108" s="137"/>
      <c r="KTS108" s="104"/>
      <c r="KTT108" s="243"/>
      <c r="KTU108" s="146"/>
      <c r="KTV108" s="96"/>
      <c r="KTW108" s="136"/>
      <c r="KTX108" s="137"/>
      <c r="KTY108" s="137"/>
      <c r="KTZ108" s="137"/>
      <c r="KUA108" s="137"/>
      <c r="KUB108" s="137"/>
      <c r="KUC108" s="99"/>
      <c r="KUD108" s="137"/>
      <c r="KUE108" s="99"/>
      <c r="KUF108" s="138"/>
      <c r="KUG108" s="139"/>
      <c r="KUH108" s="137"/>
      <c r="KUI108" s="140"/>
      <c r="KUJ108" s="141"/>
      <c r="KUK108" s="141"/>
      <c r="KUL108" s="137"/>
      <c r="KUM108" s="137"/>
      <c r="KUN108" s="141"/>
      <c r="KUO108" s="137"/>
      <c r="KUP108" s="137"/>
      <c r="KUQ108" s="142"/>
      <c r="KUR108" s="143"/>
      <c r="KUS108" s="144"/>
      <c r="KUT108" s="137"/>
      <c r="KUU108" s="104"/>
      <c r="KUV108" s="243"/>
      <c r="KUW108" s="146"/>
      <c r="KUX108" s="96"/>
      <c r="KUY108" s="136"/>
      <c r="KUZ108" s="137"/>
      <c r="KVA108" s="137"/>
      <c r="KVB108" s="137"/>
      <c r="KVC108" s="137"/>
      <c r="KVD108" s="137"/>
      <c r="KVE108" s="99"/>
      <c r="KVF108" s="137"/>
      <c r="KVG108" s="99"/>
      <c r="KVH108" s="138"/>
      <c r="KVI108" s="139"/>
      <c r="KVJ108" s="137"/>
      <c r="KVK108" s="140"/>
      <c r="KVL108" s="141"/>
      <c r="KVM108" s="141"/>
      <c r="KVN108" s="137"/>
      <c r="KVO108" s="137"/>
      <c r="KVP108" s="141"/>
      <c r="KVQ108" s="137"/>
      <c r="KVR108" s="137"/>
      <c r="KVS108" s="142"/>
      <c r="KVT108" s="143"/>
      <c r="KVU108" s="144"/>
      <c r="KVV108" s="137"/>
      <c r="KVW108" s="104"/>
      <c r="KVX108" s="243"/>
      <c r="KVY108" s="146"/>
      <c r="KVZ108" s="96"/>
      <c r="KWA108" s="136"/>
      <c r="KWB108" s="137"/>
      <c r="KWC108" s="137"/>
      <c r="KWD108" s="137"/>
      <c r="KWE108" s="137"/>
      <c r="KWF108" s="137"/>
      <c r="KWG108" s="99"/>
      <c r="KWH108" s="137"/>
      <c r="KWI108" s="99"/>
      <c r="KWJ108" s="138"/>
      <c r="KWK108" s="139"/>
      <c r="KWL108" s="137"/>
      <c r="KWM108" s="140"/>
      <c r="KWN108" s="141"/>
      <c r="KWO108" s="141"/>
      <c r="KWP108" s="137"/>
      <c r="KWQ108" s="137"/>
      <c r="KWR108" s="141"/>
      <c r="KWS108" s="137"/>
      <c r="KWT108" s="137"/>
      <c r="KWU108" s="142"/>
      <c r="KWV108" s="143"/>
      <c r="KWW108" s="144"/>
      <c r="KWX108" s="137"/>
      <c r="KWY108" s="104"/>
      <c r="KWZ108" s="243"/>
      <c r="KXA108" s="146"/>
      <c r="KXB108" s="96"/>
      <c r="KXC108" s="136"/>
      <c r="KXD108" s="137"/>
      <c r="KXE108" s="137"/>
      <c r="KXF108" s="137"/>
      <c r="KXG108" s="137"/>
      <c r="KXH108" s="137"/>
      <c r="KXI108" s="99"/>
      <c r="KXJ108" s="137"/>
      <c r="KXK108" s="99"/>
      <c r="KXL108" s="138"/>
      <c r="KXM108" s="139"/>
      <c r="KXN108" s="137"/>
      <c r="KXO108" s="140"/>
      <c r="KXP108" s="141"/>
      <c r="KXQ108" s="141"/>
      <c r="KXR108" s="137"/>
      <c r="KXS108" s="137"/>
      <c r="KXT108" s="141"/>
      <c r="KXU108" s="137"/>
      <c r="KXV108" s="137"/>
      <c r="KXW108" s="142"/>
      <c r="KXX108" s="143"/>
      <c r="KXY108" s="144"/>
      <c r="KXZ108" s="137"/>
      <c r="KYA108" s="104"/>
      <c r="KYB108" s="243"/>
      <c r="KYC108" s="146"/>
      <c r="KYD108" s="96"/>
      <c r="KYE108" s="136"/>
      <c r="KYF108" s="137"/>
      <c r="KYG108" s="137"/>
      <c r="KYH108" s="137"/>
      <c r="KYI108" s="137"/>
      <c r="KYJ108" s="137"/>
      <c r="KYK108" s="99"/>
      <c r="KYL108" s="137"/>
      <c r="KYM108" s="99"/>
      <c r="KYN108" s="138"/>
      <c r="KYO108" s="139"/>
      <c r="KYP108" s="137"/>
      <c r="KYQ108" s="140"/>
      <c r="KYR108" s="141"/>
      <c r="KYS108" s="141"/>
      <c r="KYT108" s="137"/>
      <c r="KYU108" s="137"/>
      <c r="KYV108" s="141"/>
      <c r="KYW108" s="137"/>
      <c r="KYX108" s="137"/>
      <c r="KYY108" s="142"/>
      <c r="KYZ108" s="143"/>
      <c r="KZA108" s="144"/>
      <c r="KZB108" s="137"/>
      <c r="KZC108" s="104"/>
      <c r="KZD108" s="243"/>
      <c r="KZE108" s="146"/>
      <c r="KZF108" s="96"/>
      <c r="KZG108" s="136"/>
      <c r="KZH108" s="137"/>
      <c r="KZI108" s="137"/>
      <c r="KZJ108" s="137"/>
      <c r="KZK108" s="137"/>
      <c r="KZL108" s="137"/>
      <c r="KZM108" s="99"/>
      <c r="KZN108" s="137"/>
      <c r="KZO108" s="99"/>
      <c r="KZP108" s="138"/>
      <c r="KZQ108" s="139"/>
      <c r="KZR108" s="137"/>
      <c r="KZS108" s="140"/>
      <c r="KZT108" s="141"/>
      <c r="KZU108" s="141"/>
      <c r="KZV108" s="137"/>
      <c r="KZW108" s="137"/>
      <c r="KZX108" s="141"/>
      <c r="KZY108" s="137"/>
      <c r="KZZ108" s="137"/>
      <c r="LAA108" s="142"/>
      <c r="LAB108" s="143"/>
      <c r="LAC108" s="144"/>
      <c r="LAD108" s="137"/>
      <c r="LAE108" s="104"/>
      <c r="LAF108" s="243"/>
      <c r="LAG108" s="146"/>
      <c r="LAH108" s="96"/>
      <c r="LAI108" s="136"/>
      <c r="LAJ108" s="137"/>
      <c r="LAK108" s="137"/>
      <c r="LAL108" s="137"/>
      <c r="LAM108" s="137"/>
      <c r="LAN108" s="137"/>
      <c r="LAO108" s="99"/>
      <c r="LAP108" s="137"/>
      <c r="LAQ108" s="99"/>
      <c r="LAR108" s="138"/>
      <c r="LAS108" s="139"/>
      <c r="LAT108" s="137"/>
      <c r="LAU108" s="140"/>
      <c r="LAV108" s="141"/>
      <c r="LAW108" s="141"/>
      <c r="LAX108" s="137"/>
      <c r="LAY108" s="137"/>
      <c r="LAZ108" s="141"/>
      <c r="LBA108" s="137"/>
      <c r="LBB108" s="137"/>
      <c r="LBC108" s="142"/>
      <c r="LBD108" s="143"/>
      <c r="LBE108" s="144"/>
      <c r="LBF108" s="137"/>
      <c r="LBG108" s="104"/>
      <c r="LBH108" s="243"/>
      <c r="LBI108" s="146"/>
      <c r="LBJ108" s="96"/>
      <c r="LBK108" s="136"/>
      <c r="LBL108" s="137"/>
      <c r="LBM108" s="137"/>
      <c r="LBN108" s="137"/>
      <c r="LBO108" s="137"/>
      <c r="LBP108" s="137"/>
      <c r="LBQ108" s="99"/>
      <c r="LBR108" s="137"/>
      <c r="LBS108" s="99"/>
      <c r="LBT108" s="138"/>
      <c r="LBU108" s="139"/>
      <c r="LBV108" s="137"/>
      <c r="LBW108" s="140"/>
      <c r="LBX108" s="141"/>
      <c r="LBY108" s="141"/>
      <c r="LBZ108" s="137"/>
      <c r="LCA108" s="137"/>
      <c r="LCB108" s="141"/>
      <c r="LCC108" s="137"/>
      <c r="LCD108" s="137"/>
      <c r="LCE108" s="142"/>
      <c r="LCF108" s="143"/>
      <c r="LCG108" s="144"/>
      <c r="LCH108" s="137"/>
      <c r="LCI108" s="104"/>
      <c r="LCJ108" s="243"/>
      <c r="LCK108" s="146"/>
      <c r="LCL108" s="96"/>
      <c r="LCM108" s="136"/>
      <c r="LCN108" s="137"/>
      <c r="LCO108" s="137"/>
      <c r="LCP108" s="137"/>
      <c r="LCQ108" s="137"/>
      <c r="LCR108" s="137"/>
      <c r="LCS108" s="99"/>
      <c r="LCT108" s="137"/>
      <c r="LCU108" s="99"/>
      <c r="LCV108" s="138"/>
      <c r="LCW108" s="139"/>
      <c r="LCX108" s="137"/>
      <c r="LCY108" s="140"/>
      <c r="LCZ108" s="141"/>
      <c r="LDA108" s="141"/>
      <c r="LDB108" s="137"/>
      <c r="LDC108" s="137"/>
      <c r="LDD108" s="141"/>
      <c r="LDE108" s="137"/>
      <c r="LDF108" s="137"/>
      <c r="LDG108" s="142"/>
      <c r="LDH108" s="143"/>
      <c r="LDI108" s="144"/>
      <c r="LDJ108" s="137"/>
      <c r="LDK108" s="104"/>
      <c r="LDL108" s="243"/>
      <c r="LDM108" s="146"/>
      <c r="LDN108" s="96"/>
      <c r="LDO108" s="136"/>
      <c r="LDP108" s="137"/>
      <c r="LDQ108" s="137"/>
      <c r="LDR108" s="137"/>
      <c r="LDS108" s="137"/>
      <c r="LDT108" s="137"/>
      <c r="LDU108" s="99"/>
      <c r="LDV108" s="137"/>
      <c r="LDW108" s="99"/>
      <c r="LDX108" s="138"/>
      <c r="LDY108" s="139"/>
      <c r="LDZ108" s="137"/>
      <c r="LEA108" s="140"/>
      <c r="LEB108" s="141"/>
      <c r="LEC108" s="141"/>
      <c r="LED108" s="137"/>
      <c r="LEE108" s="137"/>
      <c r="LEF108" s="141"/>
      <c r="LEG108" s="137"/>
      <c r="LEH108" s="137"/>
      <c r="LEI108" s="142"/>
      <c r="LEJ108" s="143"/>
      <c r="LEK108" s="144"/>
      <c r="LEL108" s="137"/>
      <c r="LEM108" s="104"/>
      <c r="LEN108" s="243"/>
      <c r="LEO108" s="146"/>
      <c r="LEP108" s="96"/>
      <c r="LEQ108" s="136"/>
      <c r="LER108" s="137"/>
      <c r="LES108" s="137"/>
      <c r="LET108" s="137"/>
      <c r="LEU108" s="137"/>
      <c r="LEV108" s="137"/>
      <c r="LEW108" s="99"/>
      <c r="LEX108" s="137"/>
      <c r="LEY108" s="99"/>
      <c r="LEZ108" s="138"/>
      <c r="LFA108" s="139"/>
      <c r="LFB108" s="137"/>
      <c r="LFC108" s="140"/>
      <c r="LFD108" s="141"/>
      <c r="LFE108" s="141"/>
      <c r="LFF108" s="137"/>
      <c r="LFG108" s="137"/>
      <c r="LFH108" s="141"/>
      <c r="LFI108" s="137"/>
      <c r="LFJ108" s="137"/>
      <c r="LFK108" s="142"/>
      <c r="LFL108" s="143"/>
      <c r="LFM108" s="144"/>
      <c r="LFN108" s="137"/>
      <c r="LFO108" s="104"/>
      <c r="LFP108" s="243"/>
      <c r="LFQ108" s="146"/>
      <c r="LFR108" s="96"/>
      <c r="LFS108" s="136"/>
      <c r="LFT108" s="137"/>
      <c r="LFU108" s="137"/>
      <c r="LFV108" s="137"/>
      <c r="LFW108" s="137"/>
      <c r="LFX108" s="137"/>
      <c r="LFY108" s="99"/>
      <c r="LFZ108" s="137"/>
      <c r="LGA108" s="99"/>
      <c r="LGB108" s="138"/>
      <c r="LGC108" s="139"/>
      <c r="LGD108" s="137"/>
      <c r="LGE108" s="140"/>
      <c r="LGF108" s="141"/>
      <c r="LGG108" s="141"/>
      <c r="LGH108" s="137"/>
      <c r="LGI108" s="137"/>
      <c r="LGJ108" s="141"/>
      <c r="LGK108" s="137"/>
      <c r="LGL108" s="137"/>
      <c r="LGM108" s="142"/>
      <c r="LGN108" s="143"/>
      <c r="LGO108" s="144"/>
      <c r="LGP108" s="137"/>
      <c r="LGQ108" s="104"/>
      <c r="LGR108" s="243"/>
      <c r="LGS108" s="146"/>
      <c r="LGT108" s="96"/>
      <c r="LGU108" s="136"/>
      <c r="LGV108" s="137"/>
      <c r="LGW108" s="137"/>
      <c r="LGX108" s="137"/>
      <c r="LGY108" s="137"/>
      <c r="LGZ108" s="137"/>
      <c r="LHA108" s="99"/>
      <c r="LHB108" s="137"/>
      <c r="LHC108" s="99"/>
      <c r="LHD108" s="138"/>
      <c r="LHE108" s="139"/>
      <c r="LHF108" s="137"/>
      <c r="LHG108" s="140"/>
      <c r="LHH108" s="141"/>
      <c r="LHI108" s="141"/>
      <c r="LHJ108" s="137"/>
      <c r="LHK108" s="137"/>
      <c r="LHL108" s="141"/>
      <c r="LHM108" s="137"/>
      <c r="LHN108" s="137"/>
      <c r="LHO108" s="142"/>
      <c r="LHP108" s="143"/>
      <c r="LHQ108" s="144"/>
      <c r="LHR108" s="137"/>
      <c r="LHS108" s="104"/>
      <c r="LHT108" s="243"/>
      <c r="LHU108" s="146"/>
      <c r="LHV108" s="96"/>
      <c r="LHW108" s="136"/>
      <c r="LHX108" s="137"/>
      <c r="LHY108" s="137"/>
      <c r="LHZ108" s="137"/>
      <c r="LIA108" s="137"/>
      <c r="LIB108" s="137"/>
      <c r="LIC108" s="99"/>
      <c r="LID108" s="137"/>
      <c r="LIE108" s="99"/>
      <c r="LIF108" s="138"/>
      <c r="LIG108" s="139"/>
      <c r="LIH108" s="137"/>
      <c r="LII108" s="140"/>
      <c r="LIJ108" s="141"/>
      <c r="LIK108" s="141"/>
      <c r="LIL108" s="137"/>
      <c r="LIM108" s="137"/>
      <c r="LIN108" s="141"/>
      <c r="LIO108" s="137"/>
      <c r="LIP108" s="137"/>
      <c r="LIQ108" s="142"/>
      <c r="LIR108" s="143"/>
      <c r="LIS108" s="144"/>
      <c r="LIT108" s="137"/>
      <c r="LIU108" s="104"/>
      <c r="LIV108" s="243"/>
      <c r="LIW108" s="146"/>
      <c r="LIX108" s="96"/>
      <c r="LIY108" s="136"/>
      <c r="LIZ108" s="137"/>
      <c r="LJA108" s="137"/>
      <c r="LJB108" s="137"/>
      <c r="LJC108" s="137"/>
      <c r="LJD108" s="137"/>
      <c r="LJE108" s="99"/>
      <c r="LJF108" s="137"/>
      <c r="LJG108" s="99"/>
      <c r="LJH108" s="138"/>
      <c r="LJI108" s="139"/>
      <c r="LJJ108" s="137"/>
      <c r="LJK108" s="140"/>
      <c r="LJL108" s="141"/>
      <c r="LJM108" s="141"/>
      <c r="LJN108" s="137"/>
      <c r="LJO108" s="137"/>
      <c r="LJP108" s="141"/>
      <c r="LJQ108" s="137"/>
      <c r="LJR108" s="137"/>
      <c r="LJS108" s="142"/>
      <c r="LJT108" s="143"/>
      <c r="LJU108" s="144"/>
      <c r="LJV108" s="137"/>
      <c r="LJW108" s="104"/>
      <c r="LJX108" s="243"/>
      <c r="LJY108" s="146"/>
      <c r="LJZ108" s="96"/>
      <c r="LKA108" s="136"/>
      <c r="LKB108" s="137"/>
      <c r="LKC108" s="137"/>
      <c r="LKD108" s="137"/>
      <c r="LKE108" s="137"/>
      <c r="LKF108" s="137"/>
      <c r="LKG108" s="99"/>
      <c r="LKH108" s="137"/>
      <c r="LKI108" s="99"/>
      <c r="LKJ108" s="138"/>
      <c r="LKK108" s="139"/>
      <c r="LKL108" s="137"/>
      <c r="LKM108" s="140"/>
      <c r="LKN108" s="141"/>
      <c r="LKO108" s="141"/>
      <c r="LKP108" s="137"/>
      <c r="LKQ108" s="137"/>
      <c r="LKR108" s="141"/>
      <c r="LKS108" s="137"/>
      <c r="LKT108" s="137"/>
      <c r="LKU108" s="142"/>
      <c r="LKV108" s="143"/>
      <c r="LKW108" s="144"/>
      <c r="LKX108" s="137"/>
      <c r="LKY108" s="104"/>
      <c r="LKZ108" s="243"/>
      <c r="LLA108" s="146"/>
      <c r="LLB108" s="96"/>
      <c r="LLC108" s="136"/>
      <c r="LLD108" s="137"/>
      <c r="LLE108" s="137"/>
      <c r="LLF108" s="137"/>
      <c r="LLG108" s="137"/>
      <c r="LLH108" s="137"/>
      <c r="LLI108" s="99"/>
      <c r="LLJ108" s="137"/>
      <c r="LLK108" s="99"/>
      <c r="LLL108" s="138"/>
      <c r="LLM108" s="139"/>
      <c r="LLN108" s="137"/>
      <c r="LLO108" s="140"/>
      <c r="LLP108" s="141"/>
      <c r="LLQ108" s="141"/>
      <c r="LLR108" s="137"/>
      <c r="LLS108" s="137"/>
      <c r="LLT108" s="141"/>
      <c r="LLU108" s="137"/>
      <c r="LLV108" s="137"/>
      <c r="LLW108" s="142"/>
      <c r="LLX108" s="143"/>
      <c r="LLY108" s="144"/>
      <c r="LLZ108" s="137"/>
      <c r="LMA108" s="104"/>
      <c r="LMB108" s="243"/>
      <c r="LMC108" s="146"/>
      <c r="LMD108" s="96"/>
      <c r="LME108" s="136"/>
      <c r="LMF108" s="137"/>
      <c r="LMG108" s="137"/>
      <c r="LMH108" s="137"/>
      <c r="LMI108" s="137"/>
      <c r="LMJ108" s="137"/>
      <c r="LMK108" s="99"/>
      <c r="LML108" s="137"/>
      <c r="LMM108" s="99"/>
      <c r="LMN108" s="138"/>
      <c r="LMO108" s="139"/>
      <c r="LMP108" s="137"/>
      <c r="LMQ108" s="140"/>
      <c r="LMR108" s="141"/>
      <c r="LMS108" s="141"/>
      <c r="LMT108" s="137"/>
      <c r="LMU108" s="137"/>
      <c r="LMV108" s="141"/>
      <c r="LMW108" s="137"/>
      <c r="LMX108" s="137"/>
      <c r="LMY108" s="142"/>
      <c r="LMZ108" s="143"/>
      <c r="LNA108" s="144"/>
      <c r="LNB108" s="137"/>
      <c r="LNC108" s="104"/>
      <c r="LND108" s="243"/>
      <c r="LNE108" s="146"/>
      <c r="LNF108" s="96"/>
      <c r="LNG108" s="136"/>
      <c r="LNH108" s="137"/>
      <c r="LNI108" s="137"/>
      <c r="LNJ108" s="137"/>
      <c r="LNK108" s="137"/>
      <c r="LNL108" s="137"/>
      <c r="LNM108" s="99"/>
      <c r="LNN108" s="137"/>
      <c r="LNO108" s="99"/>
      <c r="LNP108" s="138"/>
      <c r="LNQ108" s="139"/>
      <c r="LNR108" s="137"/>
      <c r="LNS108" s="140"/>
      <c r="LNT108" s="141"/>
      <c r="LNU108" s="141"/>
      <c r="LNV108" s="137"/>
      <c r="LNW108" s="137"/>
      <c r="LNX108" s="141"/>
      <c r="LNY108" s="137"/>
      <c r="LNZ108" s="137"/>
      <c r="LOA108" s="142"/>
      <c r="LOB108" s="143"/>
      <c r="LOC108" s="144"/>
      <c r="LOD108" s="137"/>
      <c r="LOE108" s="104"/>
      <c r="LOF108" s="243"/>
      <c r="LOG108" s="146"/>
      <c r="LOH108" s="96"/>
      <c r="LOI108" s="136"/>
      <c r="LOJ108" s="137"/>
      <c r="LOK108" s="137"/>
      <c r="LOL108" s="137"/>
      <c r="LOM108" s="137"/>
      <c r="LON108" s="137"/>
      <c r="LOO108" s="99"/>
      <c r="LOP108" s="137"/>
      <c r="LOQ108" s="99"/>
      <c r="LOR108" s="138"/>
      <c r="LOS108" s="139"/>
      <c r="LOT108" s="137"/>
      <c r="LOU108" s="140"/>
      <c r="LOV108" s="141"/>
      <c r="LOW108" s="141"/>
      <c r="LOX108" s="137"/>
      <c r="LOY108" s="137"/>
      <c r="LOZ108" s="141"/>
      <c r="LPA108" s="137"/>
      <c r="LPB108" s="137"/>
      <c r="LPC108" s="142"/>
      <c r="LPD108" s="143"/>
      <c r="LPE108" s="144"/>
      <c r="LPF108" s="137"/>
      <c r="LPG108" s="104"/>
      <c r="LPH108" s="243"/>
      <c r="LPI108" s="146"/>
      <c r="LPJ108" s="96"/>
      <c r="LPK108" s="136"/>
      <c r="LPL108" s="137"/>
      <c r="LPM108" s="137"/>
      <c r="LPN108" s="137"/>
      <c r="LPO108" s="137"/>
      <c r="LPP108" s="137"/>
      <c r="LPQ108" s="99"/>
      <c r="LPR108" s="137"/>
      <c r="LPS108" s="99"/>
      <c r="LPT108" s="138"/>
      <c r="LPU108" s="139"/>
      <c r="LPV108" s="137"/>
      <c r="LPW108" s="140"/>
      <c r="LPX108" s="141"/>
      <c r="LPY108" s="141"/>
      <c r="LPZ108" s="137"/>
      <c r="LQA108" s="137"/>
      <c r="LQB108" s="141"/>
      <c r="LQC108" s="137"/>
      <c r="LQD108" s="137"/>
      <c r="LQE108" s="142"/>
      <c r="LQF108" s="143"/>
      <c r="LQG108" s="144"/>
      <c r="LQH108" s="137"/>
      <c r="LQI108" s="104"/>
      <c r="LQJ108" s="243"/>
      <c r="LQK108" s="146"/>
      <c r="LQL108" s="96"/>
      <c r="LQM108" s="136"/>
      <c r="LQN108" s="137"/>
      <c r="LQO108" s="137"/>
      <c r="LQP108" s="137"/>
      <c r="LQQ108" s="137"/>
      <c r="LQR108" s="137"/>
      <c r="LQS108" s="99"/>
      <c r="LQT108" s="137"/>
      <c r="LQU108" s="99"/>
      <c r="LQV108" s="138"/>
      <c r="LQW108" s="139"/>
      <c r="LQX108" s="137"/>
      <c r="LQY108" s="140"/>
      <c r="LQZ108" s="141"/>
      <c r="LRA108" s="141"/>
      <c r="LRB108" s="137"/>
      <c r="LRC108" s="137"/>
      <c r="LRD108" s="141"/>
      <c r="LRE108" s="137"/>
      <c r="LRF108" s="137"/>
      <c r="LRG108" s="142"/>
      <c r="LRH108" s="143"/>
      <c r="LRI108" s="144"/>
      <c r="LRJ108" s="137"/>
      <c r="LRK108" s="104"/>
      <c r="LRL108" s="243"/>
      <c r="LRM108" s="146"/>
      <c r="LRN108" s="96"/>
      <c r="LRO108" s="136"/>
      <c r="LRP108" s="137"/>
      <c r="LRQ108" s="137"/>
      <c r="LRR108" s="137"/>
      <c r="LRS108" s="137"/>
      <c r="LRT108" s="137"/>
      <c r="LRU108" s="99"/>
      <c r="LRV108" s="137"/>
      <c r="LRW108" s="99"/>
      <c r="LRX108" s="138"/>
      <c r="LRY108" s="139"/>
      <c r="LRZ108" s="137"/>
      <c r="LSA108" s="140"/>
      <c r="LSB108" s="141"/>
      <c r="LSC108" s="141"/>
      <c r="LSD108" s="137"/>
      <c r="LSE108" s="137"/>
      <c r="LSF108" s="141"/>
      <c r="LSG108" s="137"/>
      <c r="LSH108" s="137"/>
      <c r="LSI108" s="142"/>
      <c r="LSJ108" s="143"/>
      <c r="LSK108" s="144"/>
      <c r="LSL108" s="137"/>
      <c r="LSM108" s="104"/>
      <c r="LSN108" s="243"/>
      <c r="LSO108" s="146"/>
      <c r="LSP108" s="96"/>
      <c r="LSQ108" s="136"/>
      <c r="LSR108" s="137"/>
      <c r="LSS108" s="137"/>
      <c r="LST108" s="137"/>
      <c r="LSU108" s="137"/>
      <c r="LSV108" s="137"/>
      <c r="LSW108" s="99"/>
      <c r="LSX108" s="137"/>
      <c r="LSY108" s="99"/>
      <c r="LSZ108" s="138"/>
      <c r="LTA108" s="139"/>
      <c r="LTB108" s="137"/>
      <c r="LTC108" s="140"/>
      <c r="LTD108" s="141"/>
      <c r="LTE108" s="141"/>
      <c r="LTF108" s="137"/>
      <c r="LTG108" s="137"/>
      <c r="LTH108" s="141"/>
      <c r="LTI108" s="137"/>
      <c r="LTJ108" s="137"/>
      <c r="LTK108" s="142"/>
      <c r="LTL108" s="143"/>
      <c r="LTM108" s="144"/>
      <c r="LTN108" s="137"/>
      <c r="LTO108" s="104"/>
      <c r="LTP108" s="243"/>
      <c r="LTQ108" s="146"/>
      <c r="LTR108" s="96"/>
      <c r="LTS108" s="136"/>
      <c r="LTT108" s="137"/>
      <c r="LTU108" s="137"/>
      <c r="LTV108" s="137"/>
      <c r="LTW108" s="137"/>
      <c r="LTX108" s="137"/>
      <c r="LTY108" s="99"/>
      <c r="LTZ108" s="137"/>
      <c r="LUA108" s="99"/>
      <c r="LUB108" s="138"/>
      <c r="LUC108" s="139"/>
      <c r="LUD108" s="137"/>
      <c r="LUE108" s="140"/>
      <c r="LUF108" s="141"/>
      <c r="LUG108" s="141"/>
      <c r="LUH108" s="137"/>
      <c r="LUI108" s="137"/>
      <c r="LUJ108" s="141"/>
      <c r="LUK108" s="137"/>
      <c r="LUL108" s="137"/>
      <c r="LUM108" s="142"/>
      <c r="LUN108" s="143"/>
      <c r="LUO108" s="144"/>
      <c r="LUP108" s="137"/>
      <c r="LUQ108" s="104"/>
      <c r="LUR108" s="243"/>
      <c r="LUS108" s="146"/>
      <c r="LUT108" s="96"/>
      <c r="LUU108" s="136"/>
      <c r="LUV108" s="137"/>
      <c r="LUW108" s="137"/>
      <c r="LUX108" s="137"/>
      <c r="LUY108" s="137"/>
      <c r="LUZ108" s="137"/>
      <c r="LVA108" s="99"/>
      <c r="LVB108" s="137"/>
      <c r="LVC108" s="99"/>
      <c r="LVD108" s="138"/>
      <c r="LVE108" s="139"/>
      <c r="LVF108" s="137"/>
      <c r="LVG108" s="140"/>
      <c r="LVH108" s="141"/>
      <c r="LVI108" s="141"/>
      <c r="LVJ108" s="137"/>
      <c r="LVK108" s="137"/>
      <c r="LVL108" s="141"/>
      <c r="LVM108" s="137"/>
      <c r="LVN108" s="137"/>
      <c r="LVO108" s="142"/>
      <c r="LVP108" s="143"/>
      <c r="LVQ108" s="144"/>
      <c r="LVR108" s="137"/>
      <c r="LVS108" s="104"/>
      <c r="LVT108" s="243"/>
      <c r="LVU108" s="146"/>
      <c r="LVV108" s="96"/>
      <c r="LVW108" s="136"/>
      <c r="LVX108" s="137"/>
      <c r="LVY108" s="137"/>
      <c r="LVZ108" s="137"/>
      <c r="LWA108" s="137"/>
      <c r="LWB108" s="137"/>
      <c r="LWC108" s="99"/>
      <c r="LWD108" s="137"/>
      <c r="LWE108" s="99"/>
      <c r="LWF108" s="138"/>
      <c r="LWG108" s="139"/>
      <c r="LWH108" s="137"/>
      <c r="LWI108" s="140"/>
      <c r="LWJ108" s="141"/>
      <c r="LWK108" s="141"/>
      <c r="LWL108" s="137"/>
      <c r="LWM108" s="137"/>
      <c r="LWN108" s="141"/>
      <c r="LWO108" s="137"/>
      <c r="LWP108" s="137"/>
      <c r="LWQ108" s="142"/>
      <c r="LWR108" s="143"/>
      <c r="LWS108" s="144"/>
      <c r="LWT108" s="137"/>
      <c r="LWU108" s="104"/>
      <c r="LWV108" s="243"/>
      <c r="LWW108" s="146"/>
      <c r="LWX108" s="96"/>
      <c r="LWY108" s="136"/>
      <c r="LWZ108" s="137"/>
      <c r="LXA108" s="137"/>
      <c r="LXB108" s="137"/>
      <c r="LXC108" s="137"/>
      <c r="LXD108" s="137"/>
      <c r="LXE108" s="99"/>
      <c r="LXF108" s="137"/>
      <c r="LXG108" s="99"/>
      <c r="LXH108" s="138"/>
      <c r="LXI108" s="139"/>
      <c r="LXJ108" s="137"/>
      <c r="LXK108" s="140"/>
      <c r="LXL108" s="141"/>
      <c r="LXM108" s="141"/>
      <c r="LXN108" s="137"/>
      <c r="LXO108" s="137"/>
      <c r="LXP108" s="141"/>
      <c r="LXQ108" s="137"/>
      <c r="LXR108" s="137"/>
      <c r="LXS108" s="142"/>
      <c r="LXT108" s="143"/>
      <c r="LXU108" s="144"/>
      <c r="LXV108" s="137"/>
      <c r="LXW108" s="104"/>
      <c r="LXX108" s="243"/>
      <c r="LXY108" s="146"/>
      <c r="LXZ108" s="96"/>
      <c r="LYA108" s="136"/>
      <c r="LYB108" s="137"/>
      <c r="LYC108" s="137"/>
      <c r="LYD108" s="137"/>
      <c r="LYE108" s="137"/>
      <c r="LYF108" s="137"/>
      <c r="LYG108" s="99"/>
      <c r="LYH108" s="137"/>
      <c r="LYI108" s="99"/>
      <c r="LYJ108" s="138"/>
      <c r="LYK108" s="139"/>
      <c r="LYL108" s="137"/>
      <c r="LYM108" s="140"/>
      <c r="LYN108" s="141"/>
      <c r="LYO108" s="141"/>
      <c r="LYP108" s="137"/>
      <c r="LYQ108" s="137"/>
      <c r="LYR108" s="141"/>
      <c r="LYS108" s="137"/>
      <c r="LYT108" s="137"/>
      <c r="LYU108" s="142"/>
      <c r="LYV108" s="143"/>
      <c r="LYW108" s="144"/>
      <c r="LYX108" s="137"/>
      <c r="LYY108" s="104"/>
      <c r="LYZ108" s="243"/>
      <c r="LZA108" s="146"/>
      <c r="LZB108" s="96"/>
      <c r="LZC108" s="136"/>
      <c r="LZD108" s="137"/>
      <c r="LZE108" s="137"/>
      <c r="LZF108" s="137"/>
      <c r="LZG108" s="137"/>
      <c r="LZH108" s="137"/>
      <c r="LZI108" s="99"/>
      <c r="LZJ108" s="137"/>
      <c r="LZK108" s="99"/>
      <c r="LZL108" s="138"/>
      <c r="LZM108" s="139"/>
      <c r="LZN108" s="137"/>
      <c r="LZO108" s="140"/>
      <c r="LZP108" s="141"/>
      <c r="LZQ108" s="141"/>
      <c r="LZR108" s="137"/>
      <c r="LZS108" s="137"/>
      <c r="LZT108" s="141"/>
      <c r="LZU108" s="137"/>
      <c r="LZV108" s="137"/>
      <c r="LZW108" s="142"/>
      <c r="LZX108" s="143"/>
      <c r="LZY108" s="144"/>
      <c r="LZZ108" s="137"/>
      <c r="MAA108" s="104"/>
      <c r="MAB108" s="243"/>
      <c r="MAC108" s="146"/>
      <c r="MAD108" s="96"/>
      <c r="MAE108" s="136"/>
      <c r="MAF108" s="137"/>
      <c r="MAG108" s="137"/>
      <c r="MAH108" s="137"/>
      <c r="MAI108" s="137"/>
      <c r="MAJ108" s="137"/>
      <c r="MAK108" s="99"/>
      <c r="MAL108" s="137"/>
      <c r="MAM108" s="99"/>
      <c r="MAN108" s="138"/>
      <c r="MAO108" s="139"/>
      <c r="MAP108" s="137"/>
      <c r="MAQ108" s="140"/>
      <c r="MAR108" s="141"/>
      <c r="MAS108" s="141"/>
      <c r="MAT108" s="137"/>
      <c r="MAU108" s="137"/>
      <c r="MAV108" s="141"/>
      <c r="MAW108" s="137"/>
      <c r="MAX108" s="137"/>
      <c r="MAY108" s="142"/>
      <c r="MAZ108" s="143"/>
      <c r="MBA108" s="144"/>
      <c r="MBB108" s="137"/>
      <c r="MBC108" s="104"/>
      <c r="MBD108" s="243"/>
      <c r="MBE108" s="146"/>
      <c r="MBF108" s="96"/>
      <c r="MBG108" s="136"/>
      <c r="MBH108" s="137"/>
      <c r="MBI108" s="137"/>
      <c r="MBJ108" s="137"/>
      <c r="MBK108" s="137"/>
      <c r="MBL108" s="137"/>
      <c r="MBM108" s="99"/>
      <c r="MBN108" s="137"/>
      <c r="MBO108" s="99"/>
      <c r="MBP108" s="138"/>
      <c r="MBQ108" s="139"/>
      <c r="MBR108" s="137"/>
      <c r="MBS108" s="140"/>
      <c r="MBT108" s="141"/>
      <c r="MBU108" s="141"/>
      <c r="MBV108" s="137"/>
      <c r="MBW108" s="137"/>
      <c r="MBX108" s="141"/>
      <c r="MBY108" s="137"/>
      <c r="MBZ108" s="137"/>
      <c r="MCA108" s="142"/>
      <c r="MCB108" s="143"/>
      <c r="MCC108" s="144"/>
      <c r="MCD108" s="137"/>
      <c r="MCE108" s="104"/>
      <c r="MCF108" s="243"/>
      <c r="MCG108" s="146"/>
      <c r="MCH108" s="96"/>
      <c r="MCI108" s="136"/>
      <c r="MCJ108" s="137"/>
      <c r="MCK108" s="137"/>
      <c r="MCL108" s="137"/>
      <c r="MCM108" s="137"/>
      <c r="MCN108" s="137"/>
      <c r="MCO108" s="99"/>
      <c r="MCP108" s="137"/>
      <c r="MCQ108" s="99"/>
      <c r="MCR108" s="138"/>
      <c r="MCS108" s="139"/>
      <c r="MCT108" s="137"/>
      <c r="MCU108" s="140"/>
      <c r="MCV108" s="141"/>
      <c r="MCW108" s="141"/>
      <c r="MCX108" s="137"/>
      <c r="MCY108" s="137"/>
      <c r="MCZ108" s="141"/>
      <c r="MDA108" s="137"/>
      <c r="MDB108" s="137"/>
      <c r="MDC108" s="142"/>
      <c r="MDD108" s="143"/>
      <c r="MDE108" s="144"/>
      <c r="MDF108" s="137"/>
      <c r="MDG108" s="104"/>
      <c r="MDH108" s="243"/>
      <c r="MDI108" s="146"/>
      <c r="MDJ108" s="96"/>
      <c r="MDK108" s="136"/>
      <c r="MDL108" s="137"/>
      <c r="MDM108" s="137"/>
      <c r="MDN108" s="137"/>
      <c r="MDO108" s="137"/>
      <c r="MDP108" s="137"/>
      <c r="MDQ108" s="99"/>
      <c r="MDR108" s="137"/>
      <c r="MDS108" s="99"/>
      <c r="MDT108" s="138"/>
      <c r="MDU108" s="139"/>
      <c r="MDV108" s="137"/>
      <c r="MDW108" s="140"/>
      <c r="MDX108" s="141"/>
      <c r="MDY108" s="141"/>
      <c r="MDZ108" s="137"/>
      <c r="MEA108" s="137"/>
      <c r="MEB108" s="141"/>
      <c r="MEC108" s="137"/>
      <c r="MED108" s="137"/>
      <c r="MEE108" s="142"/>
      <c r="MEF108" s="143"/>
      <c r="MEG108" s="144"/>
      <c r="MEH108" s="137"/>
      <c r="MEI108" s="104"/>
      <c r="MEJ108" s="243"/>
      <c r="MEK108" s="146"/>
      <c r="MEL108" s="96"/>
      <c r="MEM108" s="136"/>
      <c r="MEN108" s="137"/>
      <c r="MEO108" s="137"/>
      <c r="MEP108" s="137"/>
      <c r="MEQ108" s="137"/>
      <c r="MER108" s="137"/>
      <c r="MES108" s="99"/>
      <c r="MET108" s="137"/>
      <c r="MEU108" s="99"/>
      <c r="MEV108" s="138"/>
      <c r="MEW108" s="139"/>
      <c r="MEX108" s="137"/>
      <c r="MEY108" s="140"/>
      <c r="MEZ108" s="141"/>
      <c r="MFA108" s="141"/>
      <c r="MFB108" s="137"/>
      <c r="MFC108" s="137"/>
      <c r="MFD108" s="141"/>
      <c r="MFE108" s="137"/>
      <c r="MFF108" s="137"/>
      <c r="MFG108" s="142"/>
      <c r="MFH108" s="143"/>
      <c r="MFI108" s="144"/>
      <c r="MFJ108" s="137"/>
      <c r="MFK108" s="104"/>
      <c r="MFL108" s="243"/>
      <c r="MFM108" s="146"/>
      <c r="MFN108" s="96"/>
      <c r="MFO108" s="136"/>
      <c r="MFP108" s="137"/>
      <c r="MFQ108" s="137"/>
      <c r="MFR108" s="137"/>
      <c r="MFS108" s="137"/>
      <c r="MFT108" s="137"/>
      <c r="MFU108" s="99"/>
      <c r="MFV108" s="137"/>
      <c r="MFW108" s="99"/>
      <c r="MFX108" s="138"/>
      <c r="MFY108" s="139"/>
      <c r="MFZ108" s="137"/>
      <c r="MGA108" s="140"/>
      <c r="MGB108" s="141"/>
      <c r="MGC108" s="141"/>
      <c r="MGD108" s="137"/>
      <c r="MGE108" s="137"/>
      <c r="MGF108" s="141"/>
      <c r="MGG108" s="137"/>
      <c r="MGH108" s="137"/>
      <c r="MGI108" s="142"/>
      <c r="MGJ108" s="143"/>
      <c r="MGK108" s="144"/>
      <c r="MGL108" s="137"/>
      <c r="MGM108" s="104"/>
      <c r="MGN108" s="243"/>
      <c r="MGO108" s="146"/>
      <c r="MGP108" s="96"/>
      <c r="MGQ108" s="136"/>
      <c r="MGR108" s="137"/>
      <c r="MGS108" s="137"/>
      <c r="MGT108" s="137"/>
      <c r="MGU108" s="137"/>
      <c r="MGV108" s="137"/>
      <c r="MGW108" s="99"/>
      <c r="MGX108" s="137"/>
      <c r="MGY108" s="99"/>
      <c r="MGZ108" s="138"/>
      <c r="MHA108" s="139"/>
      <c r="MHB108" s="137"/>
      <c r="MHC108" s="140"/>
      <c r="MHD108" s="141"/>
      <c r="MHE108" s="141"/>
      <c r="MHF108" s="137"/>
      <c r="MHG108" s="137"/>
      <c r="MHH108" s="141"/>
      <c r="MHI108" s="137"/>
      <c r="MHJ108" s="137"/>
      <c r="MHK108" s="142"/>
      <c r="MHL108" s="143"/>
      <c r="MHM108" s="144"/>
      <c r="MHN108" s="137"/>
      <c r="MHO108" s="104"/>
      <c r="MHP108" s="243"/>
      <c r="MHQ108" s="146"/>
      <c r="MHR108" s="96"/>
      <c r="MHS108" s="136"/>
      <c r="MHT108" s="137"/>
      <c r="MHU108" s="137"/>
      <c r="MHV108" s="137"/>
      <c r="MHW108" s="137"/>
      <c r="MHX108" s="137"/>
      <c r="MHY108" s="99"/>
      <c r="MHZ108" s="137"/>
      <c r="MIA108" s="99"/>
      <c r="MIB108" s="138"/>
      <c r="MIC108" s="139"/>
      <c r="MID108" s="137"/>
      <c r="MIE108" s="140"/>
      <c r="MIF108" s="141"/>
      <c r="MIG108" s="141"/>
      <c r="MIH108" s="137"/>
      <c r="MII108" s="137"/>
      <c r="MIJ108" s="141"/>
      <c r="MIK108" s="137"/>
      <c r="MIL108" s="137"/>
      <c r="MIM108" s="142"/>
      <c r="MIN108" s="143"/>
      <c r="MIO108" s="144"/>
      <c r="MIP108" s="137"/>
      <c r="MIQ108" s="104"/>
      <c r="MIR108" s="243"/>
      <c r="MIS108" s="146"/>
      <c r="MIT108" s="96"/>
      <c r="MIU108" s="136"/>
      <c r="MIV108" s="137"/>
      <c r="MIW108" s="137"/>
      <c r="MIX108" s="137"/>
      <c r="MIY108" s="137"/>
      <c r="MIZ108" s="137"/>
      <c r="MJA108" s="99"/>
      <c r="MJB108" s="137"/>
      <c r="MJC108" s="99"/>
      <c r="MJD108" s="138"/>
      <c r="MJE108" s="139"/>
      <c r="MJF108" s="137"/>
      <c r="MJG108" s="140"/>
      <c r="MJH108" s="141"/>
      <c r="MJI108" s="141"/>
      <c r="MJJ108" s="137"/>
      <c r="MJK108" s="137"/>
      <c r="MJL108" s="141"/>
      <c r="MJM108" s="137"/>
      <c r="MJN108" s="137"/>
      <c r="MJO108" s="142"/>
      <c r="MJP108" s="143"/>
      <c r="MJQ108" s="144"/>
      <c r="MJR108" s="137"/>
      <c r="MJS108" s="104"/>
      <c r="MJT108" s="243"/>
      <c r="MJU108" s="146"/>
      <c r="MJV108" s="96"/>
      <c r="MJW108" s="136"/>
      <c r="MJX108" s="137"/>
      <c r="MJY108" s="137"/>
      <c r="MJZ108" s="137"/>
      <c r="MKA108" s="137"/>
      <c r="MKB108" s="137"/>
      <c r="MKC108" s="99"/>
      <c r="MKD108" s="137"/>
      <c r="MKE108" s="99"/>
      <c r="MKF108" s="138"/>
      <c r="MKG108" s="139"/>
      <c r="MKH108" s="137"/>
      <c r="MKI108" s="140"/>
      <c r="MKJ108" s="141"/>
      <c r="MKK108" s="141"/>
      <c r="MKL108" s="137"/>
      <c r="MKM108" s="137"/>
      <c r="MKN108" s="141"/>
      <c r="MKO108" s="137"/>
      <c r="MKP108" s="137"/>
      <c r="MKQ108" s="142"/>
      <c r="MKR108" s="143"/>
      <c r="MKS108" s="144"/>
      <c r="MKT108" s="137"/>
      <c r="MKU108" s="104"/>
      <c r="MKV108" s="243"/>
      <c r="MKW108" s="146"/>
      <c r="MKX108" s="96"/>
      <c r="MKY108" s="136"/>
      <c r="MKZ108" s="137"/>
      <c r="MLA108" s="137"/>
      <c r="MLB108" s="137"/>
      <c r="MLC108" s="137"/>
      <c r="MLD108" s="137"/>
      <c r="MLE108" s="99"/>
      <c r="MLF108" s="137"/>
      <c r="MLG108" s="99"/>
      <c r="MLH108" s="138"/>
      <c r="MLI108" s="139"/>
      <c r="MLJ108" s="137"/>
      <c r="MLK108" s="140"/>
      <c r="MLL108" s="141"/>
      <c r="MLM108" s="141"/>
      <c r="MLN108" s="137"/>
      <c r="MLO108" s="137"/>
      <c r="MLP108" s="141"/>
      <c r="MLQ108" s="137"/>
      <c r="MLR108" s="137"/>
      <c r="MLS108" s="142"/>
      <c r="MLT108" s="143"/>
      <c r="MLU108" s="144"/>
      <c r="MLV108" s="137"/>
      <c r="MLW108" s="104"/>
      <c r="MLX108" s="243"/>
      <c r="MLY108" s="146"/>
      <c r="MLZ108" s="96"/>
      <c r="MMA108" s="136"/>
      <c r="MMB108" s="137"/>
      <c r="MMC108" s="137"/>
      <c r="MMD108" s="137"/>
      <c r="MME108" s="137"/>
      <c r="MMF108" s="137"/>
      <c r="MMG108" s="99"/>
      <c r="MMH108" s="137"/>
      <c r="MMI108" s="99"/>
      <c r="MMJ108" s="138"/>
      <c r="MMK108" s="139"/>
      <c r="MML108" s="137"/>
      <c r="MMM108" s="140"/>
      <c r="MMN108" s="141"/>
      <c r="MMO108" s="141"/>
      <c r="MMP108" s="137"/>
      <c r="MMQ108" s="137"/>
      <c r="MMR108" s="141"/>
      <c r="MMS108" s="137"/>
      <c r="MMT108" s="137"/>
      <c r="MMU108" s="142"/>
      <c r="MMV108" s="143"/>
      <c r="MMW108" s="144"/>
      <c r="MMX108" s="137"/>
      <c r="MMY108" s="104"/>
      <c r="MMZ108" s="243"/>
      <c r="MNA108" s="146"/>
      <c r="MNB108" s="96"/>
      <c r="MNC108" s="136"/>
      <c r="MND108" s="137"/>
      <c r="MNE108" s="137"/>
      <c r="MNF108" s="137"/>
      <c r="MNG108" s="137"/>
      <c r="MNH108" s="137"/>
      <c r="MNI108" s="99"/>
      <c r="MNJ108" s="137"/>
      <c r="MNK108" s="99"/>
      <c r="MNL108" s="138"/>
      <c r="MNM108" s="139"/>
      <c r="MNN108" s="137"/>
      <c r="MNO108" s="140"/>
      <c r="MNP108" s="141"/>
      <c r="MNQ108" s="141"/>
      <c r="MNR108" s="137"/>
      <c r="MNS108" s="137"/>
      <c r="MNT108" s="141"/>
      <c r="MNU108" s="137"/>
      <c r="MNV108" s="137"/>
      <c r="MNW108" s="142"/>
      <c r="MNX108" s="143"/>
      <c r="MNY108" s="144"/>
      <c r="MNZ108" s="137"/>
      <c r="MOA108" s="104"/>
      <c r="MOB108" s="243"/>
      <c r="MOC108" s="146"/>
      <c r="MOD108" s="96"/>
      <c r="MOE108" s="136"/>
      <c r="MOF108" s="137"/>
      <c r="MOG108" s="137"/>
      <c r="MOH108" s="137"/>
      <c r="MOI108" s="137"/>
      <c r="MOJ108" s="137"/>
      <c r="MOK108" s="99"/>
      <c r="MOL108" s="137"/>
      <c r="MOM108" s="99"/>
      <c r="MON108" s="138"/>
      <c r="MOO108" s="139"/>
      <c r="MOP108" s="137"/>
      <c r="MOQ108" s="140"/>
      <c r="MOR108" s="141"/>
      <c r="MOS108" s="141"/>
      <c r="MOT108" s="137"/>
      <c r="MOU108" s="137"/>
      <c r="MOV108" s="141"/>
      <c r="MOW108" s="137"/>
      <c r="MOX108" s="137"/>
      <c r="MOY108" s="142"/>
      <c r="MOZ108" s="143"/>
      <c r="MPA108" s="144"/>
      <c r="MPB108" s="137"/>
      <c r="MPC108" s="104"/>
      <c r="MPD108" s="243"/>
      <c r="MPE108" s="146"/>
      <c r="MPF108" s="96"/>
      <c r="MPG108" s="136"/>
      <c r="MPH108" s="137"/>
      <c r="MPI108" s="137"/>
      <c r="MPJ108" s="137"/>
      <c r="MPK108" s="137"/>
      <c r="MPL108" s="137"/>
      <c r="MPM108" s="99"/>
      <c r="MPN108" s="137"/>
      <c r="MPO108" s="99"/>
      <c r="MPP108" s="138"/>
      <c r="MPQ108" s="139"/>
      <c r="MPR108" s="137"/>
      <c r="MPS108" s="140"/>
      <c r="MPT108" s="141"/>
      <c r="MPU108" s="141"/>
      <c r="MPV108" s="137"/>
      <c r="MPW108" s="137"/>
      <c r="MPX108" s="141"/>
      <c r="MPY108" s="137"/>
      <c r="MPZ108" s="137"/>
      <c r="MQA108" s="142"/>
      <c r="MQB108" s="143"/>
      <c r="MQC108" s="144"/>
      <c r="MQD108" s="137"/>
      <c r="MQE108" s="104"/>
      <c r="MQF108" s="243"/>
      <c r="MQG108" s="146"/>
      <c r="MQH108" s="96"/>
      <c r="MQI108" s="136"/>
      <c r="MQJ108" s="137"/>
      <c r="MQK108" s="137"/>
      <c r="MQL108" s="137"/>
      <c r="MQM108" s="137"/>
      <c r="MQN108" s="137"/>
      <c r="MQO108" s="99"/>
      <c r="MQP108" s="137"/>
      <c r="MQQ108" s="99"/>
      <c r="MQR108" s="138"/>
      <c r="MQS108" s="139"/>
      <c r="MQT108" s="137"/>
      <c r="MQU108" s="140"/>
      <c r="MQV108" s="141"/>
      <c r="MQW108" s="141"/>
      <c r="MQX108" s="137"/>
      <c r="MQY108" s="137"/>
      <c r="MQZ108" s="141"/>
      <c r="MRA108" s="137"/>
      <c r="MRB108" s="137"/>
      <c r="MRC108" s="142"/>
      <c r="MRD108" s="143"/>
      <c r="MRE108" s="144"/>
      <c r="MRF108" s="137"/>
      <c r="MRG108" s="104"/>
      <c r="MRH108" s="243"/>
      <c r="MRI108" s="146"/>
      <c r="MRJ108" s="96"/>
      <c r="MRK108" s="136"/>
      <c r="MRL108" s="137"/>
      <c r="MRM108" s="137"/>
      <c r="MRN108" s="137"/>
      <c r="MRO108" s="137"/>
      <c r="MRP108" s="137"/>
      <c r="MRQ108" s="99"/>
      <c r="MRR108" s="137"/>
      <c r="MRS108" s="99"/>
      <c r="MRT108" s="138"/>
      <c r="MRU108" s="139"/>
      <c r="MRV108" s="137"/>
      <c r="MRW108" s="140"/>
      <c r="MRX108" s="141"/>
      <c r="MRY108" s="141"/>
      <c r="MRZ108" s="137"/>
      <c r="MSA108" s="137"/>
      <c r="MSB108" s="141"/>
      <c r="MSC108" s="137"/>
      <c r="MSD108" s="137"/>
      <c r="MSE108" s="142"/>
      <c r="MSF108" s="143"/>
      <c r="MSG108" s="144"/>
      <c r="MSH108" s="137"/>
      <c r="MSI108" s="104"/>
      <c r="MSJ108" s="243"/>
      <c r="MSK108" s="146"/>
      <c r="MSL108" s="96"/>
      <c r="MSM108" s="136"/>
      <c r="MSN108" s="137"/>
      <c r="MSO108" s="137"/>
      <c r="MSP108" s="137"/>
      <c r="MSQ108" s="137"/>
      <c r="MSR108" s="137"/>
      <c r="MSS108" s="99"/>
      <c r="MST108" s="137"/>
      <c r="MSU108" s="99"/>
      <c r="MSV108" s="138"/>
      <c r="MSW108" s="139"/>
      <c r="MSX108" s="137"/>
      <c r="MSY108" s="140"/>
      <c r="MSZ108" s="141"/>
      <c r="MTA108" s="141"/>
      <c r="MTB108" s="137"/>
      <c r="MTC108" s="137"/>
      <c r="MTD108" s="141"/>
      <c r="MTE108" s="137"/>
      <c r="MTF108" s="137"/>
      <c r="MTG108" s="142"/>
      <c r="MTH108" s="143"/>
      <c r="MTI108" s="144"/>
      <c r="MTJ108" s="137"/>
      <c r="MTK108" s="104"/>
      <c r="MTL108" s="243"/>
      <c r="MTM108" s="146"/>
      <c r="MTN108" s="96"/>
      <c r="MTO108" s="136"/>
      <c r="MTP108" s="137"/>
      <c r="MTQ108" s="137"/>
      <c r="MTR108" s="137"/>
      <c r="MTS108" s="137"/>
      <c r="MTT108" s="137"/>
      <c r="MTU108" s="99"/>
      <c r="MTV108" s="137"/>
      <c r="MTW108" s="99"/>
      <c r="MTX108" s="138"/>
      <c r="MTY108" s="139"/>
      <c r="MTZ108" s="137"/>
      <c r="MUA108" s="140"/>
      <c r="MUB108" s="141"/>
      <c r="MUC108" s="141"/>
      <c r="MUD108" s="137"/>
      <c r="MUE108" s="137"/>
      <c r="MUF108" s="141"/>
      <c r="MUG108" s="137"/>
      <c r="MUH108" s="137"/>
      <c r="MUI108" s="142"/>
      <c r="MUJ108" s="143"/>
      <c r="MUK108" s="144"/>
      <c r="MUL108" s="137"/>
      <c r="MUM108" s="104"/>
      <c r="MUN108" s="243"/>
      <c r="MUO108" s="146"/>
      <c r="MUP108" s="96"/>
      <c r="MUQ108" s="136"/>
      <c r="MUR108" s="137"/>
      <c r="MUS108" s="137"/>
      <c r="MUT108" s="137"/>
      <c r="MUU108" s="137"/>
      <c r="MUV108" s="137"/>
      <c r="MUW108" s="99"/>
      <c r="MUX108" s="137"/>
      <c r="MUY108" s="99"/>
      <c r="MUZ108" s="138"/>
      <c r="MVA108" s="139"/>
      <c r="MVB108" s="137"/>
      <c r="MVC108" s="140"/>
      <c r="MVD108" s="141"/>
      <c r="MVE108" s="141"/>
      <c r="MVF108" s="137"/>
      <c r="MVG108" s="137"/>
      <c r="MVH108" s="141"/>
      <c r="MVI108" s="137"/>
      <c r="MVJ108" s="137"/>
      <c r="MVK108" s="142"/>
      <c r="MVL108" s="143"/>
      <c r="MVM108" s="144"/>
      <c r="MVN108" s="137"/>
      <c r="MVO108" s="104"/>
      <c r="MVP108" s="243"/>
      <c r="MVQ108" s="146"/>
      <c r="MVR108" s="96"/>
      <c r="MVS108" s="136"/>
      <c r="MVT108" s="137"/>
      <c r="MVU108" s="137"/>
      <c r="MVV108" s="137"/>
      <c r="MVW108" s="137"/>
      <c r="MVX108" s="137"/>
      <c r="MVY108" s="99"/>
      <c r="MVZ108" s="137"/>
      <c r="MWA108" s="99"/>
      <c r="MWB108" s="138"/>
      <c r="MWC108" s="139"/>
      <c r="MWD108" s="137"/>
      <c r="MWE108" s="140"/>
      <c r="MWF108" s="141"/>
      <c r="MWG108" s="141"/>
      <c r="MWH108" s="137"/>
      <c r="MWI108" s="137"/>
      <c r="MWJ108" s="141"/>
      <c r="MWK108" s="137"/>
      <c r="MWL108" s="137"/>
      <c r="MWM108" s="142"/>
      <c r="MWN108" s="143"/>
      <c r="MWO108" s="144"/>
      <c r="MWP108" s="137"/>
      <c r="MWQ108" s="104"/>
      <c r="MWR108" s="243"/>
      <c r="MWS108" s="146"/>
      <c r="MWT108" s="96"/>
      <c r="MWU108" s="136"/>
      <c r="MWV108" s="137"/>
      <c r="MWW108" s="137"/>
      <c r="MWX108" s="137"/>
      <c r="MWY108" s="137"/>
      <c r="MWZ108" s="137"/>
      <c r="MXA108" s="99"/>
      <c r="MXB108" s="137"/>
      <c r="MXC108" s="99"/>
      <c r="MXD108" s="138"/>
      <c r="MXE108" s="139"/>
      <c r="MXF108" s="137"/>
      <c r="MXG108" s="140"/>
      <c r="MXH108" s="141"/>
      <c r="MXI108" s="141"/>
      <c r="MXJ108" s="137"/>
      <c r="MXK108" s="137"/>
      <c r="MXL108" s="141"/>
      <c r="MXM108" s="137"/>
      <c r="MXN108" s="137"/>
      <c r="MXO108" s="142"/>
      <c r="MXP108" s="143"/>
      <c r="MXQ108" s="144"/>
      <c r="MXR108" s="137"/>
      <c r="MXS108" s="104"/>
      <c r="MXT108" s="243"/>
      <c r="MXU108" s="146"/>
      <c r="MXV108" s="96"/>
      <c r="MXW108" s="136"/>
      <c r="MXX108" s="137"/>
      <c r="MXY108" s="137"/>
      <c r="MXZ108" s="137"/>
      <c r="MYA108" s="137"/>
      <c r="MYB108" s="137"/>
      <c r="MYC108" s="99"/>
      <c r="MYD108" s="137"/>
      <c r="MYE108" s="99"/>
      <c r="MYF108" s="138"/>
      <c r="MYG108" s="139"/>
      <c r="MYH108" s="137"/>
      <c r="MYI108" s="140"/>
      <c r="MYJ108" s="141"/>
      <c r="MYK108" s="141"/>
      <c r="MYL108" s="137"/>
      <c r="MYM108" s="137"/>
      <c r="MYN108" s="141"/>
      <c r="MYO108" s="137"/>
      <c r="MYP108" s="137"/>
      <c r="MYQ108" s="142"/>
      <c r="MYR108" s="143"/>
      <c r="MYS108" s="144"/>
      <c r="MYT108" s="137"/>
      <c r="MYU108" s="104"/>
      <c r="MYV108" s="243"/>
      <c r="MYW108" s="146"/>
      <c r="MYX108" s="96"/>
      <c r="MYY108" s="136"/>
      <c r="MYZ108" s="137"/>
      <c r="MZA108" s="137"/>
      <c r="MZB108" s="137"/>
      <c r="MZC108" s="137"/>
      <c r="MZD108" s="137"/>
      <c r="MZE108" s="99"/>
      <c r="MZF108" s="137"/>
      <c r="MZG108" s="99"/>
      <c r="MZH108" s="138"/>
      <c r="MZI108" s="139"/>
      <c r="MZJ108" s="137"/>
      <c r="MZK108" s="140"/>
      <c r="MZL108" s="141"/>
      <c r="MZM108" s="141"/>
      <c r="MZN108" s="137"/>
      <c r="MZO108" s="137"/>
      <c r="MZP108" s="141"/>
      <c r="MZQ108" s="137"/>
      <c r="MZR108" s="137"/>
      <c r="MZS108" s="142"/>
      <c r="MZT108" s="143"/>
      <c r="MZU108" s="144"/>
      <c r="MZV108" s="137"/>
      <c r="MZW108" s="104"/>
      <c r="MZX108" s="243"/>
      <c r="MZY108" s="146"/>
      <c r="MZZ108" s="96"/>
      <c r="NAA108" s="136"/>
      <c r="NAB108" s="137"/>
      <c r="NAC108" s="137"/>
      <c r="NAD108" s="137"/>
      <c r="NAE108" s="137"/>
      <c r="NAF108" s="137"/>
      <c r="NAG108" s="99"/>
      <c r="NAH108" s="137"/>
      <c r="NAI108" s="99"/>
      <c r="NAJ108" s="138"/>
      <c r="NAK108" s="139"/>
      <c r="NAL108" s="137"/>
      <c r="NAM108" s="140"/>
      <c r="NAN108" s="141"/>
      <c r="NAO108" s="141"/>
      <c r="NAP108" s="137"/>
      <c r="NAQ108" s="137"/>
      <c r="NAR108" s="141"/>
      <c r="NAS108" s="137"/>
      <c r="NAT108" s="137"/>
      <c r="NAU108" s="142"/>
      <c r="NAV108" s="143"/>
      <c r="NAW108" s="144"/>
      <c r="NAX108" s="137"/>
      <c r="NAY108" s="104"/>
      <c r="NAZ108" s="243"/>
      <c r="NBA108" s="146"/>
      <c r="NBB108" s="96"/>
      <c r="NBC108" s="136"/>
      <c r="NBD108" s="137"/>
      <c r="NBE108" s="137"/>
      <c r="NBF108" s="137"/>
      <c r="NBG108" s="137"/>
      <c r="NBH108" s="137"/>
      <c r="NBI108" s="99"/>
      <c r="NBJ108" s="137"/>
      <c r="NBK108" s="99"/>
      <c r="NBL108" s="138"/>
      <c r="NBM108" s="139"/>
      <c r="NBN108" s="137"/>
      <c r="NBO108" s="140"/>
      <c r="NBP108" s="141"/>
      <c r="NBQ108" s="141"/>
      <c r="NBR108" s="137"/>
      <c r="NBS108" s="137"/>
      <c r="NBT108" s="141"/>
      <c r="NBU108" s="137"/>
      <c r="NBV108" s="137"/>
      <c r="NBW108" s="142"/>
      <c r="NBX108" s="143"/>
      <c r="NBY108" s="144"/>
      <c r="NBZ108" s="137"/>
      <c r="NCA108" s="104"/>
      <c r="NCB108" s="243"/>
      <c r="NCC108" s="146"/>
      <c r="NCD108" s="96"/>
      <c r="NCE108" s="136"/>
      <c r="NCF108" s="137"/>
      <c r="NCG108" s="137"/>
      <c r="NCH108" s="137"/>
      <c r="NCI108" s="137"/>
      <c r="NCJ108" s="137"/>
      <c r="NCK108" s="99"/>
      <c r="NCL108" s="137"/>
      <c r="NCM108" s="99"/>
      <c r="NCN108" s="138"/>
      <c r="NCO108" s="139"/>
      <c r="NCP108" s="137"/>
      <c r="NCQ108" s="140"/>
      <c r="NCR108" s="141"/>
      <c r="NCS108" s="141"/>
      <c r="NCT108" s="137"/>
      <c r="NCU108" s="137"/>
      <c r="NCV108" s="141"/>
      <c r="NCW108" s="137"/>
      <c r="NCX108" s="137"/>
      <c r="NCY108" s="142"/>
      <c r="NCZ108" s="143"/>
      <c r="NDA108" s="144"/>
      <c r="NDB108" s="137"/>
      <c r="NDC108" s="104"/>
      <c r="NDD108" s="243"/>
      <c r="NDE108" s="146"/>
      <c r="NDF108" s="96"/>
      <c r="NDG108" s="136"/>
      <c r="NDH108" s="137"/>
      <c r="NDI108" s="137"/>
      <c r="NDJ108" s="137"/>
      <c r="NDK108" s="137"/>
      <c r="NDL108" s="137"/>
      <c r="NDM108" s="99"/>
      <c r="NDN108" s="137"/>
      <c r="NDO108" s="99"/>
      <c r="NDP108" s="138"/>
      <c r="NDQ108" s="139"/>
      <c r="NDR108" s="137"/>
      <c r="NDS108" s="140"/>
      <c r="NDT108" s="141"/>
      <c r="NDU108" s="141"/>
      <c r="NDV108" s="137"/>
      <c r="NDW108" s="137"/>
      <c r="NDX108" s="141"/>
      <c r="NDY108" s="137"/>
      <c r="NDZ108" s="137"/>
      <c r="NEA108" s="142"/>
      <c r="NEB108" s="143"/>
      <c r="NEC108" s="144"/>
      <c r="NED108" s="137"/>
      <c r="NEE108" s="104"/>
      <c r="NEF108" s="243"/>
      <c r="NEG108" s="146"/>
      <c r="NEH108" s="96"/>
      <c r="NEI108" s="136"/>
      <c r="NEJ108" s="137"/>
      <c r="NEK108" s="137"/>
      <c r="NEL108" s="137"/>
      <c r="NEM108" s="137"/>
      <c r="NEN108" s="137"/>
      <c r="NEO108" s="99"/>
      <c r="NEP108" s="137"/>
      <c r="NEQ108" s="99"/>
      <c r="NER108" s="138"/>
      <c r="NES108" s="139"/>
      <c r="NET108" s="137"/>
      <c r="NEU108" s="140"/>
      <c r="NEV108" s="141"/>
      <c r="NEW108" s="141"/>
      <c r="NEX108" s="137"/>
      <c r="NEY108" s="137"/>
      <c r="NEZ108" s="141"/>
      <c r="NFA108" s="137"/>
      <c r="NFB108" s="137"/>
      <c r="NFC108" s="142"/>
      <c r="NFD108" s="143"/>
      <c r="NFE108" s="144"/>
      <c r="NFF108" s="137"/>
      <c r="NFG108" s="104"/>
      <c r="NFH108" s="243"/>
      <c r="NFI108" s="146"/>
      <c r="NFJ108" s="96"/>
      <c r="NFK108" s="136"/>
      <c r="NFL108" s="137"/>
      <c r="NFM108" s="137"/>
      <c r="NFN108" s="137"/>
      <c r="NFO108" s="137"/>
      <c r="NFP108" s="137"/>
      <c r="NFQ108" s="99"/>
      <c r="NFR108" s="137"/>
      <c r="NFS108" s="99"/>
      <c r="NFT108" s="138"/>
      <c r="NFU108" s="139"/>
      <c r="NFV108" s="137"/>
      <c r="NFW108" s="140"/>
      <c r="NFX108" s="141"/>
      <c r="NFY108" s="141"/>
      <c r="NFZ108" s="137"/>
      <c r="NGA108" s="137"/>
      <c r="NGB108" s="141"/>
      <c r="NGC108" s="137"/>
      <c r="NGD108" s="137"/>
      <c r="NGE108" s="142"/>
      <c r="NGF108" s="143"/>
      <c r="NGG108" s="144"/>
      <c r="NGH108" s="137"/>
      <c r="NGI108" s="104"/>
      <c r="NGJ108" s="243"/>
      <c r="NGK108" s="146"/>
      <c r="NGL108" s="96"/>
      <c r="NGM108" s="136"/>
      <c r="NGN108" s="137"/>
      <c r="NGO108" s="137"/>
      <c r="NGP108" s="137"/>
      <c r="NGQ108" s="137"/>
      <c r="NGR108" s="137"/>
      <c r="NGS108" s="99"/>
      <c r="NGT108" s="137"/>
      <c r="NGU108" s="99"/>
      <c r="NGV108" s="138"/>
      <c r="NGW108" s="139"/>
      <c r="NGX108" s="137"/>
      <c r="NGY108" s="140"/>
      <c r="NGZ108" s="141"/>
      <c r="NHA108" s="141"/>
      <c r="NHB108" s="137"/>
      <c r="NHC108" s="137"/>
      <c r="NHD108" s="141"/>
      <c r="NHE108" s="137"/>
      <c r="NHF108" s="137"/>
      <c r="NHG108" s="142"/>
      <c r="NHH108" s="143"/>
      <c r="NHI108" s="144"/>
      <c r="NHJ108" s="137"/>
      <c r="NHK108" s="104"/>
      <c r="NHL108" s="243"/>
      <c r="NHM108" s="146"/>
      <c r="NHN108" s="96"/>
      <c r="NHO108" s="136"/>
      <c r="NHP108" s="137"/>
      <c r="NHQ108" s="137"/>
      <c r="NHR108" s="137"/>
      <c r="NHS108" s="137"/>
      <c r="NHT108" s="137"/>
      <c r="NHU108" s="99"/>
      <c r="NHV108" s="137"/>
      <c r="NHW108" s="99"/>
      <c r="NHX108" s="138"/>
      <c r="NHY108" s="139"/>
      <c r="NHZ108" s="137"/>
      <c r="NIA108" s="140"/>
      <c r="NIB108" s="141"/>
      <c r="NIC108" s="141"/>
      <c r="NID108" s="137"/>
      <c r="NIE108" s="137"/>
      <c r="NIF108" s="141"/>
      <c r="NIG108" s="137"/>
      <c r="NIH108" s="137"/>
      <c r="NII108" s="142"/>
      <c r="NIJ108" s="143"/>
      <c r="NIK108" s="144"/>
      <c r="NIL108" s="137"/>
      <c r="NIM108" s="104"/>
      <c r="NIN108" s="243"/>
      <c r="NIO108" s="146"/>
      <c r="NIP108" s="96"/>
      <c r="NIQ108" s="136"/>
      <c r="NIR108" s="137"/>
      <c r="NIS108" s="137"/>
      <c r="NIT108" s="137"/>
      <c r="NIU108" s="137"/>
      <c r="NIV108" s="137"/>
      <c r="NIW108" s="99"/>
      <c r="NIX108" s="137"/>
      <c r="NIY108" s="99"/>
      <c r="NIZ108" s="138"/>
      <c r="NJA108" s="139"/>
      <c r="NJB108" s="137"/>
      <c r="NJC108" s="140"/>
      <c r="NJD108" s="141"/>
      <c r="NJE108" s="141"/>
      <c r="NJF108" s="137"/>
      <c r="NJG108" s="137"/>
      <c r="NJH108" s="141"/>
      <c r="NJI108" s="137"/>
      <c r="NJJ108" s="137"/>
      <c r="NJK108" s="142"/>
      <c r="NJL108" s="143"/>
      <c r="NJM108" s="144"/>
      <c r="NJN108" s="137"/>
      <c r="NJO108" s="104"/>
      <c r="NJP108" s="243"/>
      <c r="NJQ108" s="146"/>
      <c r="NJR108" s="96"/>
      <c r="NJS108" s="136"/>
      <c r="NJT108" s="137"/>
      <c r="NJU108" s="137"/>
      <c r="NJV108" s="137"/>
      <c r="NJW108" s="137"/>
      <c r="NJX108" s="137"/>
      <c r="NJY108" s="99"/>
      <c r="NJZ108" s="137"/>
      <c r="NKA108" s="99"/>
      <c r="NKB108" s="138"/>
      <c r="NKC108" s="139"/>
      <c r="NKD108" s="137"/>
      <c r="NKE108" s="140"/>
      <c r="NKF108" s="141"/>
      <c r="NKG108" s="141"/>
      <c r="NKH108" s="137"/>
      <c r="NKI108" s="137"/>
      <c r="NKJ108" s="141"/>
      <c r="NKK108" s="137"/>
      <c r="NKL108" s="137"/>
      <c r="NKM108" s="142"/>
      <c r="NKN108" s="143"/>
      <c r="NKO108" s="144"/>
      <c r="NKP108" s="137"/>
      <c r="NKQ108" s="104"/>
      <c r="NKR108" s="243"/>
      <c r="NKS108" s="146"/>
      <c r="NKT108" s="96"/>
      <c r="NKU108" s="136"/>
      <c r="NKV108" s="137"/>
      <c r="NKW108" s="137"/>
      <c r="NKX108" s="137"/>
      <c r="NKY108" s="137"/>
      <c r="NKZ108" s="137"/>
      <c r="NLA108" s="99"/>
      <c r="NLB108" s="137"/>
      <c r="NLC108" s="99"/>
      <c r="NLD108" s="138"/>
      <c r="NLE108" s="139"/>
      <c r="NLF108" s="137"/>
      <c r="NLG108" s="140"/>
      <c r="NLH108" s="141"/>
      <c r="NLI108" s="141"/>
      <c r="NLJ108" s="137"/>
      <c r="NLK108" s="137"/>
      <c r="NLL108" s="141"/>
      <c r="NLM108" s="137"/>
      <c r="NLN108" s="137"/>
      <c r="NLO108" s="142"/>
      <c r="NLP108" s="143"/>
      <c r="NLQ108" s="144"/>
      <c r="NLR108" s="137"/>
      <c r="NLS108" s="104"/>
      <c r="NLT108" s="243"/>
      <c r="NLU108" s="146"/>
      <c r="NLV108" s="96"/>
      <c r="NLW108" s="136"/>
      <c r="NLX108" s="137"/>
      <c r="NLY108" s="137"/>
      <c r="NLZ108" s="137"/>
      <c r="NMA108" s="137"/>
      <c r="NMB108" s="137"/>
      <c r="NMC108" s="99"/>
      <c r="NMD108" s="137"/>
      <c r="NME108" s="99"/>
      <c r="NMF108" s="138"/>
      <c r="NMG108" s="139"/>
      <c r="NMH108" s="137"/>
      <c r="NMI108" s="140"/>
      <c r="NMJ108" s="141"/>
      <c r="NMK108" s="141"/>
      <c r="NML108" s="137"/>
      <c r="NMM108" s="137"/>
      <c r="NMN108" s="141"/>
      <c r="NMO108" s="137"/>
      <c r="NMP108" s="137"/>
      <c r="NMQ108" s="142"/>
      <c r="NMR108" s="143"/>
      <c r="NMS108" s="144"/>
      <c r="NMT108" s="137"/>
      <c r="NMU108" s="104"/>
      <c r="NMV108" s="243"/>
      <c r="NMW108" s="146"/>
      <c r="NMX108" s="96"/>
      <c r="NMY108" s="136"/>
      <c r="NMZ108" s="137"/>
      <c r="NNA108" s="137"/>
      <c r="NNB108" s="137"/>
      <c r="NNC108" s="137"/>
      <c r="NND108" s="137"/>
      <c r="NNE108" s="99"/>
      <c r="NNF108" s="137"/>
      <c r="NNG108" s="99"/>
      <c r="NNH108" s="138"/>
      <c r="NNI108" s="139"/>
      <c r="NNJ108" s="137"/>
      <c r="NNK108" s="140"/>
      <c r="NNL108" s="141"/>
      <c r="NNM108" s="141"/>
      <c r="NNN108" s="137"/>
      <c r="NNO108" s="137"/>
      <c r="NNP108" s="141"/>
      <c r="NNQ108" s="137"/>
      <c r="NNR108" s="137"/>
      <c r="NNS108" s="142"/>
      <c r="NNT108" s="143"/>
      <c r="NNU108" s="144"/>
      <c r="NNV108" s="137"/>
      <c r="NNW108" s="104"/>
      <c r="NNX108" s="243"/>
      <c r="NNY108" s="146"/>
      <c r="NNZ108" s="96"/>
      <c r="NOA108" s="136"/>
      <c r="NOB108" s="137"/>
      <c r="NOC108" s="137"/>
      <c r="NOD108" s="137"/>
      <c r="NOE108" s="137"/>
      <c r="NOF108" s="137"/>
      <c r="NOG108" s="99"/>
      <c r="NOH108" s="137"/>
      <c r="NOI108" s="99"/>
      <c r="NOJ108" s="138"/>
      <c r="NOK108" s="139"/>
      <c r="NOL108" s="137"/>
      <c r="NOM108" s="140"/>
      <c r="NON108" s="141"/>
      <c r="NOO108" s="141"/>
      <c r="NOP108" s="137"/>
      <c r="NOQ108" s="137"/>
      <c r="NOR108" s="141"/>
      <c r="NOS108" s="137"/>
      <c r="NOT108" s="137"/>
      <c r="NOU108" s="142"/>
      <c r="NOV108" s="143"/>
      <c r="NOW108" s="144"/>
      <c r="NOX108" s="137"/>
      <c r="NOY108" s="104"/>
      <c r="NOZ108" s="243"/>
      <c r="NPA108" s="146"/>
      <c r="NPB108" s="96"/>
      <c r="NPC108" s="136"/>
      <c r="NPD108" s="137"/>
      <c r="NPE108" s="137"/>
      <c r="NPF108" s="137"/>
      <c r="NPG108" s="137"/>
      <c r="NPH108" s="137"/>
      <c r="NPI108" s="99"/>
      <c r="NPJ108" s="137"/>
      <c r="NPK108" s="99"/>
      <c r="NPL108" s="138"/>
      <c r="NPM108" s="139"/>
      <c r="NPN108" s="137"/>
      <c r="NPO108" s="140"/>
      <c r="NPP108" s="141"/>
      <c r="NPQ108" s="141"/>
      <c r="NPR108" s="137"/>
      <c r="NPS108" s="137"/>
      <c r="NPT108" s="141"/>
      <c r="NPU108" s="137"/>
      <c r="NPV108" s="137"/>
      <c r="NPW108" s="142"/>
      <c r="NPX108" s="143"/>
      <c r="NPY108" s="144"/>
      <c r="NPZ108" s="137"/>
      <c r="NQA108" s="104"/>
      <c r="NQB108" s="243"/>
      <c r="NQC108" s="146"/>
      <c r="NQD108" s="96"/>
      <c r="NQE108" s="136"/>
      <c r="NQF108" s="137"/>
      <c r="NQG108" s="137"/>
      <c r="NQH108" s="137"/>
      <c r="NQI108" s="137"/>
      <c r="NQJ108" s="137"/>
      <c r="NQK108" s="99"/>
      <c r="NQL108" s="137"/>
      <c r="NQM108" s="99"/>
      <c r="NQN108" s="138"/>
      <c r="NQO108" s="139"/>
      <c r="NQP108" s="137"/>
      <c r="NQQ108" s="140"/>
      <c r="NQR108" s="141"/>
      <c r="NQS108" s="141"/>
      <c r="NQT108" s="137"/>
      <c r="NQU108" s="137"/>
      <c r="NQV108" s="141"/>
      <c r="NQW108" s="137"/>
      <c r="NQX108" s="137"/>
      <c r="NQY108" s="142"/>
      <c r="NQZ108" s="143"/>
      <c r="NRA108" s="144"/>
      <c r="NRB108" s="137"/>
      <c r="NRC108" s="104"/>
      <c r="NRD108" s="243"/>
      <c r="NRE108" s="146"/>
      <c r="NRF108" s="96"/>
      <c r="NRG108" s="136"/>
      <c r="NRH108" s="137"/>
      <c r="NRI108" s="137"/>
      <c r="NRJ108" s="137"/>
      <c r="NRK108" s="137"/>
      <c r="NRL108" s="137"/>
      <c r="NRM108" s="99"/>
      <c r="NRN108" s="137"/>
      <c r="NRO108" s="99"/>
      <c r="NRP108" s="138"/>
      <c r="NRQ108" s="139"/>
      <c r="NRR108" s="137"/>
      <c r="NRS108" s="140"/>
      <c r="NRT108" s="141"/>
      <c r="NRU108" s="141"/>
      <c r="NRV108" s="137"/>
      <c r="NRW108" s="137"/>
      <c r="NRX108" s="141"/>
      <c r="NRY108" s="137"/>
      <c r="NRZ108" s="137"/>
      <c r="NSA108" s="142"/>
      <c r="NSB108" s="143"/>
      <c r="NSC108" s="144"/>
      <c r="NSD108" s="137"/>
      <c r="NSE108" s="104"/>
      <c r="NSF108" s="243"/>
      <c r="NSG108" s="146"/>
      <c r="NSH108" s="96"/>
      <c r="NSI108" s="136"/>
      <c r="NSJ108" s="137"/>
      <c r="NSK108" s="137"/>
      <c r="NSL108" s="137"/>
      <c r="NSM108" s="137"/>
      <c r="NSN108" s="137"/>
      <c r="NSO108" s="99"/>
      <c r="NSP108" s="137"/>
      <c r="NSQ108" s="99"/>
      <c r="NSR108" s="138"/>
      <c r="NSS108" s="139"/>
      <c r="NST108" s="137"/>
      <c r="NSU108" s="140"/>
      <c r="NSV108" s="141"/>
      <c r="NSW108" s="141"/>
      <c r="NSX108" s="137"/>
      <c r="NSY108" s="137"/>
      <c r="NSZ108" s="141"/>
      <c r="NTA108" s="137"/>
      <c r="NTB108" s="137"/>
      <c r="NTC108" s="142"/>
      <c r="NTD108" s="143"/>
      <c r="NTE108" s="144"/>
      <c r="NTF108" s="137"/>
      <c r="NTG108" s="104"/>
      <c r="NTH108" s="243"/>
      <c r="NTI108" s="146"/>
      <c r="NTJ108" s="96"/>
      <c r="NTK108" s="136"/>
      <c r="NTL108" s="137"/>
      <c r="NTM108" s="137"/>
      <c r="NTN108" s="137"/>
      <c r="NTO108" s="137"/>
      <c r="NTP108" s="137"/>
      <c r="NTQ108" s="99"/>
      <c r="NTR108" s="137"/>
      <c r="NTS108" s="99"/>
      <c r="NTT108" s="138"/>
      <c r="NTU108" s="139"/>
      <c r="NTV108" s="137"/>
      <c r="NTW108" s="140"/>
      <c r="NTX108" s="141"/>
      <c r="NTY108" s="141"/>
      <c r="NTZ108" s="137"/>
      <c r="NUA108" s="137"/>
      <c r="NUB108" s="141"/>
      <c r="NUC108" s="137"/>
      <c r="NUD108" s="137"/>
      <c r="NUE108" s="142"/>
      <c r="NUF108" s="143"/>
      <c r="NUG108" s="144"/>
      <c r="NUH108" s="137"/>
      <c r="NUI108" s="104"/>
      <c r="NUJ108" s="243"/>
      <c r="NUK108" s="146"/>
      <c r="NUL108" s="96"/>
      <c r="NUM108" s="136"/>
      <c r="NUN108" s="137"/>
      <c r="NUO108" s="137"/>
      <c r="NUP108" s="137"/>
      <c r="NUQ108" s="137"/>
      <c r="NUR108" s="137"/>
      <c r="NUS108" s="99"/>
      <c r="NUT108" s="137"/>
      <c r="NUU108" s="99"/>
      <c r="NUV108" s="138"/>
      <c r="NUW108" s="139"/>
      <c r="NUX108" s="137"/>
      <c r="NUY108" s="140"/>
      <c r="NUZ108" s="141"/>
      <c r="NVA108" s="141"/>
      <c r="NVB108" s="137"/>
      <c r="NVC108" s="137"/>
      <c r="NVD108" s="141"/>
      <c r="NVE108" s="137"/>
      <c r="NVF108" s="137"/>
      <c r="NVG108" s="142"/>
      <c r="NVH108" s="143"/>
      <c r="NVI108" s="144"/>
      <c r="NVJ108" s="137"/>
      <c r="NVK108" s="104"/>
      <c r="NVL108" s="243"/>
      <c r="NVM108" s="146"/>
      <c r="NVN108" s="96"/>
      <c r="NVO108" s="136"/>
      <c r="NVP108" s="137"/>
      <c r="NVQ108" s="137"/>
      <c r="NVR108" s="137"/>
      <c r="NVS108" s="137"/>
      <c r="NVT108" s="137"/>
      <c r="NVU108" s="99"/>
      <c r="NVV108" s="137"/>
      <c r="NVW108" s="99"/>
      <c r="NVX108" s="138"/>
      <c r="NVY108" s="139"/>
      <c r="NVZ108" s="137"/>
      <c r="NWA108" s="140"/>
      <c r="NWB108" s="141"/>
      <c r="NWC108" s="141"/>
      <c r="NWD108" s="137"/>
      <c r="NWE108" s="137"/>
      <c r="NWF108" s="141"/>
      <c r="NWG108" s="137"/>
      <c r="NWH108" s="137"/>
      <c r="NWI108" s="142"/>
      <c r="NWJ108" s="143"/>
      <c r="NWK108" s="144"/>
      <c r="NWL108" s="137"/>
      <c r="NWM108" s="104"/>
      <c r="NWN108" s="243"/>
      <c r="NWO108" s="146"/>
      <c r="NWP108" s="96"/>
      <c r="NWQ108" s="136"/>
      <c r="NWR108" s="137"/>
      <c r="NWS108" s="137"/>
      <c r="NWT108" s="137"/>
      <c r="NWU108" s="137"/>
      <c r="NWV108" s="137"/>
      <c r="NWW108" s="99"/>
      <c r="NWX108" s="137"/>
      <c r="NWY108" s="99"/>
      <c r="NWZ108" s="138"/>
      <c r="NXA108" s="139"/>
      <c r="NXB108" s="137"/>
      <c r="NXC108" s="140"/>
      <c r="NXD108" s="141"/>
      <c r="NXE108" s="141"/>
      <c r="NXF108" s="137"/>
      <c r="NXG108" s="137"/>
      <c r="NXH108" s="141"/>
      <c r="NXI108" s="137"/>
      <c r="NXJ108" s="137"/>
      <c r="NXK108" s="142"/>
      <c r="NXL108" s="143"/>
      <c r="NXM108" s="144"/>
      <c r="NXN108" s="137"/>
      <c r="NXO108" s="104"/>
      <c r="NXP108" s="243"/>
      <c r="NXQ108" s="146"/>
      <c r="NXR108" s="96"/>
      <c r="NXS108" s="136"/>
      <c r="NXT108" s="137"/>
      <c r="NXU108" s="137"/>
      <c r="NXV108" s="137"/>
      <c r="NXW108" s="137"/>
      <c r="NXX108" s="137"/>
      <c r="NXY108" s="99"/>
      <c r="NXZ108" s="137"/>
      <c r="NYA108" s="99"/>
      <c r="NYB108" s="138"/>
      <c r="NYC108" s="139"/>
      <c r="NYD108" s="137"/>
      <c r="NYE108" s="140"/>
      <c r="NYF108" s="141"/>
      <c r="NYG108" s="141"/>
      <c r="NYH108" s="137"/>
      <c r="NYI108" s="137"/>
      <c r="NYJ108" s="141"/>
      <c r="NYK108" s="137"/>
      <c r="NYL108" s="137"/>
      <c r="NYM108" s="142"/>
      <c r="NYN108" s="143"/>
      <c r="NYO108" s="144"/>
      <c r="NYP108" s="137"/>
      <c r="NYQ108" s="104"/>
      <c r="NYR108" s="243"/>
      <c r="NYS108" s="146"/>
      <c r="NYT108" s="96"/>
      <c r="NYU108" s="136"/>
      <c r="NYV108" s="137"/>
      <c r="NYW108" s="137"/>
      <c r="NYX108" s="137"/>
      <c r="NYY108" s="137"/>
      <c r="NYZ108" s="137"/>
      <c r="NZA108" s="99"/>
      <c r="NZB108" s="137"/>
      <c r="NZC108" s="99"/>
      <c r="NZD108" s="138"/>
      <c r="NZE108" s="139"/>
      <c r="NZF108" s="137"/>
      <c r="NZG108" s="140"/>
      <c r="NZH108" s="141"/>
      <c r="NZI108" s="141"/>
      <c r="NZJ108" s="137"/>
      <c r="NZK108" s="137"/>
      <c r="NZL108" s="141"/>
      <c r="NZM108" s="137"/>
      <c r="NZN108" s="137"/>
      <c r="NZO108" s="142"/>
      <c r="NZP108" s="143"/>
      <c r="NZQ108" s="144"/>
      <c r="NZR108" s="137"/>
      <c r="NZS108" s="104"/>
      <c r="NZT108" s="243"/>
      <c r="NZU108" s="146"/>
      <c r="NZV108" s="96"/>
      <c r="NZW108" s="136"/>
      <c r="NZX108" s="137"/>
      <c r="NZY108" s="137"/>
      <c r="NZZ108" s="137"/>
      <c r="OAA108" s="137"/>
      <c r="OAB108" s="137"/>
      <c r="OAC108" s="99"/>
      <c r="OAD108" s="137"/>
      <c r="OAE108" s="99"/>
      <c r="OAF108" s="138"/>
      <c r="OAG108" s="139"/>
      <c r="OAH108" s="137"/>
      <c r="OAI108" s="140"/>
      <c r="OAJ108" s="141"/>
      <c r="OAK108" s="141"/>
      <c r="OAL108" s="137"/>
      <c r="OAM108" s="137"/>
      <c r="OAN108" s="141"/>
      <c r="OAO108" s="137"/>
      <c r="OAP108" s="137"/>
      <c r="OAQ108" s="142"/>
      <c r="OAR108" s="143"/>
      <c r="OAS108" s="144"/>
      <c r="OAT108" s="137"/>
      <c r="OAU108" s="104"/>
      <c r="OAV108" s="243"/>
      <c r="OAW108" s="146"/>
      <c r="OAX108" s="96"/>
      <c r="OAY108" s="136"/>
      <c r="OAZ108" s="137"/>
      <c r="OBA108" s="137"/>
      <c r="OBB108" s="137"/>
      <c r="OBC108" s="137"/>
      <c r="OBD108" s="137"/>
      <c r="OBE108" s="99"/>
      <c r="OBF108" s="137"/>
      <c r="OBG108" s="99"/>
      <c r="OBH108" s="138"/>
      <c r="OBI108" s="139"/>
      <c r="OBJ108" s="137"/>
      <c r="OBK108" s="140"/>
      <c r="OBL108" s="141"/>
      <c r="OBM108" s="141"/>
      <c r="OBN108" s="137"/>
      <c r="OBO108" s="137"/>
      <c r="OBP108" s="141"/>
      <c r="OBQ108" s="137"/>
      <c r="OBR108" s="137"/>
      <c r="OBS108" s="142"/>
      <c r="OBT108" s="143"/>
      <c r="OBU108" s="144"/>
      <c r="OBV108" s="137"/>
      <c r="OBW108" s="104"/>
      <c r="OBX108" s="243"/>
      <c r="OBY108" s="146"/>
      <c r="OBZ108" s="96"/>
      <c r="OCA108" s="136"/>
      <c r="OCB108" s="137"/>
      <c r="OCC108" s="137"/>
      <c r="OCD108" s="137"/>
      <c r="OCE108" s="137"/>
      <c r="OCF108" s="137"/>
      <c r="OCG108" s="99"/>
      <c r="OCH108" s="137"/>
      <c r="OCI108" s="99"/>
      <c r="OCJ108" s="138"/>
      <c r="OCK108" s="139"/>
      <c r="OCL108" s="137"/>
      <c r="OCM108" s="140"/>
      <c r="OCN108" s="141"/>
      <c r="OCO108" s="141"/>
      <c r="OCP108" s="137"/>
      <c r="OCQ108" s="137"/>
      <c r="OCR108" s="141"/>
      <c r="OCS108" s="137"/>
      <c r="OCT108" s="137"/>
      <c r="OCU108" s="142"/>
      <c r="OCV108" s="143"/>
      <c r="OCW108" s="144"/>
      <c r="OCX108" s="137"/>
      <c r="OCY108" s="104"/>
      <c r="OCZ108" s="243"/>
      <c r="ODA108" s="146"/>
      <c r="ODB108" s="96"/>
      <c r="ODC108" s="136"/>
      <c r="ODD108" s="137"/>
      <c r="ODE108" s="137"/>
      <c r="ODF108" s="137"/>
      <c r="ODG108" s="137"/>
      <c r="ODH108" s="137"/>
      <c r="ODI108" s="99"/>
      <c r="ODJ108" s="137"/>
      <c r="ODK108" s="99"/>
      <c r="ODL108" s="138"/>
      <c r="ODM108" s="139"/>
      <c r="ODN108" s="137"/>
      <c r="ODO108" s="140"/>
      <c r="ODP108" s="141"/>
      <c r="ODQ108" s="141"/>
      <c r="ODR108" s="137"/>
      <c r="ODS108" s="137"/>
      <c r="ODT108" s="141"/>
      <c r="ODU108" s="137"/>
      <c r="ODV108" s="137"/>
      <c r="ODW108" s="142"/>
      <c r="ODX108" s="143"/>
      <c r="ODY108" s="144"/>
      <c r="ODZ108" s="137"/>
      <c r="OEA108" s="104"/>
      <c r="OEB108" s="243"/>
      <c r="OEC108" s="146"/>
      <c r="OED108" s="96"/>
      <c r="OEE108" s="136"/>
      <c r="OEF108" s="137"/>
      <c r="OEG108" s="137"/>
      <c r="OEH108" s="137"/>
      <c r="OEI108" s="137"/>
      <c r="OEJ108" s="137"/>
      <c r="OEK108" s="99"/>
      <c r="OEL108" s="137"/>
      <c r="OEM108" s="99"/>
      <c r="OEN108" s="138"/>
      <c r="OEO108" s="139"/>
      <c r="OEP108" s="137"/>
      <c r="OEQ108" s="140"/>
      <c r="OER108" s="141"/>
      <c r="OES108" s="141"/>
      <c r="OET108" s="137"/>
      <c r="OEU108" s="137"/>
      <c r="OEV108" s="141"/>
      <c r="OEW108" s="137"/>
      <c r="OEX108" s="137"/>
      <c r="OEY108" s="142"/>
      <c r="OEZ108" s="143"/>
      <c r="OFA108" s="144"/>
      <c r="OFB108" s="137"/>
      <c r="OFC108" s="104"/>
      <c r="OFD108" s="243"/>
      <c r="OFE108" s="146"/>
      <c r="OFF108" s="96"/>
      <c r="OFG108" s="136"/>
      <c r="OFH108" s="137"/>
      <c r="OFI108" s="137"/>
      <c r="OFJ108" s="137"/>
      <c r="OFK108" s="137"/>
      <c r="OFL108" s="137"/>
      <c r="OFM108" s="99"/>
      <c r="OFN108" s="137"/>
      <c r="OFO108" s="99"/>
      <c r="OFP108" s="138"/>
      <c r="OFQ108" s="139"/>
      <c r="OFR108" s="137"/>
      <c r="OFS108" s="140"/>
      <c r="OFT108" s="141"/>
      <c r="OFU108" s="141"/>
      <c r="OFV108" s="137"/>
      <c r="OFW108" s="137"/>
      <c r="OFX108" s="141"/>
      <c r="OFY108" s="137"/>
      <c r="OFZ108" s="137"/>
      <c r="OGA108" s="142"/>
      <c r="OGB108" s="143"/>
      <c r="OGC108" s="144"/>
      <c r="OGD108" s="137"/>
      <c r="OGE108" s="104"/>
      <c r="OGF108" s="243"/>
      <c r="OGG108" s="146"/>
      <c r="OGH108" s="96"/>
      <c r="OGI108" s="136"/>
      <c r="OGJ108" s="137"/>
      <c r="OGK108" s="137"/>
      <c r="OGL108" s="137"/>
      <c r="OGM108" s="137"/>
      <c r="OGN108" s="137"/>
      <c r="OGO108" s="99"/>
      <c r="OGP108" s="137"/>
      <c r="OGQ108" s="99"/>
      <c r="OGR108" s="138"/>
      <c r="OGS108" s="139"/>
      <c r="OGT108" s="137"/>
      <c r="OGU108" s="140"/>
      <c r="OGV108" s="141"/>
      <c r="OGW108" s="141"/>
      <c r="OGX108" s="137"/>
      <c r="OGY108" s="137"/>
      <c r="OGZ108" s="141"/>
      <c r="OHA108" s="137"/>
      <c r="OHB108" s="137"/>
      <c r="OHC108" s="142"/>
      <c r="OHD108" s="143"/>
      <c r="OHE108" s="144"/>
      <c r="OHF108" s="137"/>
      <c r="OHG108" s="104"/>
      <c r="OHH108" s="243"/>
      <c r="OHI108" s="146"/>
      <c r="OHJ108" s="96"/>
      <c r="OHK108" s="136"/>
      <c r="OHL108" s="137"/>
      <c r="OHM108" s="137"/>
      <c r="OHN108" s="137"/>
      <c r="OHO108" s="137"/>
      <c r="OHP108" s="137"/>
      <c r="OHQ108" s="99"/>
      <c r="OHR108" s="137"/>
      <c r="OHS108" s="99"/>
      <c r="OHT108" s="138"/>
      <c r="OHU108" s="139"/>
      <c r="OHV108" s="137"/>
      <c r="OHW108" s="140"/>
      <c r="OHX108" s="141"/>
      <c r="OHY108" s="141"/>
      <c r="OHZ108" s="137"/>
      <c r="OIA108" s="137"/>
      <c r="OIB108" s="141"/>
      <c r="OIC108" s="137"/>
      <c r="OID108" s="137"/>
      <c r="OIE108" s="142"/>
      <c r="OIF108" s="143"/>
      <c r="OIG108" s="144"/>
      <c r="OIH108" s="137"/>
      <c r="OII108" s="104"/>
      <c r="OIJ108" s="243"/>
      <c r="OIK108" s="146"/>
      <c r="OIL108" s="96"/>
      <c r="OIM108" s="136"/>
      <c r="OIN108" s="137"/>
      <c r="OIO108" s="137"/>
      <c r="OIP108" s="137"/>
      <c r="OIQ108" s="137"/>
      <c r="OIR108" s="137"/>
      <c r="OIS108" s="99"/>
      <c r="OIT108" s="137"/>
      <c r="OIU108" s="99"/>
      <c r="OIV108" s="138"/>
      <c r="OIW108" s="139"/>
      <c r="OIX108" s="137"/>
      <c r="OIY108" s="140"/>
      <c r="OIZ108" s="141"/>
      <c r="OJA108" s="141"/>
      <c r="OJB108" s="137"/>
      <c r="OJC108" s="137"/>
      <c r="OJD108" s="141"/>
      <c r="OJE108" s="137"/>
      <c r="OJF108" s="137"/>
      <c r="OJG108" s="142"/>
      <c r="OJH108" s="143"/>
      <c r="OJI108" s="144"/>
      <c r="OJJ108" s="137"/>
      <c r="OJK108" s="104"/>
      <c r="OJL108" s="243"/>
      <c r="OJM108" s="146"/>
      <c r="OJN108" s="96"/>
      <c r="OJO108" s="136"/>
      <c r="OJP108" s="137"/>
      <c r="OJQ108" s="137"/>
      <c r="OJR108" s="137"/>
      <c r="OJS108" s="137"/>
      <c r="OJT108" s="137"/>
      <c r="OJU108" s="99"/>
      <c r="OJV108" s="137"/>
      <c r="OJW108" s="99"/>
      <c r="OJX108" s="138"/>
      <c r="OJY108" s="139"/>
      <c r="OJZ108" s="137"/>
      <c r="OKA108" s="140"/>
      <c r="OKB108" s="141"/>
      <c r="OKC108" s="141"/>
      <c r="OKD108" s="137"/>
      <c r="OKE108" s="137"/>
      <c r="OKF108" s="141"/>
      <c r="OKG108" s="137"/>
      <c r="OKH108" s="137"/>
      <c r="OKI108" s="142"/>
      <c r="OKJ108" s="143"/>
      <c r="OKK108" s="144"/>
      <c r="OKL108" s="137"/>
      <c r="OKM108" s="104"/>
      <c r="OKN108" s="243"/>
      <c r="OKO108" s="146"/>
      <c r="OKP108" s="96"/>
      <c r="OKQ108" s="136"/>
      <c r="OKR108" s="137"/>
      <c r="OKS108" s="137"/>
      <c r="OKT108" s="137"/>
      <c r="OKU108" s="137"/>
      <c r="OKV108" s="137"/>
      <c r="OKW108" s="99"/>
      <c r="OKX108" s="137"/>
      <c r="OKY108" s="99"/>
      <c r="OKZ108" s="138"/>
      <c r="OLA108" s="139"/>
      <c r="OLB108" s="137"/>
      <c r="OLC108" s="140"/>
      <c r="OLD108" s="141"/>
      <c r="OLE108" s="141"/>
      <c r="OLF108" s="137"/>
      <c r="OLG108" s="137"/>
      <c r="OLH108" s="141"/>
      <c r="OLI108" s="137"/>
      <c r="OLJ108" s="137"/>
      <c r="OLK108" s="142"/>
      <c r="OLL108" s="143"/>
      <c r="OLM108" s="144"/>
      <c r="OLN108" s="137"/>
      <c r="OLO108" s="104"/>
      <c r="OLP108" s="243"/>
      <c r="OLQ108" s="146"/>
      <c r="OLR108" s="96"/>
      <c r="OLS108" s="136"/>
      <c r="OLT108" s="137"/>
      <c r="OLU108" s="137"/>
      <c r="OLV108" s="137"/>
      <c r="OLW108" s="137"/>
      <c r="OLX108" s="137"/>
      <c r="OLY108" s="99"/>
      <c r="OLZ108" s="137"/>
      <c r="OMA108" s="99"/>
      <c r="OMB108" s="138"/>
      <c r="OMC108" s="139"/>
      <c r="OMD108" s="137"/>
      <c r="OME108" s="140"/>
      <c r="OMF108" s="141"/>
      <c r="OMG108" s="141"/>
      <c r="OMH108" s="137"/>
      <c r="OMI108" s="137"/>
      <c r="OMJ108" s="141"/>
      <c r="OMK108" s="137"/>
      <c r="OML108" s="137"/>
      <c r="OMM108" s="142"/>
      <c r="OMN108" s="143"/>
      <c r="OMO108" s="144"/>
      <c r="OMP108" s="137"/>
      <c r="OMQ108" s="104"/>
      <c r="OMR108" s="243"/>
      <c r="OMS108" s="146"/>
      <c r="OMT108" s="96"/>
      <c r="OMU108" s="136"/>
      <c r="OMV108" s="137"/>
      <c r="OMW108" s="137"/>
      <c r="OMX108" s="137"/>
      <c r="OMY108" s="137"/>
      <c r="OMZ108" s="137"/>
      <c r="ONA108" s="99"/>
      <c r="ONB108" s="137"/>
      <c r="ONC108" s="99"/>
      <c r="OND108" s="138"/>
      <c r="ONE108" s="139"/>
      <c r="ONF108" s="137"/>
      <c r="ONG108" s="140"/>
      <c r="ONH108" s="141"/>
      <c r="ONI108" s="141"/>
      <c r="ONJ108" s="137"/>
      <c r="ONK108" s="137"/>
      <c r="ONL108" s="141"/>
      <c r="ONM108" s="137"/>
      <c r="ONN108" s="137"/>
      <c r="ONO108" s="142"/>
      <c r="ONP108" s="143"/>
      <c r="ONQ108" s="144"/>
      <c r="ONR108" s="137"/>
      <c r="ONS108" s="104"/>
      <c r="ONT108" s="243"/>
      <c r="ONU108" s="146"/>
      <c r="ONV108" s="96"/>
      <c r="ONW108" s="136"/>
      <c r="ONX108" s="137"/>
      <c r="ONY108" s="137"/>
      <c r="ONZ108" s="137"/>
      <c r="OOA108" s="137"/>
      <c r="OOB108" s="137"/>
      <c r="OOC108" s="99"/>
      <c r="OOD108" s="137"/>
      <c r="OOE108" s="99"/>
      <c r="OOF108" s="138"/>
      <c r="OOG108" s="139"/>
      <c r="OOH108" s="137"/>
      <c r="OOI108" s="140"/>
      <c r="OOJ108" s="141"/>
      <c r="OOK108" s="141"/>
      <c r="OOL108" s="137"/>
      <c r="OOM108" s="137"/>
      <c r="OON108" s="141"/>
      <c r="OOO108" s="137"/>
      <c r="OOP108" s="137"/>
      <c r="OOQ108" s="142"/>
      <c r="OOR108" s="143"/>
      <c r="OOS108" s="144"/>
      <c r="OOT108" s="137"/>
      <c r="OOU108" s="104"/>
      <c r="OOV108" s="243"/>
      <c r="OOW108" s="146"/>
      <c r="OOX108" s="96"/>
      <c r="OOY108" s="136"/>
      <c r="OOZ108" s="137"/>
      <c r="OPA108" s="137"/>
      <c r="OPB108" s="137"/>
      <c r="OPC108" s="137"/>
      <c r="OPD108" s="137"/>
      <c r="OPE108" s="99"/>
      <c r="OPF108" s="137"/>
      <c r="OPG108" s="99"/>
      <c r="OPH108" s="138"/>
      <c r="OPI108" s="139"/>
      <c r="OPJ108" s="137"/>
      <c r="OPK108" s="140"/>
      <c r="OPL108" s="141"/>
      <c r="OPM108" s="141"/>
      <c r="OPN108" s="137"/>
      <c r="OPO108" s="137"/>
      <c r="OPP108" s="141"/>
      <c r="OPQ108" s="137"/>
      <c r="OPR108" s="137"/>
      <c r="OPS108" s="142"/>
      <c r="OPT108" s="143"/>
      <c r="OPU108" s="144"/>
      <c r="OPV108" s="137"/>
      <c r="OPW108" s="104"/>
      <c r="OPX108" s="243"/>
      <c r="OPY108" s="146"/>
      <c r="OPZ108" s="96"/>
      <c r="OQA108" s="136"/>
      <c r="OQB108" s="137"/>
      <c r="OQC108" s="137"/>
      <c r="OQD108" s="137"/>
      <c r="OQE108" s="137"/>
      <c r="OQF108" s="137"/>
      <c r="OQG108" s="99"/>
      <c r="OQH108" s="137"/>
      <c r="OQI108" s="99"/>
      <c r="OQJ108" s="138"/>
      <c r="OQK108" s="139"/>
      <c r="OQL108" s="137"/>
      <c r="OQM108" s="140"/>
      <c r="OQN108" s="141"/>
      <c r="OQO108" s="141"/>
      <c r="OQP108" s="137"/>
      <c r="OQQ108" s="137"/>
      <c r="OQR108" s="141"/>
      <c r="OQS108" s="137"/>
      <c r="OQT108" s="137"/>
      <c r="OQU108" s="142"/>
      <c r="OQV108" s="143"/>
      <c r="OQW108" s="144"/>
      <c r="OQX108" s="137"/>
      <c r="OQY108" s="104"/>
      <c r="OQZ108" s="243"/>
      <c r="ORA108" s="146"/>
      <c r="ORB108" s="96"/>
      <c r="ORC108" s="136"/>
      <c r="ORD108" s="137"/>
      <c r="ORE108" s="137"/>
      <c r="ORF108" s="137"/>
      <c r="ORG108" s="137"/>
      <c r="ORH108" s="137"/>
      <c r="ORI108" s="99"/>
      <c r="ORJ108" s="137"/>
      <c r="ORK108" s="99"/>
      <c r="ORL108" s="138"/>
      <c r="ORM108" s="139"/>
      <c r="ORN108" s="137"/>
      <c r="ORO108" s="140"/>
      <c r="ORP108" s="141"/>
      <c r="ORQ108" s="141"/>
      <c r="ORR108" s="137"/>
      <c r="ORS108" s="137"/>
      <c r="ORT108" s="141"/>
      <c r="ORU108" s="137"/>
      <c r="ORV108" s="137"/>
      <c r="ORW108" s="142"/>
      <c r="ORX108" s="143"/>
      <c r="ORY108" s="144"/>
      <c r="ORZ108" s="137"/>
      <c r="OSA108" s="104"/>
      <c r="OSB108" s="243"/>
      <c r="OSC108" s="146"/>
      <c r="OSD108" s="96"/>
      <c r="OSE108" s="136"/>
      <c r="OSF108" s="137"/>
      <c r="OSG108" s="137"/>
      <c r="OSH108" s="137"/>
      <c r="OSI108" s="137"/>
      <c r="OSJ108" s="137"/>
      <c r="OSK108" s="99"/>
      <c r="OSL108" s="137"/>
      <c r="OSM108" s="99"/>
      <c r="OSN108" s="138"/>
      <c r="OSO108" s="139"/>
      <c r="OSP108" s="137"/>
      <c r="OSQ108" s="140"/>
      <c r="OSR108" s="141"/>
      <c r="OSS108" s="141"/>
      <c r="OST108" s="137"/>
      <c r="OSU108" s="137"/>
      <c r="OSV108" s="141"/>
      <c r="OSW108" s="137"/>
      <c r="OSX108" s="137"/>
      <c r="OSY108" s="142"/>
      <c r="OSZ108" s="143"/>
      <c r="OTA108" s="144"/>
      <c r="OTB108" s="137"/>
      <c r="OTC108" s="104"/>
      <c r="OTD108" s="243"/>
      <c r="OTE108" s="146"/>
      <c r="OTF108" s="96"/>
      <c r="OTG108" s="136"/>
      <c r="OTH108" s="137"/>
      <c r="OTI108" s="137"/>
      <c r="OTJ108" s="137"/>
      <c r="OTK108" s="137"/>
      <c r="OTL108" s="137"/>
      <c r="OTM108" s="99"/>
      <c r="OTN108" s="137"/>
      <c r="OTO108" s="99"/>
      <c r="OTP108" s="138"/>
      <c r="OTQ108" s="139"/>
      <c r="OTR108" s="137"/>
      <c r="OTS108" s="140"/>
      <c r="OTT108" s="141"/>
      <c r="OTU108" s="141"/>
      <c r="OTV108" s="137"/>
      <c r="OTW108" s="137"/>
      <c r="OTX108" s="141"/>
      <c r="OTY108" s="137"/>
      <c r="OTZ108" s="137"/>
      <c r="OUA108" s="142"/>
      <c r="OUB108" s="143"/>
      <c r="OUC108" s="144"/>
      <c r="OUD108" s="137"/>
      <c r="OUE108" s="104"/>
      <c r="OUF108" s="243"/>
      <c r="OUG108" s="146"/>
      <c r="OUH108" s="96"/>
      <c r="OUI108" s="136"/>
      <c r="OUJ108" s="137"/>
      <c r="OUK108" s="137"/>
      <c r="OUL108" s="137"/>
      <c r="OUM108" s="137"/>
      <c r="OUN108" s="137"/>
      <c r="OUO108" s="99"/>
      <c r="OUP108" s="137"/>
      <c r="OUQ108" s="99"/>
      <c r="OUR108" s="138"/>
      <c r="OUS108" s="139"/>
      <c r="OUT108" s="137"/>
      <c r="OUU108" s="140"/>
      <c r="OUV108" s="141"/>
      <c r="OUW108" s="141"/>
      <c r="OUX108" s="137"/>
      <c r="OUY108" s="137"/>
      <c r="OUZ108" s="141"/>
      <c r="OVA108" s="137"/>
      <c r="OVB108" s="137"/>
      <c r="OVC108" s="142"/>
      <c r="OVD108" s="143"/>
      <c r="OVE108" s="144"/>
      <c r="OVF108" s="137"/>
      <c r="OVG108" s="104"/>
      <c r="OVH108" s="243"/>
      <c r="OVI108" s="146"/>
      <c r="OVJ108" s="96"/>
      <c r="OVK108" s="136"/>
      <c r="OVL108" s="137"/>
      <c r="OVM108" s="137"/>
      <c r="OVN108" s="137"/>
      <c r="OVO108" s="137"/>
      <c r="OVP108" s="137"/>
      <c r="OVQ108" s="99"/>
      <c r="OVR108" s="137"/>
      <c r="OVS108" s="99"/>
      <c r="OVT108" s="138"/>
      <c r="OVU108" s="139"/>
      <c r="OVV108" s="137"/>
      <c r="OVW108" s="140"/>
      <c r="OVX108" s="141"/>
      <c r="OVY108" s="141"/>
      <c r="OVZ108" s="137"/>
      <c r="OWA108" s="137"/>
      <c r="OWB108" s="141"/>
      <c r="OWC108" s="137"/>
      <c r="OWD108" s="137"/>
      <c r="OWE108" s="142"/>
      <c r="OWF108" s="143"/>
      <c r="OWG108" s="144"/>
      <c r="OWH108" s="137"/>
      <c r="OWI108" s="104"/>
      <c r="OWJ108" s="243"/>
      <c r="OWK108" s="146"/>
      <c r="OWL108" s="96"/>
      <c r="OWM108" s="136"/>
      <c r="OWN108" s="137"/>
      <c r="OWO108" s="137"/>
      <c r="OWP108" s="137"/>
      <c r="OWQ108" s="137"/>
      <c r="OWR108" s="137"/>
      <c r="OWS108" s="99"/>
      <c r="OWT108" s="137"/>
      <c r="OWU108" s="99"/>
      <c r="OWV108" s="138"/>
      <c r="OWW108" s="139"/>
      <c r="OWX108" s="137"/>
      <c r="OWY108" s="140"/>
      <c r="OWZ108" s="141"/>
      <c r="OXA108" s="141"/>
      <c r="OXB108" s="137"/>
      <c r="OXC108" s="137"/>
      <c r="OXD108" s="141"/>
      <c r="OXE108" s="137"/>
      <c r="OXF108" s="137"/>
      <c r="OXG108" s="142"/>
      <c r="OXH108" s="143"/>
      <c r="OXI108" s="144"/>
      <c r="OXJ108" s="137"/>
      <c r="OXK108" s="104"/>
      <c r="OXL108" s="243"/>
      <c r="OXM108" s="146"/>
      <c r="OXN108" s="96"/>
      <c r="OXO108" s="136"/>
      <c r="OXP108" s="137"/>
      <c r="OXQ108" s="137"/>
      <c r="OXR108" s="137"/>
      <c r="OXS108" s="137"/>
      <c r="OXT108" s="137"/>
      <c r="OXU108" s="99"/>
      <c r="OXV108" s="137"/>
      <c r="OXW108" s="99"/>
      <c r="OXX108" s="138"/>
      <c r="OXY108" s="139"/>
      <c r="OXZ108" s="137"/>
      <c r="OYA108" s="140"/>
      <c r="OYB108" s="141"/>
      <c r="OYC108" s="141"/>
      <c r="OYD108" s="137"/>
      <c r="OYE108" s="137"/>
      <c r="OYF108" s="141"/>
      <c r="OYG108" s="137"/>
      <c r="OYH108" s="137"/>
      <c r="OYI108" s="142"/>
      <c r="OYJ108" s="143"/>
      <c r="OYK108" s="144"/>
      <c r="OYL108" s="137"/>
      <c r="OYM108" s="104"/>
      <c r="OYN108" s="243"/>
      <c r="OYO108" s="146"/>
      <c r="OYP108" s="96"/>
      <c r="OYQ108" s="136"/>
      <c r="OYR108" s="137"/>
      <c r="OYS108" s="137"/>
      <c r="OYT108" s="137"/>
      <c r="OYU108" s="137"/>
      <c r="OYV108" s="137"/>
      <c r="OYW108" s="99"/>
      <c r="OYX108" s="137"/>
      <c r="OYY108" s="99"/>
      <c r="OYZ108" s="138"/>
      <c r="OZA108" s="139"/>
      <c r="OZB108" s="137"/>
      <c r="OZC108" s="140"/>
      <c r="OZD108" s="141"/>
      <c r="OZE108" s="141"/>
      <c r="OZF108" s="137"/>
      <c r="OZG108" s="137"/>
      <c r="OZH108" s="141"/>
      <c r="OZI108" s="137"/>
      <c r="OZJ108" s="137"/>
      <c r="OZK108" s="142"/>
      <c r="OZL108" s="143"/>
      <c r="OZM108" s="144"/>
      <c r="OZN108" s="137"/>
      <c r="OZO108" s="104"/>
      <c r="OZP108" s="243"/>
      <c r="OZQ108" s="146"/>
      <c r="OZR108" s="96"/>
      <c r="OZS108" s="136"/>
      <c r="OZT108" s="137"/>
      <c r="OZU108" s="137"/>
      <c r="OZV108" s="137"/>
      <c r="OZW108" s="137"/>
      <c r="OZX108" s="137"/>
      <c r="OZY108" s="99"/>
      <c r="OZZ108" s="137"/>
      <c r="PAA108" s="99"/>
      <c r="PAB108" s="138"/>
      <c r="PAC108" s="139"/>
      <c r="PAD108" s="137"/>
      <c r="PAE108" s="140"/>
      <c r="PAF108" s="141"/>
      <c r="PAG108" s="141"/>
      <c r="PAH108" s="137"/>
      <c r="PAI108" s="137"/>
      <c r="PAJ108" s="141"/>
      <c r="PAK108" s="137"/>
      <c r="PAL108" s="137"/>
      <c r="PAM108" s="142"/>
      <c r="PAN108" s="143"/>
      <c r="PAO108" s="144"/>
      <c r="PAP108" s="137"/>
      <c r="PAQ108" s="104"/>
      <c r="PAR108" s="243"/>
      <c r="PAS108" s="146"/>
      <c r="PAT108" s="96"/>
      <c r="PAU108" s="136"/>
      <c r="PAV108" s="137"/>
      <c r="PAW108" s="137"/>
      <c r="PAX108" s="137"/>
      <c r="PAY108" s="137"/>
      <c r="PAZ108" s="137"/>
      <c r="PBA108" s="99"/>
      <c r="PBB108" s="137"/>
      <c r="PBC108" s="99"/>
      <c r="PBD108" s="138"/>
      <c r="PBE108" s="139"/>
      <c r="PBF108" s="137"/>
      <c r="PBG108" s="140"/>
      <c r="PBH108" s="141"/>
      <c r="PBI108" s="141"/>
      <c r="PBJ108" s="137"/>
      <c r="PBK108" s="137"/>
      <c r="PBL108" s="141"/>
      <c r="PBM108" s="137"/>
      <c r="PBN108" s="137"/>
      <c r="PBO108" s="142"/>
      <c r="PBP108" s="143"/>
      <c r="PBQ108" s="144"/>
      <c r="PBR108" s="137"/>
      <c r="PBS108" s="104"/>
      <c r="PBT108" s="243"/>
      <c r="PBU108" s="146"/>
      <c r="PBV108" s="96"/>
      <c r="PBW108" s="136"/>
      <c r="PBX108" s="137"/>
      <c r="PBY108" s="137"/>
      <c r="PBZ108" s="137"/>
      <c r="PCA108" s="137"/>
      <c r="PCB108" s="137"/>
      <c r="PCC108" s="99"/>
      <c r="PCD108" s="137"/>
      <c r="PCE108" s="99"/>
      <c r="PCF108" s="138"/>
      <c r="PCG108" s="139"/>
      <c r="PCH108" s="137"/>
      <c r="PCI108" s="140"/>
      <c r="PCJ108" s="141"/>
      <c r="PCK108" s="141"/>
      <c r="PCL108" s="137"/>
      <c r="PCM108" s="137"/>
      <c r="PCN108" s="141"/>
      <c r="PCO108" s="137"/>
      <c r="PCP108" s="137"/>
      <c r="PCQ108" s="142"/>
      <c r="PCR108" s="143"/>
      <c r="PCS108" s="144"/>
      <c r="PCT108" s="137"/>
      <c r="PCU108" s="104"/>
      <c r="PCV108" s="243"/>
      <c r="PCW108" s="146"/>
      <c r="PCX108" s="96"/>
      <c r="PCY108" s="136"/>
      <c r="PCZ108" s="137"/>
      <c r="PDA108" s="137"/>
      <c r="PDB108" s="137"/>
      <c r="PDC108" s="137"/>
      <c r="PDD108" s="137"/>
      <c r="PDE108" s="99"/>
      <c r="PDF108" s="137"/>
      <c r="PDG108" s="99"/>
      <c r="PDH108" s="138"/>
      <c r="PDI108" s="139"/>
      <c r="PDJ108" s="137"/>
      <c r="PDK108" s="140"/>
      <c r="PDL108" s="141"/>
      <c r="PDM108" s="141"/>
      <c r="PDN108" s="137"/>
      <c r="PDO108" s="137"/>
      <c r="PDP108" s="141"/>
      <c r="PDQ108" s="137"/>
      <c r="PDR108" s="137"/>
      <c r="PDS108" s="142"/>
      <c r="PDT108" s="143"/>
      <c r="PDU108" s="144"/>
      <c r="PDV108" s="137"/>
      <c r="PDW108" s="104"/>
      <c r="PDX108" s="243"/>
      <c r="PDY108" s="146"/>
      <c r="PDZ108" s="96"/>
      <c r="PEA108" s="136"/>
      <c r="PEB108" s="137"/>
      <c r="PEC108" s="137"/>
      <c r="PED108" s="137"/>
      <c r="PEE108" s="137"/>
      <c r="PEF108" s="137"/>
      <c r="PEG108" s="99"/>
      <c r="PEH108" s="137"/>
      <c r="PEI108" s="99"/>
      <c r="PEJ108" s="138"/>
      <c r="PEK108" s="139"/>
      <c r="PEL108" s="137"/>
      <c r="PEM108" s="140"/>
      <c r="PEN108" s="141"/>
      <c r="PEO108" s="141"/>
      <c r="PEP108" s="137"/>
      <c r="PEQ108" s="137"/>
      <c r="PER108" s="141"/>
      <c r="PES108" s="137"/>
      <c r="PET108" s="137"/>
      <c r="PEU108" s="142"/>
      <c r="PEV108" s="143"/>
      <c r="PEW108" s="144"/>
      <c r="PEX108" s="137"/>
      <c r="PEY108" s="104"/>
      <c r="PEZ108" s="243"/>
      <c r="PFA108" s="146"/>
      <c r="PFB108" s="96"/>
      <c r="PFC108" s="136"/>
      <c r="PFD108" s="137"/>
      <c r="PFE108" s="137"/>
      <c r="PFF108" s="137"/>
      <c r="PFG108" s="137"/>
      <c r="PFH108" s="137"/>
      <c r="PFI108" s="99"/>
      <c r="PFJ108" s="137"/>
      <c r="PFK108" s="99"/>
      <c r="PFL108" s="138"/>
      <c r="PFM108" s="139"/>
      <c r="PFN108" s="137"/>
      <c r="PFO108" s="140"/>
      <c r="PFP108" s="141"/>
      <c r="PFQ108" s="141"/>
      <c r="PFR108" s="137"/>
      <c r="PFS108" s="137"/>
      <c r="PFT108" s="141"/>
      <c r="PFU108" s="137"/>
      <c r="PFV108" s="137"/>
      <c r="PFW108" s="142"/>
      <c r="PFX108" s="143"/>
      <c r="PFY108" s="144"/>
      <c r="PFZ108" s="137"/>
      <c r="PGA108" s="104"/>
      <c r="PGB108" s="243"/>
      <c r="PGC108" s="146"/>
      <c r="PGD108" s="96"/>
      <c r="PGE108" s="136"/>
      <c r="PGF108" s="137"/>
      <c r="PGG108" s="137"/>
      <c r="PGH108" s="137"/>
      <c r="PGI108" s="137"/>
      <c r="PGJ108" s="137"/>
      <c r="PGK108" s="99"/>
      <c r="PGL108" s="137"/>
      <c r="PGM108" s="99"/>
      <c r="PGN108" s="138"/>
      <c r="PGO108" s="139"/>
      <c r="PGP108" s="137"/>
      <c r="PGQ108" s="140"/>
      <c r="PGR108" s="141"/>
      <c r="PGS108" s="141"/>
      <c r="PGT108" s="137"/>
      <c r="PGU108" s="137"/>
      <c r="PGV108" s="141"/>
      <c r="PGW108" s="137"/>
      <c r="PGX108" s="137"/>
      <c r="PGY108" s="142"/>
      <c r="PGZ108" s="143"/>
      <c r="PHA108" s="144"/>
      <c r="PHB108" s="137"/>
      <c r="PHC108" s="104"/>
      <c r="PHD108" s="243"/>
      <c r="PHE108" s="146"/>
      <c r="PHF108" s="96"/>
      <c r="PHG108" s="136"/>
      <c r="PHH108" s="137"/>
      <c r="PHI108" s="137"/>
      <c r="PHJ108" s="137"/>
      <c r="PHK108" s="137"/>
      <c r="PHL108" s="137"/>
      <c r="PHM108" s="99"/>
      <c r="PHN108" s="137"/>
      <c r="PHO108" s="99"/>
      <c r="PHP108" s="138"/>
      <c r="PHQ108" s="139"/>
      <c r="PHR108" s="137"/>
      <c r="PHS108" s="140"/>
      <c r="PHT108" s="141"/>
      <c r="PHU108" s="141"/>
      <c r="PHV108" s="137"/>
      <c r="PHW108" s="137"/>
      <c r="PHX108" s="141"/>
      <c r="PHY108" s="137"/>
      <c r="PHZ108" s="137"/>
      <c r="PIA108" s="142"/>
      <c r="PIB108" s="143"/>
      <c r="PIC108" s="144"/>
      <c r="PID108" s="137"/>
      <c r="PIE108" s="104"/>
      <c r="PIF108" s="243"/>
      <c r="PIG108" s="146"/>
      <c r="PIH108" s="96"/>
      <c r="PII108" s="136"/>
      <c r="PIJ108" s="137"/>
      <c r="PIK108" s="137"/>
      <c r="PIL108" s="137"/>
      <c r="PIM108" s="137"/>
      <c r="PIN108" s="137"/>
      <c r="PIO108" s="99"/>
      <c r="PIP108" s="137"/>
      <c r="PIQ108" s="99"/>
      <c r="PIR108" s="138"/>
      <c r="PIS108" s="139"/>
      <c r="PIT108" s="137"/>
      <c r="PIU108" s="140"/>
      <c r="PIV108" s="141"/>
      <c r="PIW108" s="141"/>
      <c r="PIX108" s="137"/>
      <c r="PIY108" s="137"/>
      <c r="PIZ108" s="141"/>
      <c r="PJA108" s="137"/>
      <c r="PJB108" s="137"/>
      <c r="PJC108" s="142"/>
      <c r="PJD108" s="143"/>
      <c r="PJE108" s="144"/>
      <c r="PJF108" s="137"/>
      <c r="PJG108" s="104"/>
      <c r="PJH108" s="243"/>
      <c r="PJI108" s="146"/>
      <c r="PJJ108" s="96"/>
      <c r="PJK108" s="136"/>
      <c r="PJL108" s="137"/>
      <c r="PJM108" s="137"/>
      <c r="PJN108" s="137"/>
      <c r="PJO108" s="137"/>
      <c r="PJP108" s="137"/>
      <c r="PJQ108" s="99"/>
      <c r="PJR108" s="137"/>
      <c r="PJS108" s="99"/>
      <c r="PJT108" s="138"/>
      <c r="PJU108" s="139"/>
      <c r="PJV108" s="137"/>
      <c r="PJW108" s="140"/>
      <c r="PJX108" s="141"/>
      <c r="PJY108" s="141"/>
      <c r="PJZ108" s="137"/>
      <c r="PKA108" s="137"/>
      <c r="PKB108" s="141"/>
      <c r="PKC108" s="137"/>
      <c r="PKD108" s="137"/>
      <c r="PKE108" s="142"/>
      <c r="PKF108" s="143"/>
      <c r="PKG108" s="144"/>
      <c r="PKH108" s="137"/>
      <c r="PKI108" s="104"/>
      <c r="PKJ108" s="243"/>
      <c r="PKK108" s="146"/>
      <c r="PKL108" s="96"/>
      <c r="PKM108" s="136"/>
      <c r="PKN108" s="137"/>
      <c r="PKO108" s="137"/>
      <c r="PKP108" s="137"/>
      <c r="PKQ108" s="137"/>
      <c r="PKR108" s="137"/>
      <c r="PKS108" s="99"/>
      <c r="PKT108" s="137"/>
      <c r="PKU108" s="99"/>
      <c r="PKV108" s="138"/>
      <c r="PKW108" s="139"/>
      <c r="PKX108" s="137"/>
      <c r="PKY108" s="140"/>
      <c r="PKZ108" s="141"/>
      <c r="PLA108" s="141"/>
      <c r="PLB108" s="137"/>
      <c r="PLC108" s="137"/>
      <c r="PLD108" s="141"/>
      <c r="PLE108" s="137"/>
      <c r="PLF108" s="137"/>
      <c r="PLG108" s="142"/>
      <c r="PLH108" s="143"/>
      <c r="PLI108" s="144"/>
      <c r="PLJ108" s="137"/>
      <c r="PLK108" s="104"/>
      <c r="PLL108" s="243"/>
      <c r="PLM108" s="146"/>
      <c r="PLN108" s="96"/>
      <c r="PLO108" s="136"/>
      <c r="PLP108" s="137"/>
      <c r="PLQ108" s="137"/>
      <c r="PLR108" s="137"/>
      <c r="PLS108" s="137"/>
      <c r="PLT108" s="137"/>
      <c r="PLU108" s="99"/>
      <c r="PLV108" s="137"/>
      <c r="PLW108" s="99"/>
      <c r="PLX108" s="138"/>
      <c r="PLY108" s="139"/>
      <c r="PLZ108" s="137"/>
      <c r="PMA108" s="140"/>
      <c r="PMB108" s="141"/>
      <c r="PMC108" s="141"/>
      <c r="PMD108" s="137"/>
      <c r="PME108" s="137"/>
      <c r="PMF108" s="141"/>
      <c r="PMG108" s="137"/>
      <c r="PMH108" s="137"/>
      <c r="PMI108" s="142"/>
      <c r="PMJ108" s="143"/>
      <c r="PMK108" s="144"/>
      <c r="PML108" s="137"/>
      <c r="PMM108" s="104"/>
      <c r="PMN108" s="243"/>
      <c r="PMO108" s="146"/>
      <c r="PMP108" s="96"/>
      <c r="PMQ108" s="136"/>
      <c r="PMR108" s="137"/>
      <c r="PMS108" s="137"/>
      <c r="PMT108" s="137"/>
      <c r="PMU108" s="137"/>
      <c r="PMV108" s="137"/>
      <c r="PMW108" s="99"/>
      <c r="PMX108" s="137"/>
      <c r="PMY108" s="99"/>
      <c r="PMZ108" s="138"/>
      <c r="PNA108" s="139"/>
      <c r="PNB108" s="137"/>
      <c r="PNC108" s="140"/>
      <c r="PND108" s="141"/>
      <c r="PNE108" s="141"/>
      <c r="PNF108" s="137"/>
      <c r="PNG108" s="137"/>
      <c r="PNH108" s="141"/>
      <c r="PNI108" s="137"/>
      <c r="PNJ108" s="137"/>
      <c r="PNK108" s="142"/>
      <c r="PNL108" s="143"/>
      <c r="PNM108" s="144"/>
      <c r="PNN108" s="137"/>
      <c r="PNO108" s="104"/>
      <c r="PNP108" s="243"/>
      <c r="PNQ108" s="146"/>
      <c r="PNR108" s="96"/>
      <c r="PNS108" s="136"/>
      <c r="PNT108" s="137"/>
      <c r="PNU108" s="137"/>
      <c r="PNV108" s="137"/>
      <c r="PNW108" s="137"/>
      <c r="PNX108" s="137"/>
      <c r="PNY108" s="99"/>
      <c r="PNZ108" s="137"/>
      <c r="POA108" s="99"/>
      <c r="POB108" s="138"/>
      <c r="POC108" s="139"/>
      <c r="POD108" s="137"/>
      <c r="POE108" s="140"/>
      <c r="POF108" s="141"/>
      <c r="POG108" s="141"/>
      <c r="POH108" s="137"/>
      <c r="POI108" s="137"/>
      <c r="POJ108" s="141"/>
      <c r="POK108" s="137"/>
      <c r="POL108" s="137"/>
      <c r="POM108" s="142"/>
      <c r="PON108" s="143"/>
      <c r="POO108" s="144"/>
      <c r="POP108" s="137"/>
      <c r="POQ108" s="104"/>
      <c r="POR108" s="243"/>
      <c r="POS108" s="146"/>
      <c r="POT108" s="96"/>
      <c r="POU108" s="136"/>
      <c r="POV108" s="137"/>
      <c r="POW108" s="137"/>
      <c r="POX108" s="137"/>
      <c r="POY108" s="137"/>
      <c r="POZ108" s="137"/>
      <c r="PPA108" s="99"/>
      <c r="PPB108" s="137"/>
      <c r="PPC108" s="99"/>
      <c r="PPD108" s="138"/>
      <c r="PPE108" s="139"/>
      <c r="PPF108" s="137"/>
      <c r="PPG108" s="140"/>
      <c r="PPH108" s="141"/>
      <c r="PPI108" s="141"/>
      <c r="PPJ108" s="137"/>
      <c r="PPK108" s="137"/>
      <c r="PPL108" s="141"/>
      <c r="PPM108" s="137"/>
      <c r="PPN108" s="137"/>
      <c r="PPO108" s="142"/>
      <c r="PPP108" s="143"/>
      <c r="PPQ108" s="144"/>
      <c r="PPR108" s="137"/>
      <c r="PPS108" s="104"/>
      <c r="PPT108" s="243"/>
      <c r="PPU108" s="146"/>
      <c r="PPV108" s="96"/>
      <c r="PPW108" s="136"/>
      <c r="PPX108" s="137"/>
      <c r="PPY108" s="137"/>
      <c r="PPZ108" s="137"/>
      <c r="PQA108" s="137"/>
      <c r="PQB108" s="137"/>
      <c r="PQC108" s="99"/>
      <c r="PQD108" s="137"/>
      <c r="PQE108" s="99"/>
      <c r="PQF108" s="138"/>
      <c r="PQG108" s="139"/>
      <c r="PQH108" s="137"/>
      <c r="PQI108" s="140"/>
      <c r="PQJ108" s="141"/>
      <c r="PQK108" s="141"/>
      <c r="PQL108" s="137"/>
      <c r="PQM108" s="137"/>
      <c r="PQN108" s="141"/>
      <c r="PQO108" s="137"/>
      <c r="PQP108" s="137"/>
      <c r="PQQ108" s="142"/>
      <c r="PQR108" s="143"/>
      <c r="PQS108" s="144"/>
      <c r="PQT108" s="137"/>
      <c r="PQU108" s="104"/>
      <c r="PQV108" s="243"/>
      <c r="PQW108" s="146"/>
      <c r="PQX108" s="96"/>
      <c r="PQY108" s="136"/>
      <c r="PQZ108" s="137"/>
      <c r="PRA108" s="137"/>
      <c r="PRB108" s="137"/>
      <c r="PRC108" s="137"/>
      <c r="PRD108" s="137"/>
      <c r="PRE108" s="99"/>
      <c r="PRF108" s="137"/>
      <c r="PRG108" s="99"/>
      <c r="PRH108" s="138"/>
      <c r="PRI108" s="139"/>
      <c r="PRJ108" s="137"/>
      <c r="PRK108" s="140"/>
      <c r="PRL108" s="141"/>
      <c r="PRM108" s="141"/>
      <c r="PRN108" s="137"/>
      <c r="PRO108" s="137"/>
      <c r="PRP108" s="141"/>
      <c r="PRQ108" s="137"/>
      <c r="PRR108" s="137"/>
      <c r="PRS108" s="142"/>
      <c r="PRT108" s="143"/>
      <c r="PRU108" s="144"/>
      <c r="PRV108" s="137"/>
      <c r="PRW108" s="104"/>
      <c r="PRX108" s="243"/>
      <c r="PRY108" s="146"/>
      <c r="PRZ108" s="96"/>
      <c r="PSA108" s="136"/>
      <c r="PSB108" s="137"/>
      <c r="PSC108" s="137"/>
      <c r="PSD108" s="137"/>
      <c r="PSE108" s="137"/>
      <c r="PSF108" s="137"/>
      <c r="PSG108" s="99"/>
      <c r="PSH108" s="137"/>
      <c r="PSI108" s="99"/>
      <c r="PSJ108" s="138"/>
      <c r="PSK108" s="139"/>
      <c r="PSL108" s="137"/>
      <c r="PSM108" s="140"/>
      <c r="PSN108" s="141"/>
      <c r="PSO108" s="141"/>
      <c r="PSP108" s="137"/>
      <c r="PSQ108" s="137"/>
      <c r="PSR108" s="141"/>
      <c r="PSS108" s="137"/>
      <c r="PST108" s="137"/>
      <c r="PSU108" s="142"/>
      <c r="PSV108" s="143"/>
      <c r="PSW108" s="144"/>
      <c r="PSX108" s="137"/>
      <c r="PSY108" s="104"/>
      <c r="PSZ108" s="243"/>
      <c r="PTA108" s="146"/>
      <c r="PTB108" s="96"/>
      <c r="PTC108" s="136"/>
      <c r="PTD108" s="137"/>
      <c r="PTE108" s="137"/>
      <c r="PTF108" s="137"/>
      <c r="PTG108" s="137"/>
      <c r="PTH108" s="137"/>
      <c r="PTI108" s="99"/>
      <c r="PTJ108" s="137"/>
      <c r="PTK108" s="99"/>
      <c r="PTL108" s="138"/>
      <c r="PTM108" s="139"/>
      <c r="PTN108" s="137"/>
      <c r="PTO108" s="140"/>
      <c r="PTP108" s="141"/>
      <c r="PTQ108" s="141"/>
      <c r="PTR108" s="137"/>
      <c r="PTS108" s="137"/>
      <c r="PTT108" s="141"/>
      <c r="PTU108" s="137"/>
      <c r="PTV108" s="137"/>
      <c r="PTW108" s="142"/>
      <c r="PTX108" s="143"/>
      <c r="PTY108" s="144"/>
      <c r="PTZ108" s="137"/>
      <c r="PUA108" s="104"/>
      <c r="PUB108" s="243"/>
      <c r="PUC108" s="146"/>
      <c r="PUD108" s="96"/>
      <c r="PUE108" s="136"/>
      <c r="PUF108" s="137"/>
      <c r="PUG108" s="137"/>
      <c r="PUH108" s="137"/>
      <c r="PUI108" s="137"/>
      <c r="PUJ108" s="137"/>
      <c r="PUK108" s="99"/>
      <c r="PUL108" s="137"/>
      <c r="PUM108" s="99"/>
      <c r="PUN108" s="138"/>
      <c r="PUO108" s="139"/>
      <c r="PUP108" s="137"/>
      <c r="PUQ108" s="140"/>
      <c r="PUR108" s="141"/>
      <c r="PUS108" s="141"/>
      <c r="PUT108" s="137"/>
      <c r="PUU108" s="137"/>
      <c r="PUV108" s="141"/>
      <c r="PUW108" s="137"/>
      <c r="PUX108" s="137"/>
      <c r="PUY108" s="142"/>
      <c r="PUZ108" s="143"/>
      <c r="PVA108" s="144"/>
      <c r="PVB108" s="137"/>
      <c r="PVC108" s="104"/>
      <c r="PVD108" s="243"/>
      <c r="PVE108" s="146"/>
      <c r="PVF108" s="96"/>
      <c r="PVG108" s="136"/>
      <c r="PVH108" s="137"/>
      <c r="PVI108" s="137"/>
      <c r="PVJ108" s="137"/>
      <c r="PVK108" s="137"/>
      <c r="PVL108" s="137"/>
      <c r="PVM108" s="99"/>
      <c r="PVN108" s="137"/>
      <c r="PVO108" s="99"/>
      <c r="PVP108" s="138"/>
      <c r="PVQ108" s="139"/>
      <c r="PVR108" s="137"/>
      <c r="PVS108" s="140"/>
      <c r="PVT108" s="141"/>
      <c r="PVU108" s="141"/>
      <c r="PVV108" s="137"/>
      <c r="PVW108" s="137"/>
      <c r="PVX108" s="141"/>
      <c r="PVY108" s="137"/>
      <c r="PVZ108" s="137"/>
      <c r="PWA108" s="142"/>
      <c r="PWB108" s="143"/>
      <c r="PWC108" s="144"/>
      <c r="PWD108" s="137"/>
      <c r="PWE108" s="104"/>
      <c r="PWF108" s="243"/>
      <c r="PWG108" s="146"/>
      <c r="PWH108" s="96"/>
      <c r="PWI108" s="136"/>
      <c r="PWJ108" s="137"/>
      <c r="PWK108" s="137"/>
      <c r="PWL108" s="137"/>
      <c r="PWM108" s="137"/>
      <c r="PWN108" s="137"/>
      <c r="PWO108" s="99"/>
      <c r="PWP108" s="137"/>
      <c r="PWQ108" s="99"/>
      <c r="PWR108" s="138"/>
      <c r="PWS108" s="139"/>
      <c r="PWT108" s="137"/>
      <c r="PWU108" s="140"/>
      <c r="PWV108" s="141"/>
      <c r="PWW108" s="141"/>
      <c r="PWX108" s="137"/>
      <c r="PWY108" s="137"/>
      <c r="PWZ108" s="141"/>
      <c r="PXA108" s="137"/>
      <c r="PXB108" s="137"/>
      <c r="PXC108" s="142"/>
      <c r="PXD108" s="143"/>
      <c r="PXE108" s="144"/>
      <c r="PXF108" s="137"/>
      <c r="PXG108" s="104"/>
      <c r="PXH108" s="243"/>
      <c r="PXI108" s="146"/>
      <c r="PXJ108" s="96"/>
      <c r="PXK108" s="136"/>
      <c r="PXL108" s="137"/>
      <c r="PXM108" s="137"/>
      <c r="PXN108" s="137"/>
      <c r="PXO108" s="137"/>
      <c r="PXP108" s="137"/>
      <c r="PXQ108" s="99"/>
      <c r="PXR108" s="137"/>
      <c r="PXS108" s="99"/>
      <c r="PXT108" s="138"/>
      <c r="PXU108" s="139"/>
      <c r="PXV108" s="137"/>
      <c r="PXW108" s="140"/>
      <c r="PXX108" s="141"/>
      <c r="PXY108" s="141"/>
      <c r="PXZ108" s="137"/>
      <c r="PYA108" s="137"/>
      <c r="PYB108" s="141"/>
      <c r="PYC108" s="137"/>
      <c r="PYD108" s="137"/>
      <c r="PYE108" s="142"/>
      <c r="PYF108" s="143"/>
      <c r="PYG108" s="144"/>
      <c r="PYH108" s="137"/>
      <c r="PYI108" s="104"/>
      <c r="PYJ108" s="243"/>
      <c r="PYK108" s="146"/>
      <c r="PYL108" s="96"/>
      <c r="PYM108" s="136"/>
      <c r="PYN108" s="137"/>
      <c r="PYO108" s="137"/>
      <c r="PYP108" s="137"/>
      <c r="PYQ108" s="137"/>
      <c r="PYR108" s="137"/>
      <c r="PYS108" s="99"/>
      <c r="PYT108" s="137"/>
      <c r="PYU108" s="99"/>
      <c r="PYV108" s="138"/>
      <c r="PYW108" s="139"/>
      <c r="PYX108" s="137"/>
      <c r="PYY108" s="140"/>
      <c r="PYZ108" s="141"/>
      <c r="PZA108" s="141"/>
      <c r="PZB108" s="137"/>
      <c r="PZC108" s="137"/>
      <c r="PZD108" s="141"/>
      <c r="PZE108" s="137"/>
      <c r="PZF108" s="137"/>
      <c r="PZG108" s="142"/>
      <c r="PZH108" s="143"/>
      <c r="PZI108" s="144"/>
      <c r="PZJ108" s="137"/>
      <c r="PZK108" s="104"/>
      <c r="PZL108" s="243"/>
      <c r="PZM108" s="146"/>
      <c r="PZN108" s="96"/>
      <c r="PZO108" s="136"/>
      <c r="PZP108" s="137"/>
      <c r="PZQ108" s="137"/>
      <c r="PZR108" s="137"/>
      <c r="PZS108" s="137"/>
      <c r="PZT108" s="137"/>
      <c r="PZU108" s="99"/>
      <c r="PZV108" s="137"/>
      <c r="PZW108" s="99"/>
      <c r="PZX108" s="138"/>
      <c r="PZY108" s="139"/>
      <c r="PZZ108" s="137"/>
      <c r="QAA108" s="140"/>
      <c r="QAB108" s="141"/>
      <c r="QAC108" s="141"/>
      <c r="QAD108" s="137"/>
      <c r="QAE108" s="137"/>
      <c r="QAF108" s="141"/>
      <c r="QAG108" s="137"/>
      <c r="QAH108" s="137"/>
      <c r="QAI108" s="142"/>
      <c r="QAJ108" s="143"/>
      <c r="QAK108" s="144"/>
      <c r="QAL108" s="137"/>
      <c r="QAM108" s="104"/>
      <c r="QAN108" s="243"/>
      <c r="QAO108" s="146"/>
      <c r="QAP108" s="96"/>
      <c r="QAQ108" s="136"/>
      <c r="QAR108" s="137"/>
      <c r="QAS108" s="137"/>
      <c r="QAT108" s="137"/>
      <c r="QAU108" s="137"/>
      <c r="QAV108" s="137"/>
      <c r="QAW108" s="99"/>
      <c r="QAX108" s="137"/>
      <c r="QAY108" s="99"/>
      <c r="QAZ108" s="138"/>
      <c r="QBA108" s="139"/>
      <c r="QBB108" s="137"/>
      <c r="QBC108" s="140"/>
      <c r="QBD108" s="141"/>
      <c r="QBE108" s="141"/>
      <c r="QBF108" s="137"/>
      <c r="QBG108" s="137"/>
      <c r="QBH108" s="141"/>
      <c r="QBI108" s="137"/>
      <c r="QBJ108" s="137"/>
      <c r="QBK108" s="142"/>
      <c r="QBL108" s="143"/>
      <c r="QBM108" s="144"/>
      <c r="QBN108" s="137"/>
      <c r="QBO108" s="104"/>
      <c r="QBP108" s="243"/>
      <c r="QBQ108" s="146"/>
      <c r="QBR108" s="96"/>
      <c r="QBS108" s="136"/>
      <c r="QBT108" s="137"/>
      <c r="QBU108" s="137"/>
      <c r="QBV108" s="137"/>
      <c r="QBW108" s="137"/>
      <c r="QBX108" s="137"/>
      <c r="QBY108" s="99"/>
      <c r="QBZ108" s="137"/>
      <c r="QCA108" s="99"/>
      <c r="QCB108" s="138"/>
      <c r="QCC108" s="139"/>
      <c r="QCD108" s="137"/>
      <c r="QCE108" s="140"/>
      <c r="QCF108" s="141"/>
      <c r="QCG108" s="141"/>
      <c r="QCH108" s="137"/>
      <c r="QCI108" s="137"/>
      <c r="QCJ108" s="141"/>
      <c r="QCK108" s="137"/>
      <c r="QCL108" s="137"/>
      <c r="QCM108" s="142"/>
      <c r="QCN108" s="143"/>
      <c r="QCO108" s="144"/>
      <c r="QCP108" s="137"/>
      <c r="QCQ108" s="104"/>
      <c r="QCR108" s="243"/>
      <c r="QCS108" s="146"/>
      <c r="QCT108" s="96"/>
      <c r="QCU108" s="136"/>
      <c r="QCV108" s="137"/>
      <c r="QCW108" s="137"/>
      <c r="QCX108" s="137"/>
      <c r="QCY108" s="137"/>
      <c r="QCZ108" s="137"/>
      <c r="QDA108" s="99"/>
      <c r="QDB108" s="137"/>
      <c r="QDC108" s="99"/>
      <c r="QDD108" s="138"/>
      <c r="QDE108" s="139"/>
      <c r="QDF108" s="137"/>
      <c r="QDG108" s="140"/>
      <c r="QDH108" s="141"/>
      <c r="QDI108" s="141"/>
      <c r="QDJ108" s="137"/>
      <c r="QDK108" s="137"/>
      <c r="QDL108" s="141"/>
      <c r="QDM108" s="137"/>
      <c r="QDN108" s="137"/>
      <c r="QDO108" s="142"/>
      <c r="QDP108" s="143"/>
      <c r="QDQ108" s="144"/>
      <c r="QDR108" s="137"/>
      <c r="QDS108" s="104"/>
      <c r="QDT108" s="243"/>
      <c r="QDU108" s="146"/>
      <c r="QDV108" s="96"/>
      <c r="QDW108" s="136"/>
      <c r="QDX108" s="137"/>
      <c r="QDY108" s="137"/>
      <c r="QDZ108" s="137"/>
      <c r="QEA108" s="137"/>
      <c r="QEB108" s="137"/>
      <c r="QEC108" s="99"/>
      <c r="QED108" s="137"/>
      <c r="QEE108" s="99"/>
      <c r="QEF108" s="138"/>
      <c r="QEG108" s="139"/>
      <c r="QEH108" s="137"/>
      <c r="QEI108" s="140"/>
      <c r="QEJ108" s="141"/>
      <c r="QEK108" s="141"/>
      <c r="QEL108" s="137"/>
      <c r="QEM108" s="137"/>
      <c r="QEN108" s="141"/>
      <c r="QEO108" s="137"/>
      <c r="QEP108" s="137"/>
      <c r="QEQ108" s="142"/>
      <c r="QER108" s="143"/>
      <c r="QES108" s="144"/>
      <c r="QET108" s="137"/>
      <c r="QEU108" s="104"/>
      <c r="QEV108" s="243"/>
      <c r="QEW108" s="146"/>
      <c r="QEX108" s="96"/>
      <c r="QEY108" s="136"/>
      <c r="QEZ108" s="137"/>
      <c r="QFA108" s="137"/>
      <c r="QFB108" s="137"/>
      <c r="QFC108" s="137"/>
      <c r="QFD108" s="137"/>
      <c r="QFE108" s="99"/>
      <c r="QFF108" s="137"/>
      <c r="QFG108" s="99"/>
      <c r="QFH108" s="138"/>
      <c r="QFI108" s="139"/>
      <c r="QFJ108" s="137"/>
      <c r="QFK108" s="140"/>
      <c r="QFL108" s="141"/>
      <c r="QFM108" s="141"/>
      <c r="QFN108" s="137"/>
      <c r="QFO108" s="137"/>
      <c r="QFP108" s="141"/>
      <c r="QFQ108" s="137"/>
      <c r="QFR108" s="137"/>
      <c r="QFS108" s="142"/>
      <c r="QFT108" s="143"/>
      <c r="QFU108" s="144"/>
      <c r="QFV108" s="137"/>
      <c r="QFW108" s="104"/>
      <c r="QFX108" s="243"/>
      <c r="QFY108" s="146"/>
      <c r="QFZ108" s="96"/>
      <c r="QGA108" s="136"/>
      <c r="QGB108" s="137"/>
      <c r="QGC108" s="137"/>
      <c r="QGD108" s="137"/>
      <c r="QGE108" s="137"/>
      <c r="QGF108" s="137"/>
      <c r="QGG108" s="99"/>
      <c r="QGH108" s="137"/>
      <c r="QGI108" s="99"/>
      <c r="QGJ108" s="138"/>
      <c r="QGK108" s="139"/>
      <c r="QGL108" s="137"/>
      <c r="QGM108" s="140"/>
      <c r="QGN108" s="141"/>
      <c r="QGO108" s="141"/>
      <c r="QGP108" s="137"/>
      <c r="QGQ108" s="137"/>
      <c r="QGR108" s="141"/>
      <c r="QGS108" s="137"/>
      <c r="QGT108" s="137"/>
      <c r="QGU108" s="142"/>
      <c r="QGV108" s="143"/>
      <c r="QGW108" s="144"/>
      <c r="QGX108" s="137"/>
      <c r="QGY108" s="104"/>
      <c r="QGZ108" s="243"/>
      <c r="QHA108" s="146"/>
      <c r="QHB108" s="96"/>
      <c r="QHC108" s="136"/>
      <c r="QHD108" s="137"/>
      <c r="QHE108" s="137"/>
      <c r="QHF108" s="137"/>
      <c r="QHG108" s="137"/>
      <c r="QHH108" s="137"/>
      <c r="QHI108" s="99"/>
      <c r="QHJ108" s="137"/>
      <c r="QHK108" s="99"/>
      <c r="QHL108" s="138"/>
      <c r="QHM108" s="139"/>
      <c r="QHN108" s="137"/>
      <c r="QHO108" s="140"/>
      <c r="QHP108" s="141"/>
      <c r="QHQ108" s="141"/>
      <c r="QHR108" s="137"/>
      <c r="QHS108" s="137"/>
      <c r="QHT108" s="141"/>
      <c r="QHU108" s="137"/>
      <c r="QHV108" s="137"/>
      <c r="QHW108" s="142"/>
      <c r="QHX108" s="143"/>
      <c r="QHY108" s="144"/>
      <c r="QHZ108" s="137"/>
      <c r="QIA108" s="104"/>
      <c r="QIB108" s="243"/>
      <c r="QIC108" s="146"/>
      <c r="QID108" s="96"/>
      <c r="QIE108" s="136"/>
      <c r="QIF108" s="137"/>
      <c r="QIG108" s="137"/>
      <c r="QIH108" s="137"/>
      <c r="QII108" s="137"/>
      <c r="QIJ108" s="137"/>
      <c r="QIK108" s="99"/>
      <c r="QIL108" s="137"/>
      <c r="QIM108" s="99"/>
      <c r="QIN108" s="138"/>
      <c r="QIO108" s="139"/>
      <c r="QIP108" s="137"/>
      <c r="QIQ108" s="140"/>
      <c r="QIR108" s="141"/>
      <c r="QIS108" s="141"/>
      <c r="QIT108" s="137"/>
      <c r="QIU108" s="137"/>
      <c r="QIV108" s="141"/>
      <c r="QIW108" s="137"/>
      <c r="QIX108" s="137"/>
      <c r="QIY108" s="142"/>
      <c r="QIZ108" s="143"/>
      <c r="QJA108" s="144"/>
      <c r="QJB108" s="137"/>
      <c r="QJC108" s="104"/>
      <c r="QJD108" s="243"/>
      <c r="QJE108" s="146"/>
      <c r="QJF108" s="96"/>
      <c r="QJG108" s="136"/>
      <c r="QJH108" s="137"/>
      <c r="QJI108" s="137"/>
      <c r="QJJ108" s="137"/>
      <c r="QJK108" s="137"/>
      <c r="QJL108" s="137"/>
      <c r="QJM108" s="99"/>
      <c r="QJN108" s="137"/>
      <c r="QJO108" s="99"/>
      <c r="QJP108" s="138"/>
      <c r="QJQ108" s="139"/>
      <c r="QJR108" s="137"/>
      <c r="QJS108" s="140"/>
      <c r="QJT108" s="141"/>
      <c r="QJU108" s="141"/>
      <c r="QJV108" s="137"/>
      <c r="QJW108" s="137"/>
      <c r="QJX108" s="141"/>
      <c r="QJY108" s="137"/>
      <c r="QJZ108" s="137"/>
      <c r="QKA108" s="142"/>
      <c r="QKB108" s="143"/>
      <c r="QKC108" s="144"/>
      <c r="QKD108" s="137"/>
      <c r="QKE108" s="104"/>
      <c r="QKF108" s="243"/>
      <c r="QKG108" s="146"/>
      <c r="QKH108" s="96"/>
      <c r="QKI108" s="136"/>
      <c r="QKJ108" s="137"/>
      <c r="QKK108" s="137"/>
      <c r="QKL108" s="137"/>
      <c r="QKM108" s="137"/>
      <c r="QKN108" s="137"/>
      <c r="QKO108" s="99"/>
      <c r="QKP108" s="137"/>
      <c r="QKQ108" s="99"/>
      <c r="QKR108" s="138"/>
      <c r="QKS108" s="139"/>
      <c r="QKT108" s="137"/>
      <c r="QKU108" s="140"/>
      <c r="QKV108" s="141"/>
      <c r="QKW108" s="141"/>
      <c r="QKX108" s="137"/>
      <c r="QKY108" s="137"/>
      <c r="QKZ108" s="141"/>
      <c r="QLA108" s="137"/>
      <c r="QLB108" s="137"/>
      <c r="QLC108" s="142"/>
      <c r="QLD108" s="143"/>
      <c r="QLE108" s="144"/>
      <c r="QLF108" s="137"/>
      <c r="QLG108" s="104"/>
      <c r="QLH108" s="243"/>
      <c r="QLI108" s="146"/>
      <c r="QLJ108" s="96"/>
      <c r="QLK108" s="136"/>
      <c r="QLL108" s="137"/>
      <c r="QLM108" s="137"/>
      <c r="QLN108" s="137"/>
      <c r="QLO108" s="137"/>
      <c r="QLP108" s="137"/>
      <c r="QLQ108" s="99"/>
      <c r="QLR108" s="137"/>
      <c r="QLS108" s="99"/>
      <c r="QLT108" s="138"/>
      <c r="QLU108" s="139"/>
      <c r="QLV108" s="137"/>
      <c r="QLW108" s="140"/>
      <c r="QLX108" s="141"/>
      <c r="QLY108" s="141"/>
      <c r="QLZ108" s="137"/>
      <c r="QMA108" s="137"/>
      <c r="QMB108" s="141"/>
      <c r="QMC108" s="137"/>
      <c r="QMD108" s="137"/>
      <c r="QME108" s="142"/>
      <c r="QMF108" s="143"/>
      <c r="QMG108" s="144"/>
      <c r="QMH108" s="137"/>
      <c r="QMI108" s="104"/>
      <c r="QMJ108" s="243"/>
      <c r="QMK108" s="146"/>
      <c r="QML108" s="96"/>
      <c r="QMM108" s="136"/>
      <c r="QMN108" s="137"/>
      <c r="QMO108" s="137"/>
      <c r="QMP108" s="137"/>
      <c r="QMQ108" s="137"/>
      <c r="QMR108" s="137"/>
      <c r="QMS108" s="99"/>
      <c r="QMT108" s="137"/>
      <c r="QMU108" s="99"/>
      <c r="QMV108" s="138"/>
      <c r="QMW108" s="139"/>
      <c r="QMX108" s="137"/>
      <c r="QMY108" s="140"/>
      <c r="QMZ108" s="141"/>
      <c r="QNA108" s="141"/>
      <c r="QNB108" s="137"/>
      <c r="QNC108" s="137"/>
      <c r="QND108" s="141"/>
      <c r="QNE108" s="137"/>
      <c r="QNF108" s="137"/>
      <c r="QNG108" s="142"/>
      <c r="QNH108" s="143"/>
      <c r="QNI108" s="144"/>
      <c r="QNJ108" s="137"/>
      <c r="QNK108" s="104"/>
      <c r="QNL108" s="243"/>
      <c r="QNM108" s="146"/>
      <c r="QNN108" s="96"/>
      <c r="QNO108" s="136"/>
      <c r="QNP108" s="137"/>
      <c r="QNQ108" s="137"/>
      <c r="QNR108" s="137"/>
      <c r="QNS108" s="137"/>
      <c r="QNT108" s="137"/>
      <c r="QNU108" s="99"/>
      <c r="QNV108" s="137"/>
      <c r="QNW108" s="99"/>
      <c r="QNX108" s="138"/>
      <c r="QNY108" s="139"/>
      <c r="QNZ108" s="137"/>
      <c r="QOA108" s="140"/>
      <c r="QOB108" s="141"/>
      <c r="QOC108" s="141"/>
      <c r="QOD108" s="137"/>
      <c r="QOE108" s="137"/>
      <c r="QOF108" s="141"/>
      <c r="QOG108" s="137"/>
      <c r="QOH108" s="137"/>
      <c r="QOI108" s="142"/>
      <c r="QOJ108" s="143"/>
      <c r="QOK108" s="144"/>
      <c r="QOL108" s="137"/>
      <c r="QOM108" s="104"/>
      <c r="QON108" s="243"/>
      <c r="QOO108" s="146"/>
      <c r="QOP108" s="96"/>
      <c r="QOQ108" s="136"/>
      <c r="QOR108" s="137"/>
      <c r="QOS108" s="137"/>
      <c r="QOT108" s="137"/>
      <c r="QOU108" s="137"/>
      <c r="QOV108" s="137"/>
      <c r="QOW108" s="99"/>
      <c r="QOX108" s="137"/>
      <c r="QOY108" s="99"/>
      <c r="QOZ108" s="138"/>
      <c r="QPA108" s="139"/>
      <c r="QPB108" s="137"/>
      <c r="QPC108" s="140"/>
      <c r="QPD108" s="141"/>
      <c r="QPE108" s="141"/>
      <c r="QPF108" s="137"/>
      <c r="QPG108" s="137"/>
      <c r="QPH108" s="141"/>
      <c r="QPI108" s="137"/>
      <c r="QPJ108" s="137"/>
      <c r="QPK108" s="142"/>
      <c r="QPL108" s="143"/>
      <c r="QPM108" s="144"/>
      <c r="QPN108" s="137"/>
      <c r="QPO108" s="104"/>
      <c r="QPP108" s="243"/>
      <c r="QPQ108" s="146"/>
      <c r="QPR108" s="96"/>
      <c r="QPS108" s="136"/>
      <c r="QPT108" s="137"/>
      <c r="QPU108" s="137"/>
      <c r="QPV108" s="137"/>
      <c r="QPW108" s="137"/>
      <c r="QPX108" s="137"/>
      <c r="QPY108" s="99"/>
      <c r="QPZ108" s="137"/>
      <c r="QQA108" s="99"/>
      <c r="QQB108" s="138"/>
      <c r="QQC108" s="139"/>
      <c r="QQD108" s="137"/>
      <c r="QQE108" s="140"/>
      <c r="QQF108" s="141"/>
      <c r="QQG108" s="141"/>
      <c r="QQH108" s="137"/>
      <c r="QQI108" s="137"/>
      <c r="QQJ108" s="141"/>
      <c r="QQK108" s="137"/>
      <c r="QQL108" s="137"/>
      <c r="QQM108" s="142"/>
      <c r="QQN108" s="143"/>
      <c r="QQO108" s="144"/>
      <c r="QQP108" s="137"/>
      <c r="QQQ108" s="104"/>
      <c r="QQR108" s="243"/>
      <c r="QQS108" s="146"/>
      <c r="QQT108" s="96"/>
      <c r="QQU108" s="136"/>
      <c r="QQV108" s="137"/>
      <c r="QQW108" s="137"/>
      <c r="QQX108" s="137"/>
      <c r="QQY108" s="137"/>
      <c r="QQZ108" s="137"/>
      <c r="QRA108" s="99"/>
      <c r="QRB108" s="137"/>
      <c r="QRC108" s="99"/>
      <c r="QRD108" s="138"/>
      <c r="QRE108" s="139"/>
      <c r="QRF108" s="137"/>
      <c r="QRG108" s="140"/>
      <c r="QRH108" s="141"/>
      <c r="QRI108" s="141"/>
      <c r="QRJ108" s="137"/>
      <c r="QRK108" s="137"/>
      <c r="QRL108" s="141"/>
      <c r="QRM108" s="137"/>
      <c r="QRN108" s="137"/>
      <c r="QRO108" s="142"/>
      <c r="QRP108" s="143"/>
      <c r="QRQ108" s="144"/>
      <c r="QRR108" s="137"/>
      <c r="QRS108" s="104"/>
      <c r="QRT108" s="243"/>
      <c r="QRU108" s="146"/>
      <c r="QRV108" s="96"/>
      <c r="QRW108" s="136"/>
      <c r="QRX108" s="137"/>
      <c r="QRY108" s="137"/>
      <c r="QRZ108" s="137"/>
      <c r="QSA108" s="137"/>
      <c r="QSB108" s="137"/>
      <c r="QSC108" s="99"/>
      <c r="QSD108" s="137"/>
      <c r="QSE108" s="99"/>
      <c r="QSF108" s="138"/>
      <c r="QSG108" s="139"/>
      <c r="QSH108" s="137"/>
      <c r="QSI108" s="140"/>
      <c r="QSJ108" s="141"/>
      <c r="QSK108" s="141"/>
      <c r="QSL108" s="137"/>
      <c r="QSM108" s="137"/>
      <c r="QSN108" s="141"/>
      <c r="QSO108" s="137"/>
      <c r="QSP108" s="137"/>
      <c r="QSQ108" s="142"/>
      <c r="QSR108" s="143"/>
      <c r="QSS108" s="144"/>
      <c r="QST108" s="137"/>
      <c r="QSU108" s="104"/>
      <c r="QSV108" s="243"/>
      <c r="QSW108" s="146"/>
      <c r="QSX108" s="96"/>
      <c r="QSY108" s="136"/>
      <c r="QSZ108" s="137"/>
      <c r="QTA108" s="137"/>
      <c r="QTB108" s="137"/>
      <c r="QTC108" s="137"/>
      <c r="QTD108" s="137"/>
      <c r="QTE108" s="99"/>
      <c r="QTF108" s="137"/>
      <c r="QTG108" s="99"/>
      <c r="QTH108" s="138"/>
      <c r="QTI108" s="139"/>
      <c r="QTJ108" s="137"/>
      <c r="QTK108" s="140"/>
      <c r="QTL108" s="141"/>
      <c r="QTM108" s="141"/>
      <c r="QTN108" s="137"/>
      <c r="QTO108" s="137"/>
      <c r="QTP108" s="141"/>
      <c r="QTQ108" s="137"/>
      <c r="QTR108" s="137"/>
      <c r="QTS108" s="142"/>
      <c r="QTT108" s="143"/>
      <c r="QTU108" s="144"/>
      <c r="QTV108" s="137"/>
      <c r="QTW108" s="104"/>
      <c r="QTX108" s="243"/>
      <c r="QTY108" s="146"/>
      <c r="QTZ108" s="96"/>
      <c r="QUA108" s="136"/>
      <c r="QUB108" s="137"/>
      <c r="QUC108" s="137"/>
      <c r="QUD108" s="137"/>
      <c r="QUE108" s="137"/>
      <c r="QUF108" s="137"/>
      <c r="QUG108" s="99"/>
      <c r="QUH108" s="137"/>
      <c r="QUI108" s="99"/>
      <c r="QUJ108" s="138"/>
      <c r="QUK108" s="139"/>
      <c r="QUL108" s="137"/>
      <c r="QUM108" s="140"/>
      <c r="QUN108" s="141"/>
      <c r="QUO108" s="141"/>
      <c r="QUP108" s="137"/>
      <c r="QUQ108" s="137"/>
      <c r="QUR108" s="141"/>
      <c r="QUS108" s="137"/>
      <c r="QUT108" s="137"/>
      <c r="QUU108" s="142"/>
      <c r="QUV108" s="143"/>
      <c r="QUW108" s="144"/>
      <c r="QUX108" s="137"/>
      <c r="QUY108" s="104"/>
      <c r="QUZ108" s="243"/>
      <c r="QVA108" s="146"/>
      <c r="QVB108" s="96"/>
      <c r="QVC108" s="136"/>
      <c r="QVD108" s="137"/>
      <c r="QVE108" s="137"/>
      <c r="QVF108" s="137"/>
      <c r="QVG108" s="137"/>
      <c r="QVH108" s="137"/>
      <c r="QVI108" s="99"/>
      <c r="QVJ108" s="137"/>
      <c r="QVK108" s="99"/>
      <c r="QVL108" s="138"/>
      <c r="QVM108" s="139"/>
      <c r="QVN108" s="137"/>
      <c r="QVO108" s="140"/>
      <c r="QVP108" s="141"/>
      <c r="QVQ108" s="141"/>
      <c r="QVR108" s="137"/>
      <c r="QVS108" s="137"/>
      <c r="QVT108" s="141"/>
      <c r="QVU108" s="137"/>
      <c r="QVV108" s="137"/>
      <c r="QVW108" s="142"/>
      <c r="QVX108" s="143"/>
      <c r="QVY108" s="144"/>
      <c r="QVZ108" s="137"/>
      <c r="QWA108" s="104"/>
      <c r="QWB108" s="243"/>
      <c r="QWC108" s="146"/>
      <c r="QWD108" s="96"/>
      <c r="QWE108" s="136"/>
      <c r="QWF108" s="137"/>
      <c r="QWG108" s="137"/>
      <c r="QWH108" s="137"/>
      <c r="QWI108" s="137"/>
      <c r="QWJ108" s="137"/>
      <c r="QWK108" s="99"/>
      <c r="QWL108" s="137"/>
      <c r="QWM108" s="99"/>
      <c r="QWN108" s="138"/>
      <c r="QWO108" s="139"/>
      <c r="QWP108" s="137"/>
      <c r="QWQ108" s="140"/>
      <c r="QWR108" s="141"/>
      <c r="QWS108" s="141"/>
      <c r="QWT108" s="137"/>
      <c r="QWU108" s="137"/>
      <c r="QWV108" s="141"/>
      <c r="QWW108" s="137"/>
      <c r="QWX108" s="137"/>
      <c r="QWY108" s="142"/>
      <c r="QWZ108" s="143"/>
      <c r="QXA108" s="144"/>
      <c r="QXB108" s="137"/>
      <c r="QXC108" s="104"/>
      <c r="QXD108" s="243"/>
      <c r="QXE108" s="146"/>
      <c r="QXF108" s="96"/>
      <c r="QXG108" s="136"/>
      <c r="QXH108" s="137"/>
      <c r="QXI108" s="137"/>
      <c r="QXJ108" s="137"/>
      <c r="QXK108" s="137"/>
      <c r="QXL108" s="137"/>
      <c r="QXM108" s="99"/>
      <c r="QXN108" s="137"/>
      <c r="QXO108" s="99"/>
      <c r="QXP108" s="138"/>
      <c r="QXQ108" s="139"/>
      <c r="QXR108" s="137"/>
      <c r="QXS108" s="140"/>
      <c r="QXT108" s="141"/>
      <c r="QXU108" s="141"/>
      <c r="QXV108" s="137"/>
      <c r="QXW108" s="137"/>
      <c r="QXX108" s="141"/>
      <c r="QXY108" s="137"/>
      <c r="QXZ108" s="137"/>
      <c r="QYA108" s="142"/>
      <c r="QYB108" s="143"/>
      <c r="QYC108" s="144"/>
      <c r="QYD108" s="137"/>
      <c r="QYE108" s="104"/>
      <c r="QYF108" s="243"/>
      <c r="QYG108" s="146"/>
      <c r="QYH108" s="96"/>
      <c r="QYI108" s="136"/>
      <c r="QYJ108" s="137"/>
      <c r="QYK108" s="137"/>
      <c r="QYL108" s="137"/>
      <c r="QYM108" s="137"/>
      <c r="QYN108" s="137"/>
      <c r="QYO108" s="99"/>
      <c r="QYP108" s="137"/>
      <c r="QYQ108" s="99"/>
      <c r="QYR108" s="138"/>
      <c r="QYS108" s="139"/>
      <c r="QYT108" s="137"/>
      <c r="QYU108" s="140"/>
      <c r="QYV108" s="141"/>
      <c r="QYW108" s="141"/>
      <c r="QYX108" s="137"/>
      <c r="QYY108" s="137"/>
      <c r="QYZ108" s="141"/>
      <c r="QZA108" s="137"/>
      <c r="QZB108" s="137"/>
      <c r="QZC108" s="142"/>
      <c r="QZD108" s="143"/>
      <c r="QZE108" s="144"/>
      <c r="QZF108" s="137"/>
      <c r="QZG108" s="104"/>
      <c r="QZH108" s="243"/>
      <c r="QZI108" s="146"/>
      <c r="QZJ108" s="96"/>
      <c r="QZK108" s="136"/>
      <c r="QZL108" s="137"/>
      <c r="QZM108" s="137"/>
      <c r="QZN108" s="137"/>
      <c r="QZO108" s="137"/>
      <c r="QZP108" s="137"/>
      <c r="QZQ108" s="99"/>
      <c r="QZR108" s="137"/>
      <c r="QZS108" s="99"/>
      <c r="QZT108" s="138"/>
      <c r="QZU108" s="139"/>
      <c r="QZV108" s="137"/>
      <c r="QZW108" s="140"/>
      <c r="QZX108" s="141"/>
      <c r="QZY108" s="141"/>
      <c r="QZZ108" s="137"/>
      <c r="RAA108" s="137"/>
      <c r="RAB108" s="141"/>
      <c r="RAC108" s="137"/>
      <c r="RAD108" s="137"/>
      <c r="RAE108" s="142"/>
      <c r="RAF108" s="143"/>
      <c r="RAG108" s="144"/>
      <c r="RAH108" s="137"/>
      <c r="RAI108" s="104"/>
      <c r="RAJ108" s="243"/>
      <c r="RAK108" s="146"/>
      <c r="RAL108" s="96"/>
      <c r="RAM108" s="136"/>
      <c r="RAN108" s="137"/>
      <c r="RAO108" s="137"/>
      <c r="RAP108" s="137"/>
      <c r="RAQ108" s="137"/>
      <c r="RAR108" s="137"/>
      <c r="RAS108" s="99"/>
      <c r="RAT108" s="137"/>
      <c r="RAU108" s="99"/>
      <c r="RAV108" s="138"/>
      <c r="RAW108" s="139"/>
      <c r="RAX108" s="137"/>
      <c r="RAY108" s="140"/>
      <c r="RAZ108" s="141"/>
      <c r="RBA108" s="141"/>
      <c r="RBB108" s="137"/>
      <c r="RBC108" s="137"/>
      <c r="RBD108" s="141"/>
      <c r="RBE108" s="137"/>
      <c r="RBF108" s="137"/>
      <c r="RBG108" s="142"/>
      <c r="RBH108" s="143"/>
      <c r="RBI108" s="144"/>
      <c r="RBJ108" s="137"/>
      <c r="RBK108" s="104"/>
      <c r="RBL108" s="243"/>
      <c r="RBM108" s="146"/>
      <c r="RBN108" s="96"/>
      <c r="RBO108" s="136"/>
      <c r="RBP108" s="137"/>
      <c r="RBQ108" s="137"/>
      <c r="RBR108" s="137"/>
      <c r="RBS108" s="137"/>
      <c r="RBT108" s="137"/>
      <c r="RBU108" s="99"/>
      <c r="RBV108" s="137"/>
      <c r="RBW108" s="99"/>
      <c r="RBX108" s="138"/>
      <c r="RBY108" s="139"/>
      <c r="RBZ108" s="137"/>
      <c r="RCA108" s="140"/>
      <c r="RCB108" s="141"/>
      <c r="RCC108" s="141"/>
      <c r="RCD108" s="137"/>
      <c r="RCE108" s="137"/>
      <c r="RCF108" s="141"/>
      <c r="RCG108" s="137"/>
      <c r="RCH108" s="137"/>
      <c r="RCI108" s="142"/>
      <c r="RCJ108" s="143"/>
      <c r="RCK108" s="144"/>
      <c r="RCL108" s="137"/>
      <c r="RCM108" s="104"/>
      <c r="RCN108" s="243"/>
      <c r="RCO108" s="146"/>
      <c r="RCP108" s="96"/>
      <c r="RCQ108" s="136"/>
      <c r="RCR108" s="137"/>
      <c r="RCS108" s="137"/>
      <c r="RCT108" s="137"/>
      <c r="RCU108" s="137"/>
      <c r="RCV108" s="137"/>
      <c r="RCW108" s="99"/>
      <c r="RCX108" s="137"/>
      <c r="RCY108" s="99"/>
      <c r="RCZ108" s="138"/>
      <c r="RDA108" s="139"/>
      <c r="RDB108" s="137"/>
      <c r="RDC108" s="140"/>
      <c r="RDD108" s="141"/>
      <c r="RDE108" s="141"/>
      <c r="RDF108" s="137"/>
      <c r="RDG108" s="137"/>
      <c r="RDH108" s="141"/>
      <c r="RDI108" s="137"/>
      <c r="RDJ108" s="137"/>
      <c r="RDK108" s="142"/>
      <c r="RDL108" s="143"/>
      <c r="RDM108" s="144"/>
      <c r="RDN108" s="137"/>
      <c r="RDO108" s="104"/>
      <c r="RDP108" s="243"/>
      <c r="RDQ108" s="146"/>
      <c r="RDR108" s="96"/>
      <c r="RDS108" s="136"/>
      <c r="RDT108" s="137"/>
      <c r="RDU108" s="137"/>
      <c r="RDV108" s="137"/>
      <c r="RDW108" s="137"/>
      <c r="RDX108" s="137"/>
      <c r="RDY108" s="99"/>
      <c r="RDZ108" s="137"/>
      <c r="REA108" s="99"/>
      <c r="REB108" s="138"/>
      <c r="REC108" s="139"/>
      <c r="RED108" s="137"/>
      <c r="REE108" s="140"/>
      <c r="REF108" s="141"/>
      <c r="REG108" s="141"/>
      <c r="REH108" s="137"/>
      <c r="REI108" s="137"/>
      <c r="REJ108" s="141"/>
      <c r="REK108" s="137"/>
      <c r="REL108" s="137"/>
      <c r="REM108" s="142"/>
      <c r="REN108" s="143"/>
      <c r="REO108" s="144"/>
      <c r="REP108" s="137"/>
      <c r="REQ108" s="104"/>
      <c r="RER108" s="243"/>
      <c r="RES108" s="146"/>
      <c r="RET108" s="96"/>
      <c r="REU108" s="136"/>
      <c r="REV108" s="137"/>
      <c r="REW108" s="137"/>
      <c r="REX108" s="137"/>
      <c r="REY108" s="137"/>
      <c r="REZ108" s="137"/>
      <c r="RFA108" s="99"/>
      <c r="RFB108" s="137"/>
      <c r="RFC108" s="99"/>
      <c r="RFD108" s="138"/>
      <c r="RFE108" s="139"/>
      <c r="RFF108" s="137"/>
      <c r="RFG108" s="140"/>
      <c r="RFH108" s="141"/>
      <c r="RFI108" s="141"/>
      <c r="RFJ108" s="137"/>
      <c r="RFK108" s="137"/>
      <c r="RFL108" s="141"/>
      <c r="RFM108" s="137"/>
      <c r="RFN108" s="137"/>
      <c r="RFO108" s="142"/>
      <c r="RFP108" s="143"/>
      <c r="RFQ108" s="144"/>
      <c r="RFR108" s="137"/>
      <c r="RFS108" s="104"/>
      <c r="RFT108" s="243"/>
      <c r="RFU108" s="146"/>
      <c r="RFV108" s="96"/>
      <c r="RFW108" s="136"/>
      <c r="RFX108" s="137"/>
      <c r="RFY108" s="137"/>
      <c r="RFZ108" s="137"/>
      <c r="RGA108" s="137"/>
      <c r="RGB108" s="137"/>
      <c r="RGC108" s="99"/>
      <c r="RGD108" s="137"/>
      <c r="RGE108" s="99"/>
      <c r="RGF108" s="138"/>
      <c r="RGG108" s="139"/>
      <c r="RGH108" s="137"/>
      <c r="RGI108" s="140"/>
      <c r="RGJ108" s="141"/>
      <c r="RGK108" s="141"/>
      <c r="RGL108" s="137"/>
      <c r="RGM108" s="137"/>
      <c r="RGN108" s="141"/>
      <c r="RGO108" s="137"/>
      <c r="RGP108" s="137"/>
      <c r="RGQ108" s="142"/>
      <c r="RGR108" s="143"/>
      <c r="RGS108" s="144"/>
      <c r="RGT108" s="137"/>
      <c r="RGU108" s="104"/>
      <c r="RGV108" s="243"/>
      <c r="RGW108" s="146"/>
      <c r="RGX108" s="96"/>
      <c r="RGY108" s="136"/>
      <c r="RGZ108" s="137"/>
      <c r="RHA108" s="137"/>
      <c r="RHB108" s="137"/>
      <c r="RHC108" s="137"/>
      <c r="RHD108" s="137"/>
      <c r="RHE108" s="99"/>
      <c r="RHF108" s="137"/>
      <c r="RHG108" s="99"/>
      <c r="RHH108" s="138"/>
      <c r="RHI108" s="139"/>
      <c r="RHJ108" s="137"/>
      <c r="RHK108" s="140"/>
      <c r="RHL108" s="141"/>
      <c r="RHM108" s="141"/>
      <c r="RHN108" s="137"/>
      <c r="RHO108" s="137"/>
      <c r="RHP108" s="141"/>
      <c r="RHQ108" s="137"/>
      <c r="RHR108" s="137"/>
      <c r="RHS108" s="142"/>
      <c r="RHT108" s="143"/>
      <c r="RHU108" s="144"/>
      <c r="RHV108" s="137"/>
      <c r="RHW108" s="104"/>
      <c r="RHX108" s="243"/>
      <c r="RHY108" s="146"/>
      <c r="RHZ108" s="96"/>
      <c r="RIA108" s="136"/>
      <c r="RIB108" s="137"/>
      <c r="RIC108" s="137"/>
      <c r="RID108" s="137"/>
      <c r="RIE108" s="137"/>
      <c r="RIF108" s="137"/>
      <c r="RIG108" s="99"/>
      <c r="RIH108" s="137"/>
      <c r="RII108" s="99"/>
      <c r="RIJ108" s="138"/>
      <c r="RIK108" s="139"/>
      <c r="RIL108" s="137"/>
      <c r="RIM108" s="140"/>
      <c r="RIN108" s="141"/>
      <c r="RIO108" s="141"/>
      <c r="RIP108" s="137"/>
      <c r="RIQ108" s="137"/>
      <c r="RIR108" s="141"/>
      <c r="RIS108" s="137"/>
      <c r="RIT108" s="137"/>
      <c r="RIU108" s="142"/>
      <c r="RIV108" s="143"/>
      <c r="RIW108" s="144"/>
      <c r="RIX108" s="137"/>
      <c r="RIY108" s="104"/>
      <c r="RIZ108" s="243"/>
      <c r="RJA108" s="146"/>
      <c r="RJB108" s="96"/>
      <c r="RJC108" s="136"/>
      <c r="RJD108" s="137"/>
      <c r="RJE108" s="137"/>
      <c r="RJF108" s="137"/>
      <c r="RJG108" s="137"/>
      <c r="RJH108" s="137"/>
      <c r="RJI108" s="99"/>
      <c r="RJJ108" s="137"/>
      <c r="RJK108" s="99"/>
      <c r="RJL108" s="138"/>
      <c r="RJM108" s="139"/>
      <c r="RJN108" s="137"/>
      <c r="RJO108" s="140"/>
      <c r="RJP108" s="141"/>
      <c r="RJQ108" s="141"/>
      <c r="RJR108" s="137"/>
      <c r="RJS108" s="137"/>
      <c r="RJT108" s="141"/>
      <c r="RJU108" s="137"/>
      <c r="RJV108" s="137"/>
      <c r="RJW108" s="142"/>
      <c r="RJX108" s="143"/>
      <c r="RJY108" s="144"/>
      <c r="RJZ108" s="137"/>
      <c r="RKA108" s="104"/>
      <c r="RKB108" s="243"/>
      <c r="RKC108" s="146"/>
      <c r="RKD108" s="96"/>
      <c r="RKE108" s="136"/>
      <c r="RKF108" s="137"/>
      <c r="RKG108" s="137"/>
      <c r="RKH108" s="137"/>
      <c r="RKI108" s="137"/>
      <c r="RKJ108" s="137"/>
      <c r="RKK108" s="99"/>
      <c r="RKL108" s="137"/>
      <c r="RKM108" s="99"/>
      <c r="RKN108" s="138"/>
      <c r="RKO108" s="139"/>
      <c r="RKP108" s="137"/>
      <c r="RKQ108" s="140"/>
      <c r="RKR108" s="141"/>
      <c r="RKS108" s="141"/>
      <c r="RKT108" s="137"/>
      <c r="RKU108" s="137"/>
      <c r="RKV108" s="141"/>
      <c r="RKW108" s="137"/>
      <c r="RKX108" s="137"/>
      <c r="RKY108" s="142"/>
      <c r="RKZ108" s="143"/>
      <c r="RLA108" s="144"/>
      <c r="RLB108" s="137"/>
      <c r="RLC108" s="104"/>
      <c r="RLD108" s="243"/>
      <c r="RLE108" s="146"/>
      <c r="RLF108" s="96"/>
      <c r="RLG108" s="136"/>
      <c r="RLH108" s="137"/>
      <c r="RLI108" s="137"/>
      <c r="RLJ108" s="137"/>
      <c r="RLK108" s="137"/>
      <c r="RLL108" s="137"/>
      <c r="RLM108" s="99"/>
      <c r="RLN108" s="137"/>
      <c r="RLO108" s="99"/>
      <c r="RLP108" s="138"/>
      <c r="RLQ108" s="139"/>
      <c r="RLR108" s="137"/>
      <c r="RLS108" s="140"/>
      <c r="RLT108" s="141"/>
      <c r="RLU108" s="141"/>
      <c r="RLV108" s="137"/>
      <c r="RLW108" s="137"/>
      <c r="RLX108" s="141"/>
      <c r="RLY108" s="137"/>
      <c r="RLZ108" s="137"/>
      <c r="RMA108" s="142"/>
      <c r="RMB108" s="143"/>
      <c r="RMC108" s="144"/>
      <c r="RMD108" s="137"/>
      <c r="RME108" s="104"/>
      <c r="RMF108" s="243"/>
      <c r="RMG108" s="146"/>
      <c r="RMH108" s="96"/>
      <c r="RMI108" s="136"/>
      <c r="RMJ108" s="137"/>
      <c r="RMK108" s="137"/>
      <c r="RML108" s="137"/>
      <c r="RMM108" s="137"/>
      <c r="RMN108" s="137"/>
      <c r="RMO108" s="99"/>
      <c r="RMP108" s="137"/>
      <c r="RMQ108" s="99"/>
      <c r="RMR108" s="138"/>
      <c r="RMS108" s="139"/>
      <c r="RMT108" s="137"/>
      <c r="RMU108" s="140"/>
      <c r="RMV108" s="141"/>
      <c r="RMW108" s="141"/>
      <c r="RMX108" s="137"/>
      <c r="RMY108" s="137"/>
      <c r="RMZ108" s="141"/>
      <c r="RNA108" s="137"/>
      <c r="RNB108" s="137"/>
      <c r="RNC108" s="142"/>
      <c r="RND108" s="143"/>
      <c r="RNE108" s="144"/>
      <c r="RNF108" s="137"/>
      <c r="RNG108" s="104"/>
      <c r="RNH108" s="243"/>
      <c r="RNI108" s="146"/>
      <c r="RNJ108" s="96"/>
      <c r="RNK108" s="136"/>
      <c r="RNL108" s="137"/>
      <c r="RNM108" s="137"/>
      <c r="RNN108" s="137"/>
      <c r="RNO108" s="137"/>
      <c r="RNP108" s="137"/>
      <c r="RNQ108" s="99"/>
      <c r="RNR108" s="137"/>
      <c r="RNS108" s="99"/>
      <c r="RNT108" s="138"/>
      <c r="RNU108" s="139"/>
      <c r="RNV108" s="137"/>
      <c r="RNW108" s="140"/>
      <c r="RNX108" s="141"/>
      <c r="RNY108" s="141"/>
      <c r="RNZ108" s="137"/>
      <c r="ROA108" s="137"/>
      <c r="ROB108" s="141"/>
      <c r="ROC108" s="137"/>
      <c r="ROD108" s="137"/>
      <c r="ROE108" s="142"/>
      <c r="ROF108" s="143"/>
      <c r="ROG108" s="144"/>
      <c r="ROH108" s="137"/>
      <c r="ROI108" s="104"/>
      <c r="ROJ108" s="243"/>
      <c r="ROK108" s="146"/>
      <c r="ROL108" s="96"/>
      <c r="ROM108" s="136"/>
      <c r="RON108" s="137"/>
      <c r="ROO108" s="137"/>
      <c r="ROP108" s="137"/>
      <c r="ROQ108" s="137"/>
      <c r="ROR108" s="137"/>
      <c r="ROS108" s="99"/>
      <c r="ROT108" s="137"/>
      <c r="ROU108" s="99"/>
      <c r="ROV108" s="138"/>
      <c r="ROW108" s="139"/>
      <c r="ROX108" s="137"/>
      <c r="ROY108" s="140"/>
      <c r="ROZ108" s="141"/>
      <c r="RPA108" s="141"/>
      <c r="RPB108" s="137"/>
      <c r="RPC108" s="137"/>
      <c r="RPD108" s="141"/>
      <c r="RPE108" s="137"/>
      <c r="RPF108" s="137"/>
      <c r="RPG108" s="142"/>
      <c r="RPH108" s="143"/>
      <c r="RPI108" s="144"/>
      <c r="RPJ108" s="137"/>
      <c r="RPK108" s="104"/>
      <c r="RPL108" s="243"/>
      <c r="RPM108" s="146"/>
      <c r="RPN108" s="96"/>
      <c r="RPO108" s="136"/>
      <c r="RPP108" s="137"/>
      <c r="RPQ108" s="137"/>
      <c r="RPR108" s="137"/>
      <c r="RPS108" s="137"/>
      <c r="RPT108" s="137"/>
      <c r="RPU108" s="99"/>
      <c r="RPV108" s="137"/>
      <c r="RPW108" s="99"/>
      <c r="RPX108" s="138"/>
      <c r="RPY108" s="139"/>
      <c r="RPZ108" s="137"/>
      <c r="RQA108" s="140"/>
      <c r="RQB108" s="141"/>
      <c r="RQC108" s="141"/>
      <c r="RQD108" s="137"/>
      <c r="RQE108" s="137"/>
      <c r="RQF108" s="141"/>
      <c r="RQG108" s="137"/>
      <c r="RQH108" s="137"/>
      <c r="RQI108" s="142"/>
      <c r="RQJ108" s="143"/>
      <c r="RQK108" s="144"/>
      <c r="RQL108" s="137"/>
      <c r="RQM108" s="104"/>
      <c r="RQN108" s="243"/>
      <c r="RQO108" s="146"/>
      <c r="RQP108" s="96"/>
      <c r="RQQ108" s="136"/>
      <c r="RQR108" s="137"/>
      <c r="RQS108" s="137"/>
      <c r="RQT108" s="137"/>
      <c r="RQU108" s="137"/>
      <c r="RQV108" s="137"/>
      <c r="RQW108" s="99"/>
      <c r="RQX108" s="137"/>
      <c r="RQY108" s="99"/>
      <c r="RQZ108" s="138"/>
      <c r="RRA108" s="139"/>
      <c r="RRB108" s="137"/>
      <c r="RRC108" s="140"/>
      <c r="RRD108" s="141"/>
      <c r="RRE108" s="141"/>
      <c r="RRF108" s="137"/>
      <c r="RRG108" s="137"/>
      <c r="RRH108" s="141"/>
      <c r="RRI108" s="137"/>
      <c r="RRJ108" s="137"/>
      <c r="RRK108" s="142"/>
      <c r="RRL108" s="143"/>
      <c r="RRM108" s="144"/>
      <c r="RRN108" s="137"/>
      <c r="RRO108" s="104"/>
      <c r="RRP108" s="243"/>
      <c r="RRQ108" s="146"/>
      <c r="RRR108" s="96"/>
      <c r="RRS108" s="136"/>
      <c r="RRT108" s="137"/>
      <c r="RRU108" s="137"/>
      <c r="RRV108" s="137"/>
      <c r="RRW108" s="137"/>
      <c r="RRX108" s="137"/>
      <c r="RRY108" s="99"/>
      <c r="RRZ108" s="137"/>
      <c r="RSA108" s="99"/>
      <c r="RSB108" s="138"/>
      <c r="RSC108" s="139"/>
      <c r="RSD108" s="137"/>
      <c r="RSE108" s="140"/>
      <c r="RSF108" s="141"/>
      <c r="RSG108" s="141"/>
      <c r="RSH108" s="137"/>
      <c r="RSI108" s="137"/>
      <c r="RSJ108" s="141"/>
      <c r="RSK108" s="137"/>
      <c r="RSL108" s="137"/>
      <c r="RSM108" s="142"/>
      <c r="RSN108" s="143"/>
      <c r="RSO108" s="144"/>
      <c r="RSP108" s="137"/>
      <c r="RSQ108" s="104"/>
      <c r="RSR108" s="243"/>
      <c r="RSS108" s="146"/>
      <c r="RST108" s="96"/>
      <c r="RSU108" s="136"/>
      <c r="RSV108" s="137"/>
      <c r="RSW108" s="137"/>
      <c r="RSX108" s="137"/>
      <c r="RSY108" s="137"/>
      <c r="RSZ108" s="137"/>
      <c r="RTA108" s="99"/>
      <c r="RTB108" s="137"/>
      <c r="RTC108" s="99"/>
      <c r="RTD108" s="138"/>
      <c r="RTE108" s="139"/>
      <c r="RTF108" s="137"/>
      <c r="RTG108" s="140"/>
      <c r="RTH108" s="141"/>
      <c r="RTI108" s="141"/>
      <c r="RTJ108" s="137"/>
      <c r="RTK108" s="137"/>
      <c r="RTL108" s="141"/>
      <c r="RTM108" s="137"/>
      <c r="RTN108" s="137"/>
      <c r="RTO108" s="142"/>
      <c r="RTP108" s="143"/>
      <c r="RTQ108" s="144"/>
      <c r="RTR108" s="137"/>
      <c r="RTS108" s="104"/>
      <c r="RTT108" s="243"/>
      <c r="RTU108" s="146"/>
      <c r="RTV108" s="96"/>
      <c r="RTW108" s="136"/>
      <c r="RTX108" s="137"/>
      <c r="RTY108" s="137"/>
      <c r="RTZ108" s="137"/>
      <c r="RUA108" s="137"/>
      <c r="RUB108" s="137"/>
      <c r="RUC108" s="99"/>
      <c r="RUD108" s="137"/>
      <c r="RUE108" s="99"/>
      <c r="RUF108" s="138"/>
      <c r="RUG108" s="139"/>
      <c r="RUH108" s="137"/>
      <c r="RUI108" s="140"/>
      <c r="RUJ108" s="141"/>
      <c r="RUK108" s="141"/>
      <c r="RUL108" s="137"/>
      <c r="RUM108" s="137"/>
      <c r="RUN108" s="141"/>
      <c r="RUO108" s="137"/>
      <c r="RUP108" s="137"/>
      <c r="RUQ108" s="142"/>
      <c r="RUR108" s="143"/>
      <c r="RUS108" s="144"/>
      <c r="RUT108" s="137"/>
      <c r="RUU108" s="104"/>
      <c r="RUV108" s="243"/>
      <c r="RUW108" s="146"/>
      <c r="RUX108" s="96"/>
      <c r="RUY108" s="136"/>
      <c r="RUZ108" s="137"/>
      <c r="RVA108" s="137"/>
      <c r="RVB108" s="137"/>
      <c r="RVC108" s="137"/>
      <c r="RVD108" s="137"/>
      <c r="RVE108" s="99"/>
      <c r="RVF108" s="137"/>
      <c r="RVG108" s="99"/>
      <c r="RVH108" s="138"/>
      <c r="RVI108" s="139"/>
      <c r="RVJ108" s="137"/>
      <c r="RVK108" s="140"/>
      <c r="RVL108" s="141"/>
      <c r="RVM108" s="141"/>
      <c r="RVN108" s="137"/>
      <c r="RVO108" s="137"/>
      <c r="RVP108" s="141"/>
      <c r="RVQ108" s="137"/>
      <c r="RVR108" s="137"/>
      <c r="RVS108" s="142"/>
      <c r="RVT108" s="143"/>
      <c r="RVU108" s="144"/>
      <c r="RVV108" s="137"/>
      <c r="RVW108" s="104"/>
      <c r="RVX108" s="243"/>
      <c r="RVY108" s="146"/>
      <c r="RVZ108" s="96"/>
      <c r="RWA108" s="136"/>
      <c r="RWB108" s="137"/>
      <c r="RWC108" s="137"/>
      <c r="RWD108" s="137"/>
      <c r="RWE108" s="137"/>
      <c r="RWF108" s="137"/>
      <c r="RWG108" s="99"/>
      <c r="RWH108" s="137"/>
      <c r="RWI108" s="99"/>
      <c r="RWJ108" s="138"/>
      <c r="RWK108" s="139"/>
      <c r="RWL108" s="137"/>
      <c r="RWM108" s="140"/>
      <c r="RWN108" s="141"/>
      <c r="RWO108" s="141"/>
      <c r="RWP108" s="137"/>
      <c r="RWQ108" s="137"/>
      <c r="RWR108" s="141"/>
      <c r="RWS108" s="137"/>
      <c r="RWT108" s="137"/>
      <c r="RWU108" s="142"/>
      <c r="RWV108" s="143"/>
      <c r="RWW108" s="144"/>
      <c r="RWX108" s="137"/>
      <c r="RWY108" s="104"/>
      <c r="RWZ108" s="243"/>
      <c r="RXA108" s="146"/>
      <c r="RXB108" s="96"/>
      <c r="RXC108" s="136"/>
      <c r="RXD108" s="137"/>
      <c r="RXE108" s="137"/>
      <c r="RXF108" s="137"/>
      <c r="RXG108" s="137"/>
      <c r="RXH108" s="137"/>
      <c r="RXI108" s="99"/>
      <c r="RXJ108" s="137"/>
      <c r="RXK108" s="99"/>
      <c r="RXL108" s="138"/>
      <c r="RXM108" s="139"/>
      <c r="RXN108" s="137"/>
      <c r="RXO108" s="140"/>
      <c r="RXP108" s="141"/>
      <c r="RXQ108" s="141"/>
      <c r="RXR108" s="137"/>
      <c r="RXS108" s="137"/>
      <c r="RXT108" s="141"/>
      <c r="RXU108" s="137"/>
      <c r="RXV108" s="137"/>
      <c r="RXW108" s="142"/>
      <c r="RXX108" s="143"/>
      <c r="RXY108" s="144"/>
      <c r="RXZ108" s="137"/>
      <c r="RYA108" s="104"/>
      <c r="RYB108" s="243"/>
      <c r="RYC108" s="146"/>
      <c r="RYD108" s="96"/>
      <c r="RYE108" s="136"/>
      <c r="RYF108" s="137"/>
      <c r="RYG108" s="137"/>
      <c r="RYH108" s="137"/>
      <c r="RYI108" s="137"/>
      <c r="RYJ108" s="137"/>
      <c r="RYK108" s="99"/>
      <c r="RYL108" s="137"/>
      <c r="RYM108" s="99"/>
      <c r="RYN108" s="138"/>
      <c r="RYO108" s="139"/>
      <c r="RYP108" s="137"/>
      <c r="RYQ108" s="140"/>
      <c r="RYR108" s="141"/>
      <c r="RYS108" s="141"/>
      <c r="RYT108" s="137"/>
      <c r="RYU108" s="137"/>
      <c r="RYV108" s="141"/>
      <c r="RYW108" s="137"/>
      <c r="RYX108" s="137"/>
      <c r="RYY108" s="142"/>
      <c r="RYZ108" s="143"/>
      <c r="RZA108" s="144"/>
      <c r="RZB108" s="137"/>
      <c r="RZC108" s="104"/>
      <c r="RZD108" s="243"/>
      <c r="RZE108" s="146"/>
      <c r="RZF108" s="96"/>
      <c r="RZG108" s="136"/>
      <c r="RZH108" s="137"/>
      <c r="RZI108" s="137"/>
      <c r="RZJ108" s="137"/>
      <c r="RZK108" s="137"/>
      <c r="RZL108" s="137"/>
      <c r="RZM108" s="99"/>
      <c r="RZN108" s="137"/>
      <c r="RZO108" s="99"/>
      <c r="RZP108" s="138"/>
      <c r="RZQ108" s="139"/>
      <c r="RZR108" s="137"/>
      <c r="RZS108" s="140"/>
      <c r="RZT108" s="141"/>
      <c r="RZU108" s="141"/>
      <c r="RZV108" s="137"/>
      <c r="RZW108" s="137"/>
      <c r="RZX108" s="141"/>
      <c r="RZY108" s="137"/>
      <c r="RZZ108" s="137"/>
      <c r="SAA108" s="142"/>
      <c r="SAB108" s="143"/>
      <c r="SAC108" s="144"/>
      <c r="SAD108" s="137"/>
      <c r="SAE108" s="104"/>
      <c r="SAF108" s="243"/>
      <c r="SAG108" s="146"/>
      <c r="SAH108" s="96"/>
      <c r="SAI108" s="136"/>
      <c r="SAJ108" s="137"/>
      <c r="SAK108" s="137"/>
      <c r="SAL108" s="137"/>
      <c r="SAM108" s="137"/>
      <c r="SAN108" s="137"/>
      <c r="SAO108" s="99"/>
      <c r="SAP108" s="137"/>
      <c r="SAQ108" s="99"/>
      <c r="SAR108" s="138"/>
      <c r="SAS108" s="139"/>
      <c r="SAT108" s="137"/>
      <c r="SAU108" s="140"/>
      <c r="SAV108" s="141"/>
      <c r="SAW108" s="141"/>
      <c r="SAX108" s="137"/>
      <c r="SAY108" s="137"/>
      <c r="SAZ108" s="141"/>
      <c r="SBA108" s="137"/>
      <c r="SBB108" s="137"/>
      <c r="SBC108" s="142"/>
      <c r="SBD108" s="143"/>
      <c r="SBE108" s="144"/>
      <c r="SBF108" s="137"/>
      <c r="SBG108" s="104"/>
      <c r="SBH108" s="243"/>
      <c r="SBI108" s="146"/>
      <c r="SBJ108" s="96"/>
      <c r="SBK108" s="136"/>
      <c r="SBL108" s="137"/>
      <c r="SBM108" s="137"/>
      <c r="SBN108" s="137"/>
      <c r="SBO108" s="137"/>
      <c r="SBP108" s="137"/>
      <c r="SBQ108" s="99"/>
      <c r="SBR108" s="137"/>
      <c r="SBS108" s="99"/>
      <c r="SBT108" s="138"/>
      <c r="SBU108" s="139"/>
      <c r="SBV108" s="137"/>
      <c r="SBW108" s="140"/>
      <c r="SBX108" s="141"/>
      <c r="SBY108" s="141"/>
      <c r="SBZ108" s="137"/>
      <c r="SCA108" s="137"/>
      <c r="SCB108" s="141"/>
      <c r="SCC108" s="137"/>
      <c r="SCD108" s="137"/>
      <c r="SCE108" s="142"/>
      <c r="SCF108" s="143"/>
      <c r="SCG108" s="144"/>
      <c r="SCH108" s="137"/>
      <c r="SCI108" s="104"/>
      <c r="SCJ108" s="243"/>
      <c r="SCK108" s="146"/>
      <c r="SCL108" s="96"/>
      <c r="SCM108" s="136"/>
      <c r="SCN108" s="137"/>
      <c r="SCO108" s="137"/>
      <c r="SCP108" s="137"/>
      <c r="SCQ108" s="137"/>
      <c r="SCR108" s="137"/>
      <c r="SCS108" s="99"/>
      <c r="SCT108" s="137"/>
      <c r="SCU108" s="99"/>
      <c r="SCV108" s="138"/>
      <c r="SCW108" s="139"/>
      <c r="SCX108" s="137"/>
      <c r="SCY108" s="140"/>
      <c r="SCZ108" s="141"/>
      <c r="SDA108" s="141"/>
      <c r="SDB108" s="137"/>
      <c r="SDC108" s="137"/>
      <c r="SDD108" s="141"/>
      <c r="SDE108" s="137"/>
      <c r="SDF108" s="137"/>
      <c r="SDG108" s="142"/>
      <c r="SDH108" s="143"/>
      <c r="SDI108" s="144"/>
      <c r="SDJ108" s="137"/>
      <c r="SDK108" s="104"/>
      <c r="SDL108" s="243"/>
      <c r="SDM108" s="146"/>
      <c r="SDN108" s="96"/>
      <c r="SDO108" s="136"/>
      <c r="SDP108" s="137"/>
      <c r="SDQ108" s="137"/>
      <c r="SDR108" s="137"/>
      <c r="SDS108" s="137"/>
      <c r="SDT108" s="137"/>
      <c r="SDU108" s="99"/>
      <c r="SDV108" s="137"/>
      <c r="SDW108" s="99"/>
      <c r="SDX108" s="138"/>
      <c r="SDY108" s="139"/>
      <c r="SDZ108" s="137"/>
      <c r="SEA108" s="140"/>
      <c r="SEB108" s="141"/>
      <c r="SEC108" s="141"/>
      <c r="SED108" s="137"/>
      <c r="SEE108" s="137"/>
      <c r="SEF108" s="141"/>
      <c r="SEG108" s="137"/>
      <c r="SEH108" s="137"/>
      <c r="SEI108" s="142"/>
      <c r="SEJ108" s="143"/>
      <c r="SEK108" s="144"/>
      <c r="SEL108" s="137"/>
      <c r="SEM108" s="104"/>
      <c r="SEN108" s="243"/>
      <c r="SEO108" s="146"/>
      <c r="SEP108" s="96"/>
      <c r="SEQ108" s="136"/>
      <c r="SER108" s="137"/>
      <c r="SES108" s="137"/>
      <c r="SET108" s="137"/>
      <c r="SEU108" s="137"/>
      <c r="SEV108" s="137"/>
      <c r="SEW108" s="99"/>
      <c r="SEX108" s="137"/>
      <c r="SEY108" s="99"/>
      <c r="SEZ108" s="138"/>
      <c r="SFA108" s="139"/>
      <c r="SFB108" s="137"/>
      <c r="SFC108" s="140"/>
      <c r="SFD108" s="141"/>
      <c r="SFE108" s="141"/>
      <c r="SFF108" s="137"/>
      <c r="SFG108" s="137"/>
      <c r="SFH108" s="141"/>
      <c r="SFI108" s="137"/>
      <c r="SFJ108" s="137"/>
      <c r="SFK108" s="142"/>
      <c r="SFL108" s="143"/>
      <c r="SFM108" s="144"/>
      <c r="SFN108" s="137"/>
      <c r="SFO108" s="104"/>
      <c r="SFP108" s="243"/>
      <c r="SFQ108" s="146"/>
      <c r="SFR108" s="96"/>
      <c r="SFS108" s="136"/>
      <c r="SFT108" s="137"/>
      <c r="SFU108" s="137"/>
      <c r="SFV108" s="137"/>
      <c r="SFW108" s="137"/>
      <c r="SFX108" s="137"/>
      <c r="SFY108" s="99"/>
      <c r="SFZ108" s="137"/>
      <c r="SGA108" s="99"/>
      <c r="SGB108" s="138"/>
      <c r="SGC108" s="139"/>
      <c r="SGD108" s="137"/>
      <c r="SGE108" s="140"/>
      <c r="SGF108" s="141"/>
      <c r="SGG108" s="141"/>
      <c r="SGH108" s="137"/>
      <c r="SGI108" s="137"/>
      <c r="SGJ108" s="141"/>
      <c r="SGK108" s="137"/>
      <c r="SGL108" s="137"/>
      <c r="SGM108" s="142"/>
      <c r="SGN108" s="143"/>
      <c r="SGO108" s="144"/>
      <c r="SGP108" s="137"/>
      <c r="SGQ108" s="104"/>
      <c r="SGR108" s="243"/>
      <c r="SGS108" s="146"/>
      <c r="SGT108" s="96"/>
      <c r="SGU108" s="136"/>
      <c r="SGV108" s="137"/>
      <c r="SGW108" s="137"/>
      <c r="SGX108" s="137"/>
      <c r="SGY108" s="137"/>
      <c r="SGZ108" s="137"/>
      <c r="SHA108" s="99"/>
      <c r="SHB108" s="137"/>
      <c r="SHC108" s="99"/>
      <c r="SHD108" s="138"/>
      <c r="SHE108" s="139"/>
      <c r="SHF108" s="137"/>
      <c r="SHG108" s="140"/>
      <c r="SHH108" s="141"/>
      <c r="SHI108" s="141"/>
      <c r="SHJ108" s="137"/>
      <c r="SHK108" s="137"/>
      <c r="SHL108" s="141"/>
      <c r="SHM108" s="137"/>
      <c r="SHN108" s="137"/>
      <c r="SHO108" s="142"/>
      <c r="SHP108" s="143"/>
      <c r="SHQ108" s="144"/>
      <c r="SHR108" s="137"/>
      <c r="SHS108" s="104"/>
      <c r="SHT108" s="243"/>
      <c r="SHU108" s="146"/>
      <c r="SHV108" s="96"/>
      <c r="SHW108" s="136"/>
      <c r="SHX108" s="137"/>
      <c r="SHY108" s="137"/>
      <c r="SHZ108" s="137"/>
      <c r="SIA108" s="137"/>
      <c r="SIB108" s="137"/>
      <c r="SIC108" s="99"/>
      <c r="SID108" s="137"/>
      <c r="SIE108" s="99"/>
      <c r="SIF108" s="138"/>
      <c r="SIG108" s="139"/>
      <c r="SIH108" s="137"/>
      <c r="SII108" s="140"/>
      <c r="SIJ108" s="141"/>
      <c r="SIK108" s="141"/>
      <c r="SIL108" s="137"/>
      <c r="SIM108" s="137"/>
      <c r="SIN108" s="141"/>
      <c r="SIO108" s="137"/>
      <c r="SIP108" s="137"/>
      <c r="SIQ108" s="142"/>
      <c r="SIR108" s="143"/>
      <c r="SIS108" s="144"/>
      <c r="SIT108" s="137"/>
      <c r="SIU108" s="104"/>
      <c r="SIV108" s="243"/>
      <c r="SIW108" s="146"/>
      <c r="SIX108" s="96"/>
      <c r="SIY108" s="136"/>
      <c r="SIZ108" s="137"/>
      <c r="SJA108" s="137"/>
      <c r="SJB108" s="137"/>
      <c r="SJC108" s="137"/>
      <c r="SJD108" s="137"/>
      <c r="SJE108" s="99"/>
      <c r="SJF108" s="137"/>
      <c r="SJG108" s="99"/>
      <c r="SJH108" s="138"/>
      <c r="SJI108" s="139"/>
      <c r="SJJ108" s="137"/>
      <c r="SJK108" s="140"/>
      <c r="SJL108" s="141"/>
      <c r="SJM108" s="141"/>
      <c r="SJN108" s="137"/>
      <c r="SJO108" s="137"/>
      <c r="SJP108" s="141"/>
      <c r="SJQ108" s="137"/>
      <c r="SJR108" s="137"/>
      <c r="SJS108" s="142"/>
      <c r="SJT108" s="143"/>
      <c r="SJU108" s="144"/>
      <c r="SJV108" s="137"/>
      <c r="SJW108" s="104"/>
      <c r="SJX108" s="243"/>
      <c r="SJY108" s="146"/>
      <c r="SJZ108" s="96"/>
      <c r="SKA108" s="136"/>
      <c r="SKB108" s="137"/>
      <c r="SKC108" s="137"/>
      <c r="SKD108" s="137"/>
      <c r="SKE108" s="137"/>
      <c r="SKF108" s="137"/>
      <c r="SKG108" s="99"/>
      <c r="SKH108" s="137"/>
      <c r="SKI108" s="99"/>
      <c r="SKJ108" s="138"/>
      <c r="SKK108" s="139"/>
      <c r="SKL108" s="137"/>
      <c r="SKM108" s="140"/>
      <c r="SKN108" s="141"/>
      <c r="SKO108" s="141"/>
      <c r="SKP108" s="137"/>
      <c r="SKQ108" s="137"/>
      <c r="SKR108" s="141"/>
      <c r="SKS108" s="137"/>
      <c r="SKT108" s="137"/>
      <c r="SKU108" s="142"/>
      <c r="SKV108" s="143"/>
      <c r="SKW108" s="144"/>
      <c r="SKX108" s="137"/>
      <c r="SKY108" s="104"/>
      <c r="SKZ108" s="243"/>
      <c r="SLA108" s="146"/>
      <c r="SLB108" s="96"/>
      <c r="SLC108" s="136"/>
      <c r="SLD108" s="137"/>
      <c r="SLE108" s="137"/>
      <c r="SLF108" s="137"/>
      <c r="SLG108" s="137"/>
      <c r="SLH108" s="137"/>
      <c r="SLI108" s="99"/>
      <c r="SLJ108" s="137"/>
      <c r="SLK108" s="99"/>
      <c r="SLL108" s="138"/>
      <c r="SLM108" s="139"/>
      <c r="SLN108" s="137"/>
      <c r="SLO108" s="140"/>
      <c r="SLP108" s="141"/>
      <c r="SLQ108" s="141"/>
      <c r="SLR108" s="137"/>
      <c r="SLS108" s="137"/>
      <c r="SLT108" s="141"/>
      <c r="SLU108" s="137"/>
      <c r="SLV108" s="137"/>
      <c r="SLW108" s="142"/>
      <c r="SLX108" s="143"/>
      <c r="SLY108" s="144"/>
      <c r="SLZ108" s="137"/>
      <c r="SMA108" s="104"/>
      <c r="SMB108" s="243"/>
      <c r="SMC108" s="146"/>
      <c r="SMD108" s="96"/>
      <c r="SME108" s="136"/>
      <c r="SMF108" s="137"/>
      <c r="SMG108" s="137"/>
      <c r="SMH108" s="137"/>
      <c r="SMI108" s="137"/>
      <c r="SMJ108" s="137"/>
      <c r="SMK108" s="99"/>
      <c r="SML108" s="137"/>
      <c r="SMM108" s="99"/>
      <c r="SMN108" s="138"/>
      <c r="SMO108" s="139"/>
      <c r="SMP108" s="137"/>
      <c r="SMQ108" s="140"/>
      <c r="SMR108" s="141"/>
      <c r="SMS108" s="141"/>
      <c r="SMT108" s="137"/>
      <c r="SMU108" s="137"/>
      <c r="SMV108" s="141"/>
      <c r="SMW108" s="137"/>
      <c r="SMX108" s="137"/>
      <c r="SMY108" s="142"/>
      <c r="SMZ108" s="143"/>
      <c r="SNA108" s="144"/>
      <c r="SNB108" s="137"/>
      <c r="SNC108" s="104"/>
      <c r="SND108" s="243"/>
      <c r="SNE108" s="146"/>
      <c r="SNF108" s="96"/>
      <c r="SNG108" s="136"/>
      <c r="SNH108" s="137"/>
      <c r="SNI108" s="137"/>
      <c r="SNJ108" s="137"/>
      <c r="SNK108" s="137"/>
      <c r="SNL108" s="137"/>
      <c r="SNM108" s="99"/>
      <c r="SNN108" s="137"/>
      <c r="SNO108" s="99"/>
      <c r="SNP108" s="138"/>
      <c r="SNQ108" s="139"/>
      <c r="SNR108" s="137"/>
      <c r="SNS108" s="140"/>
      <c r="SNT108" s="141"/>
      <c r="SNU108" s="141"/>
      <c r="SNV108" s="137"/>
      <c r="SNW108" s="137"/>
      <c r="SNX108" s="141"/>
      <c r="SNY108" s="137"/>
      <c r="SNZ108" s="137"/>
      <c r="SOA108" s="142"/>
      <c r="SOB108" s="143"/>
      <c r="SOC108" s="144"/>
      <c r="SOD108" s="137"/>
      <c r="SOE108" s="104"/>
      <c r="SOF108" s="243"/>
      <c r="SOG108" s="146"/>
      <c r="SOH108" s="96"/>
      <c r="SOI108" s="136"/>
      <c r="SOJ108" s="137"/>
      <c r="SOK108" s="137"/>
      <c r="SOL108" s="137"/>
      <c r="SOM108" s="137"/>
      <c r="SON108" s="137"/>
      <c r="SOO108" s="99"/>
      <c r="SOP108" s="137"/>
      <c r="SOQ108" s="99"/>
      <c r="SOR108" s="138"/>
      <c r="SOS108" s="139"/>
      <c r="SOT108" s="137"/>
      <c r="SOU108" s="140"/>
      <c r="SOV108" s="141"/>
      <c r="SOW108" s="141"/>
      <c r="SOX108" s="137"/>
      <c r="SOY108" s="137"/>
      <c r="SOZ108" s="141"/>
      <c r="SPA108" s="137"/>
      <c r="SPB108" s="137"/>
      <c r="SPC108" s="142"/>
      <c r="SPD108" s="143"/>
      <c r="SPE108" s="144"/>
      <c r="SPF108" s="137"/>
      <c r="SPG108" s="104"/>
      <c r="SPH108" s="243"/>
      <c r="SPI108" s="146"/>
      <c r="SPJ108" s="96"/>
      <c r="SPK108" s="136"/>
      <c r="SPL108" s="137"/>
      <c r="SPM108" s="137"/>
      <c r="SPN108" s="137"/>
      <c r="SPO108" s="137"/>
      <c r="SPP108" s="137"/>
      <c r="SPQ108" s="99"/>
      <c r="SPR108" s="137"/>
      <c r="SPS108" s="99"/>
      <c r="SPT108" s="138"/>
      <c r="SPU108" s="139"/>
      <c r="SPV108" s="137"/>
      <c r="SPW108" s="140"/>
      <c r="SPX108" s="141"/>
      <c r="SPY108" s="141"/>
      <c r="SPZ108" s="137"/>
      <c r="SQA108" s="137"/>
      <c r="SQB108" s="141"/>
      <c r="SQC108" s="137"/>
      <c r="SQD108" s="137"/>
      <c r="SQE108" s="142"/>
      <c r="SQF108" s="143"/>
      <c r="SQG108" s="144"/>
      <c r="SQH108" s="137"/>
      <c r="SQI108" s="104"/>
      <c r="SQJ108" s="243"/>
      <c r="SQK108" s="146"/>
      <c r="SQL108" s="96"/>
      <c r="SQM108" s="136"/>
      <c r="SQN108" s="137"/>
      <c r="SQO108" s="137"/>
      <c r="SQP108" s="137"/>
      <c r="SQQ108" s="137"/>
      <c r="SQR108" s="137"/>
      <c r="SQS108" s="99"/>
      <c r="SQT108" s="137"/>
      <c r="SQU108" s="99"/>
      <c r="SQV108" s="138"/>
      <c r="SQW108" s="139"/>
      <c r="SQX108" s="137"/>
      <c r="SQY108" s="140"/>
      <c r="SQZ108" s="141"/>
      <c r="SRA108" s="141"/>
      <c r="SRB108" s="137"/>
      <c r="SRC108" s="137"/>
      <c r="SRD108" s="141"/>
      <c r="SRE108" s="137"/>
      <c r="SRF108" s="137"/>
      <c r="SRG108" s="142"/>
      <c r="SRH108" s="143"/>
      <c r="SRI108" s="144"/>
      <c r="SRJ108" s="137"/>
      <c r="SRK108" s="104"/>
      <c r="SRL108" s="243"/>
      <c r="SRM108" s="146"/>
      <c r="SRN108" s="96"/>
      <c r="SRO108" s="136"/>
      <c r="SRP108" s="137"/>
      <c r="SRQ108" s="137"/>
      <c r="SRR108" s="137"/>
      <c r="SRS108" s="137"/>
      <c r="SRT108" s="137"/>
      <c r="SRU108" s="99"/>
      <c r="SRV108" s="137"/>
      <c r="SRW108" s="99"/>
      <c r="SRX108" s="138"/>
      <c r="SRY108" s="139"/>
      <c r="SRZ108" s="137"/>
      <c r="SSA108" s="140"/>
      <c r="SSB108" s="141"/>
      <c r="SSC108" s="141"/>
      <c r="SSD108" s="137"/>
      <c r="SSE108" s="137"/>
      <c r="SSF108" s="141"/>
      <c r="SSG108" s="137"/>
      <c r="SSH108" s="137"/>
      <c r="SSI108" s="142"/>
      <c r="SSJ108" s="143"/>
      <c r="SSK108" s="144"/>
      <c r="SSL108" s="137"/>
      <c r="SSM108" s="104"/>
      <c r="SSN108" s="243"/>
      <c r="SSO108" s="146"/>
      <c r="SSP108" s="96"/>
      <c r="SSQ108" s="136"/>
      <c r="SSR108" s="137"/>
      <c r="SSS108" s="137"/>
      <c r="SST108" s="137"/>
      <c r="SSU108" s="137"/>
      <c r="SSV108" s="137"/>
      <c r="SSW108" s="99"/>
      <c r="SSX108" s="137"/>
      <c r="SSY108" s="99"/>
      <c r="SSZ108" s="138"/>
      <c r="STA108" s="139"/>
      <c r="STB108" s="137"/>
      <c r="STC108" s="140"/>
      <c r="STD108" s="141"/>
      <c r="STE108" s="141"/>
      <c r="STF108" s="137"/>
      <c r="STG108" s="137"/>
      <c r="STH108" s="141"/>
      <c r="STI108" s="137"/>
      <c r="STJ108" s="137"/>
      <c r="STK108" s="142"/>
      <c r="STL108" s="143"/>
      <c r="STM108" s="144"/>
      <c r="STN108" s="137"/>
      <c r="STO108" s="104"/>
      <c r="STP108" s="243"/>
      <c r="STQ108" s="146"/>
      <c r="STR108" s="96"/>
      <c r="STS108" s="136"/>
      <c r="STT108" s="137"/>
      <c r="STU108" s="137"/>
      <c r="STV108" s="137"/>
      <c r="STW108" s="137"/>
      <c r="STX108" s="137"/>
      <c r="STY108" s="99"/>
      <c r="STZ108" s="137"/>
      <c r="SUA108" s="99"/>
      <c r="SUB108" s="138"/>
      <c r="SUC108" s="139"/>
      <c r="SUD108" s="137"/>
      <c r="SUE108" s="140"/>
      <c r="SUF108" s="141"/>
      <c r="SUG108" s="141"/>
      <c r="SUH108" s="137"/>
      <c r="SUI108" s="137"/>
      <c r="SUJ108" s="141"/>
      <c r="SUK108" s="137"/>
      <c r="SUL108" s="137"/>
      <c r="SUM108" s="142"/>
      <c r="SUN108" s="143"/>
      <c r="SUO108" s="144"/>
      <c r="SUP108" s="137"/>
      <c r="SUQ108" s="104"/>
      <c r="SUR108" s="243"/>
      <c r="SUS108" s="146"/>
      <c r="SUT108" s="96"/>
      <c r="SUU108" s="136"/>
      <c r="SUV108" s="137"/>
      <c r="SUW108" s="137"/>
      <c r="SUX108" s="137"/>
      <c r="SUY108" s="137"/>
      <c r="SUZ108" s="137"/>
      <c r="SVA108" s="99"/>
      <c r="SVB108" s="137"/>
      <c r="SVC108" s="99"/>
      <c r="SVD108" s="138"/>
      <c r="SVE108" s="139"/>
      <c r="SVF108" s="137"/>
      <c r="SVG108" s="140"/>
      <c r="SVH108" s="141"/>
      <c r="SVI108" s="141"/>
      <c r="SVJ108" s="137"/>
      <c r="SVK108" s="137"/>
      <c r="SVL108" s="141"/>
      <c r="SVM108" s="137"/>
      <c r="SVN108" s="137"/>
      <c r="SVO108" s="142"/>
      <c r="SVP108" s="143"/>
      <c r="SVQ108" s="144"/>
      <c r="SVR108" s="137"/>
      <c r="SVS108" s="104"/>
      <c r="SVT108" s="243"/>
      <c r="SVU108" s="146"/>
      <c r="SVV108" s="96"/>
      <c r="SVW108" s="136"/>
      <c r="SVX108" s="137"/>
      <c r="SVY108" s="137"/>
      <c r="SVZ108" s="137"/>
      <c r="SWA108" s="137"/>
      <c r="SWB108" s="137"/>
      <c r="SWC108" s="99"/>
      <c r="SWD108" s="137"/>
      <c r="SWE108" s="99"/>
      <c r="SWF108" s="138"/>
      <c r="SWG108" s="139"/>
      <c r="SWH108" s="137"/>
      <c r="SWI108" s="140"/>
      <c r="SWJ108" s="141"/>
      <c r="SWK108" s="141"/>
      <c r="SWL108" s="137"/>
      <c r="SWM108" s="137"/>
      <c r="SWN108" s="141"/>
      <c r="SWO108" s="137"/>
      <c r="SWP108" s="137"/>
      <c r="SWQ108" s="142"/>
      <c r="SWR108" s="143"/>
      <c r="SWS108" s="144"/>
      <c r="SWT108" s="137"/>
      <c r="SWU108" s="104"/>
      <c r="SWV108" s="243"/>
      <c r="SWW108" s="146"/>
      <c r="SWX108" s="96"/>
      <c r="SWY108" s="136"/>
      <c r="SWZ108" s="137"/>
      <c r="SXA108" s="137"/>
      <c r="SXB108" s="137"/>
      <c r="SXC108" s="137"/>
      <c r="SXD108" s="137"/>
      <c r="SXE108" s="99"/>
      <c r="SXF108" s="137"/>
      <c r="SXG108" s="99"/>
      <c r="SXH108" s="138"/>
      <c r="SXI108" s="139"/>
      <c r="SXJ108" s="137"/>
      <c r="SXK108" s="140"/>
      <c r="SXL108" s="141"/>
      <c r="SXM108" s="141"/>
      <c r="SXN108" s="137"/>
      <c r="SXO108" s="137"/>
      <c r="SXP108" s="141"/>
      <c r="SXQ108" s="137"/>
      <c r="SXR108" s="137"/>
      <c r="SXS108" s="142"/>
      <c r="SXT108" s="143"/>
      <c r="SXU108" s="144"/>
      <c r="SXV108" s="137"/>
      <c r="SXW108" s="104"/>
      <c r="SXX108" s="243"/>
      <c r="SXY108" s="146"/>
      <c r="SXZ108" s="96"/>
      <c r="SYA108" s="136"/>
      <c r="SYB108" s="137"/>
      <c r="SYC108" s="137"/>
      <c r="SYD108" s="137"/>
      <c r="SYE108" s="137"/>
      <c r="SYF108" s="137"/>
      <c r="SYG108" s="99"/>
      <c r="SYH108" s="137"/>
      <c r="SYI108" s="99"/>
      <c r="SYJ108" s="138"/>
      <c r="SYK108" s="139"/>
      <c r="SYL108" s="137"/>
      <c r="SYM108" s="140"/>
      <c r="SYN108" s="141"/>
      <c r="SYO108" s="141"/>
      <c r="SYP108" s="137"/>
      <c r="SYQ108" s="137"/>
      <c r="SYR108" s="141"/>
      <c r="SYS108" s="137"/>
      <c r="SYT108" s="137"/>
      <c r="SYU108" s="142"/>
      <c r="SYV108" s="143"/>
      <c r="SYW108" s="144"/>
      <c r="SYX108" s="137"/>
      <c r="SYY108" s="104"/>
      <c r="SYZ108" s="243"/>
      <c r="SZA108" s="146"/>
      <c r="SZB108" s="96"/>
      <c r="SZC108" s="136"/>
      <c r="SZD108" s="137"/>
      <c r="SZE108" s="137"/>
      <c r="SZF108" s="137"/>
      <c r="SZG108" s="137"/>
      <c r="SZH108" s="137"/>
      <c r="SZI108" s="99"/>
      <c r="SZJ108" s="137"/>
      <c r="SZK108" s="99"/>
      <c r="SZL108" s="138"/>
      <c r="SZM108" s="139"/>
      <c r="SZN108" s="137"/>
      <c r="SZO108" s="140"/>
      <c r="SZP108" s="141"/>
      <c r="SZQ108" s="141"/>
      <c r="SZR108" s="137"/>
      <c r="SZS108" s="137"/>
      <c r="SZT108" s="141"/>
      <c r="SZU108" s="137"/>
      <c r="SZV108" s="137"/>
      <c r="SZW108" s="142"/>
      <c r="SZX108" s="143"/>
      <c r="SZY108" s="144"/>
      <c r="SZZ108" s="137"/>
      <c r="TAA108" s="104"/>
      <c r="TAB108" s="243"/>
      <c r="TAC108" s="146"/>
      <c r="TAD108" s="96"/>
      <c r="TAE108" s="136"/>
      <c r="TAF108" s="137"/>
      <c r="TAG108" s="137"/>
      <c r="TAH108" s="137"/>
      <c r="TAI108" s="137"/>
      <c r="TAJ108" s="137"/>
      <c r="TAK108" s="99"/>
      <c r="TAL108" s="137"/>
      <c r="TAM108" s="99"/>
      <c r="TAN108" s="138"/>
      <c r="TAO108" s="139"/>
      <c r="TAP108" s="137"/>
      <c r="TAQ108" s="140"/>
      <c r="TAR108" s="141"/>
      <c r="TAS108" s="141"/>
      <c r="TAT108" s="137"/>
      <c r="TAU108" s="137"/>
      <c r="TAV108" s="141"/>
      <c r="TAW108" s="137"/>
      <c r="TAX108" s="137"/>
      <c r="TAY108" s="142"/>
      <c r="TAZ108" s="143"/>
      <c r="TBA108" s="144"/>
      <c r="TBB108" s="137"/>
      <c r="TBC108" s="104"/>
      <c r="TBD108" s="243"/>
      <c r="TBE108" s="146"/>
      <c r="TBF108" s="96"/>
      <c r="TBG108" s="136"/>
      <c r="TBH108" s="137"/>
      <c r="TBI108" s="137"/>
      <c r="TBJ108" s="137"/>
      <c r="TBK108" s="137"/>
      <c r="TBL108" s="137"/>
      <c r="TBM108" s="99"/>
      <c r="TBN108" s="137"/>
      <c r="TBO108" s="99"/>
      <c r="TBP108" s="138"/>
      <c r="TBQ108" s="139"/>
      <c r="TBR108" s="137"/>
      <c r="TBS108" s="140"/>
      <c r="TBT108" s="141"/>
      <c r="TBU108" s="141"/>
      <c r="TBV108" s="137"/>
      <c r="TBW108" s="137"/>
      <c r="TBX108" s="141"/>
      <c r="TBY108" s="137"/>
      <c r="TBZ108" s="137"/>
      <c r="TCA108" s="142"/>
      <c r="TCB108" s="143"/>
      <c r="TCC108" s="144"/>
      <c r="TCD108" s="137"/>
      <c r="TCE108" s="104"/>
      <c r="TCF108" s="243"/>
      <c r="TCG108" s="146"/>
      <c r="TCH108" s="96"/>
      <c r="TCI108" s="136"/>
      <c r="TCJ108" s="137"/>
      <c r="TCK108" s="137"/>
      <c r="TCL108" s="137"/>
      <c r="TCM108" s="137"/>
      <c r="TCN108" s="137"/>
      <c r="TCO108" s="99"/>
      <c r="TCP108" s="137"/>
      <c r="TCQ108" s="99"/>
      <c r="TCR108" s="138"/>
      <c r="TCS108" s="139"/>
      <c r="TCT108" s="137"/>
      <c r="TCU108" s="140"/>
      <c r="TCV108" s="141"/>
      <c r="TCW108" s="141"/>
      <c r="TCX108" s="137"/>
      <c r="TCY108" s="137"/>
      <c r="TCZ108" s="141"/>
      <c r="TDA108" s="137"/>
      <c r="TDB108" s="137"/>
      <c r="TDC108" s="142"/>
      <c r="TDD108" s="143"/>
      <c r="TDE108" s="144"/>
      <c r="TDF108" s="137"/>
      <c r="TDG108" s="104"/>
      <c r="TDH108" s="243"/>
      <c r="TDI108" s="146"/>
      <c r="TDJ108" s="96"/>
      <c r="TDK108" s="136"/>
      <c r="TDL108" s="137"/>
      <c r="TDM108" s="137"/>
      <c r="TDN108" s="137"/>
      <c r="TDO108" s="137"/>
      <c r="TDP108" s="137"/>
      <c r="TDQ108" s="99"/>
      <c r="TDR108" s="137"/>
      <c r="TDS108" s="99"/>
      <c r="TDT108" s="138"/>
      <c r="TDU108" s="139"/>
      <c r="TDV108" s="137"/>
      <c r="TDW108" s="140"/>
      <c r="TDX108" s="141"/>
      <c r="TDY108" s="141"/>
      <c r="TDZ108" s="137"/>
      <c r="TEA108" s="137"/>
      <c r="TEB108" s="141"/>
      <c r="TEC108" s="137"/>
      <c r="TED108" s="137"/>
      <c r="TEE108" s="142"/>
      <c r="TEF108" s="143"/>
      <c r="TEG108" s="144"/>
      <c r="TEH108" s="137"/>
      <c r="TEI108" s="104"/>
      <c r="TEJ108" s="243"/>
      <c r="TEK108" s="146"/>
      <c r="TEL108" s="96"/>
      <c r="TEM108" s="136"/>
      <c r="TEN108" s="137"/>
      <c r="TEO108" s="137"/>
      <c r="TEP108" s="137"/>
      <c r="TEQ108" s="137"/>
      <c r="TER108" s="137"/>
      <c r="TES108" s="99"/>
      <c r="TET108" s="137"/>
      <c r="TEU108" s="99"/>
      <c r="TEV108" s="138"/>
      <c r="TEW108" s="139"/>
      <c r="TEX108" s="137"/>
      <c r="TEY108" s="140"/>
      <c r="TEZ108" s="141"/>
      <c r="TFA108" s="141"/>
      <c r="TFB108" s="137"/>
      <c r="TFC108" s="137"/>
      <c r="TFD108" s="141"/>
      <c r="TFE108" s="137"/>
      <c r="TFF108" s="137"/>
      <c r="TFG108" s="142"/>
      <c r="TFH108" s="143"/>
      <c r="TFI108" s="144"/>
      <c r="TFJ108" s="137"/>
      <c r="TFK108" s="104"/>
      <c r="TFL108" s="243"/>
      <c r="TFM108" s="146"/>
      <c r="TFN108" s="96"/>
      <c r="TFO108" s="136"/>
      <c r="TFP108" s="137"/>
      <c r="TFQ108" s="137"/>
      <c r="TFR108" s="137"/>
      <c r="TFS108" s="137"/>
      <c r="TFT108" s="137"/>
      <c r="TFU108" s="99"/>
      <c r="TFV108" s="137"/>
      <c r="TFW108" s="99"/>
      <c r="TFX108" s="138"/>
      <c r="TFY108" s="139"/>
      <c r="TFZ108" s="137"/>
      <c r="TGA108" s="140"/>
      <c r="TGB108" s="141"/>
      <c r="TGC108" s="141"/>
      <c r="TGD108" s="137"/>
      <c r="TGE108" s="137"/>
      <c r="TGF108" s="141"/>
      <c r="TGG108" s="137"/>
      <c r="TGH108" s="137"/>
      <c r="TGI108" s="142"/>
      <c r="TGJ108" s="143"/>
      <c r="TGK108" s="144"/>
      <c r="TGL108" s="137"/>
      <c r="TGM108" s="104"/>
      <c r="TGN108" s="243"/>
      <c r="TGO108" s="146"/>
      <c r="TGP108" s="96"/>
      <c r="TGQ108" s="136"/>
      <c r="TGR108" s="137"/>
      <c r="TGS108" s="137"/>
      <c r="TGT108" s="137"/>
      <c r="TGU108" s="137"/>
      <c r="TGV108" s="137"/>
      <c r="TGW108" s="99"/>
      <c r="TGX108" s="137"/>
      <c r="TGY108" s="99"/>
      <c r="TGZ108" s="138"/>
      <c r="THA108" s="139"/>
      <c r="THB108" s="137"/>
      <c r="THC108" s="140"/>
      <c r="THD108" s="141"/>
      <c r="THE108" s="141"/>
      <c r="THF108" s="137"/>
      <c r="THG108" s="137"/>
      <c r="THH108" s="141"/>
      <c r="THI108" s="137"/>
      <c r="THJ108" s="137"/>
      <c r="THK108" s="142"/>
      <c r="THL108" s="143"/>
      <c r="THM108" s="144"/>
      <c r="THN108" s="137"/>
      <c r="THO108" s="104"/>
      <c r="THP108" s="243"/>
      <c r="THQ108" s="146"/>
      <c r="THR108" s="96"/>
      <c r="THS108" s="136"/>
      <c r="THT108" s="137"/>
      <c r="THU108" s="137"/>
      <c r="THV108" s="137"/>
      <c r="THW108" s="137"/>
      <c r="THX108" s="137"/>
      <c r="THY108" s="99"/>
      <c r="THZ108" s="137"/>
      <c r="TIA108" s="99"/>
      <c r="TIB108" s="138"/>
      <c r="TIC108" s="139"/>
      <c r="TID108" s="137"/>
      <c r="TIE108" s="140"/>
      <c r="TIF108" s="141"/>
      <c r="TIG108" s="141"/>
      <c r="TIH108" s="137"/>
      <c r="TII108" s="137"/>
      <c r="TIJ108" s="141"/>
      <c r="TIK108" s="137"/>
      <c r="TIL108" s="137"/>
      <c r="TIM108" s="142"/>
      <c r="TIN108" s="143"/>
      <c r="TIO108" s="144"/>
      <c r="TIP108" s="137"/>
      <c r="TIQ108" s="104"/>
      <c r="TIR108" s="243"/>
      <c r="TIS108" s="146"/>
      <c r="TIT108" s="96"/>
      <c r="TIU108" s="136"/>
      <c r="TIV108" s="137"/>
      <c r="TIW108" s="137"/>
      <c r="TIX108" s="137"/>
      <c r="TIY108" s="137"/>
      <c r="TIZ108" s="137"/>
      <c r="TJA108" s="99"/>
      <c r="TJB108" s="137"/>
      <c r="TJC108" s="99"/>
      <c r="TJD108" s="138"/>
      <c r="TJE108" s="139"/>
      <c r="TJF108" s="137"/>
      <c r="TJG108" s="140"/>
      <c r="TJH108" s="141"/>
      <c r="TJI108" s="141"/>
      <c r="TJJ108" s="137"/>
      <c r="TJK108" s="137"/>
      <c r="TJL108" s="141"/>
      <c r="TJM108" s="137"/>
      <c r="TJN108" s="137"/>
      <c r="TJO108" s="142"/>
      <c r="TJP108" s="143"/>
      <c r="TJQ108" s="144"/>
      <c r="TJR108" s="137"/>
      <c r="TJS108" s="104"/>
      <c r="TJT108" s="243"/>
      <c r="TJU108" s="146"/>
      <c r="TJV108" s="96"/>
      <c r="TJW108" s="136"/>
      <c r="TJX108" s="137"/>
      <c r="TJY108" s="137"/>
      <c r="TJZ108" s="137"/>
      <c r="TKA108" s="137"/>
      <c r="TKB108" s="137"/>
      <c r="TKC108" s="99"/>
      <c r="TKD108" s="137"/>
      <c r="TKE108" s="99"/>
      <c r="TKF108" s="138"/>
      <c r="TKG108" s="139"/>
      <c r="TKH108" s="137"/>
      <c r="TKI108" s="140"/>
      <c r="TKJ108" s="141"/>
      <c r="TKK108" s="141"/>
      <c r="TKL108" s="137"/>
      <c r="TKM108" s="137"/>
      <c r="TKN108" s="141"/>
      <c r="TKO108" s="137"/>
      <c r="TKP108" s="137"/>
      <c r="TKQ108" s="142"/>
      <c r="TKR108" s="143"/>
      <c r="TKS108" s="144"/>
      <c r="TKT108" s="137"/>
      <c r="TKU108" s="104"/>
      <c r="TKV108" s="243"/>
      <c r="TKW108" s="146"/>
      <c r="TKX108" s="96"/>
      <c r="TKY108" s="136"/>
      <c r="TKZ108" s="137"/>
      <c r="TLA108" s="137"/>
      <c r="TLB108" s="137"/>
      <c r="TLC108" s="137"/>
      <c r="TLD108" s="137"/>
      <c r="TLE108" s="99"/>
      <c r="TLF108" s="137"/>
      <c r="TLG108" s="99"/>
      <c r="TLH108" s="138"/>
      <c r="TLI108" s="139"/>
      <c r="TLJ108" s="137"/>
      <c r="TLK108" s="140"/>
      <c r="TLL108" s="141"/>
      <c r="TLM108" s="141"/>
      <c r="TLN108" s="137"/>
      <c r="TLO108" s="137"/>
      <c r="TLP108" s="141"/>
      <c r="TLQ108" s="137"/>
      <c r="TLR108" s="137"/>
      <c r="TLS108" s="142"/>
      <c r="TLT108" s="143"/>
      <c r="TLU108" s="144"/>
      <c r="TLV108" s="137"/>
      <c r="TLW108" s="104"/>
      <c r="TLX108" s="243"/>
      <c r="TLY108" s="146"/>
      <c r="TLZ108" s="96"/>
      <c r="TMA108" s="136"/>
      <c r="TMB108" s="137"/>
      <c r="TMC108" s="137"/>
      <c r="TMD108" s="137"/>
      <c r="TME108" s="137"/>
      <c r="TMF108" s="137"/>
      <c r="TMG108" s="99"/>
      <c r="TMH108" s="137"/>
      <c r="TMI108" s="99"/>
      <c r="TMJ108" s="138"/>
      <c r="TMK108" s="139"/>
      <c r="TML108" s="137"/>
      <c r="TMM108" s="140"/>
      <c r="TMN108" s="141"/>
      <c r="TMO108" s="141"/>
      <c r="TMP108" s="137"/>
      <c r="TMQ108" s="137"/>
      <c r="TMR108" s="141"/>
      <c r="TMS108" s="137"/>
      <c r="TMT108" s="137"/>
      <c r="TMU108" s="142"/>
      <c r="TMV108" s="143"/>
      <c r="TMW108" s="144"/>
      <c r="TMX108" s="137"/>
      <c r="TMY108" s="104"/>
      <c r="TMZ108" s="243"/>
      <c r="TNA108" s="146"/>
      <c r="TNB108" s="96"/>
      <c r="TNC108" s="136"/>
      <c r="TND108" s="137"/>
      <c r="TNE108" s="137"/>
      <c r="TNF108" s="137"/>
      <c r="TNG108" s="137"/>
      <c r="TNH108" s="137"/>
      <c r="TNI108" s="99"/>
      <c r="TNJ108" s="137"/>
      <c r="TNK108" s="99"/>
      <c r="TNL108" s="138"/>
      <c r="TNM108" s="139"/>
      <c r="TNN108" s="137"/>
      <c r="TNO108" s="140"/>
      <c r="TNP108" s="141"/>
      <c r="TNQ108" s="141"/>
      <c r="TNR108" s="137"/>
      <c r="TNS108" s="137"/>
      <c r="TNT108" s="141"/>
      <c r="TNU108" s="137"/>
      <c r="TNV108" s="137"/>
      <c r="TNW108" s="142"/>
      <c r="TNX108" s="143"/>
      <c r="TNY108" s="144"/>
      <c r="TNZ108" s="137"/>
      <c r="TOA108" s="104"/>
      <c r="TOB108" s="243"/>
      <c r="TOC108" s="146"/>
      <c r="TOD108" s="96"/>
      <c r="TOE108" s="136"/>
      <c r="TOF108" s="137"/>
      <c r="TOG108" s="137"/>
      <c r="TOH108" s="137"/>
      <c r="TOI108" s="137"/>
      <c r="TOJ108" s="137"/>
      <c r="TOK108" s="99"/>
      <c r="TOL108" s="137"/>
      <c r="TOM108" s="99"/>
      <c r="TON108" s="138"/>
      <c r="TOO108" s="139"/>
      <c r="TOP108" s="137"/>
      <c r="TOQ108" s="140"/>
      <c r="TOR108" s="141"/>
      <c r="TOS108" s="141"/>
      <c r="TOT108" s="137"/>
      <c r="TOU108" s="137"/>
      <c r="TOV108" s="141"/>
      <c r="TOW108" s="137"/>
      <c r="TOX108" s="137"/>
      <c r="TOY108" s="142"/>
      <c r="TOZ108" s="143"/>
      <c r="TPA108" s="144"/>
      <c r="TPB108" s="137"/>
      <c r="TPC108" s="104"/>
      <c r="TPD108" s="243"/>
      <c r="TPE108" s="146"/>
      <c r="TPF108" s="96"/>
      <c r="TPG108" s="136"/>
      <c r="TPH108" s="137"/>
      <c r="TPI108" s="137"/>
      <c r="TPJ108" s="137"/>
      <c r="TPK108" s="137"/>
      <c r="TPL108" s="137"/>
      <c r="TPM108" s="99"/>
      <c r="TPN108" s="137"/>
      <c r="TPO108" s="99"/>
      <c r="TPP108" s="138"/>
      <c r="TPQ108" s="139"/>
      <c r="TPR108" s="137"/>
      <c r="TPS108" s="140"/>
      <c r="TPT108" s="141"/>
      <c r="TPU108" s="141"/>
      <c r="TPV108" s="137"/>
      <c r="TPW108" s="137"/>
      <c r="TPX108" s="141"/>
      <c r="TPY108" s="137"/>
      <c r="TPZ108" s="137"/>
      <c r="TQA108" s="142"/>
      <c r="TQB108" s="143"/>
      <c r="TQC108" s="144"/>
      <c r="TQD108" s="137"/>
      <c r="TQE108" s="104"/>
      <c r="TQF108" s="243"/>
      <c r="TQG108" s="146"/>
      <c r="TQH108" s="96"/>
      <c r="TQI108" s="136"/>
      <c r="TQJ108" s="137"/>
      <c r="TQK108" s="137"/>
      <c r="TQL108" s="137"/>
      <c r="TQM108" s="137"/>
      <c r="TQN108" s="137"/>
      <c r="TQO108" s="99"/>
      <c r="TQP108" s="137"/>
      <c r="TQQ108" s="99"/>
      <c r="TQR108" s="138"/>
      <c r="TQS108" s="139"/>
      <c r="TQT108" s="137"/>
      <c r="TQU108" s="140"/>
      <c r="TQV108" s="141"/>
      <c r="TQW108" s="141"/>
      <c r="TQX108" s="137"/>
      <c r="TQY108" s="137"/>
      <c r="TQZ108" s="141"/>
      <c r="TRA108" s="137"/>
      <c r="TRB108" s="137"/>
      <c r="TRC108" s="142"/>
      <c r="TRD108" s="143"/>
      <c r="TRE108" s="144"/>
      <c r="TRF108" s="137"/>
      <c r="TRG108" s="104"/>
      <c r="TRH108" s="243"/>
      <c r="TRI108" s="146"/>
      <c r="TRJ108" s="96"/>
      <c r="TRK108" s="136"/>
      <c r="TRL108" s="137"/>
      <c r="TRM108" s="137"/>
      <c r="TRN108" s="137"/>
      <c r="TRO108" s="137"/>
      <c r="TRP108" s="137"/>
      <c r="TRQ108" s="99"/>
      <c r="TRR108" s="137"/>
      <c r="TRS108" s="99"/>
      <c r="TRT108" s="138"/>
      <c r="TRU108" s="139"/>
      <c r="TRV108" s="137"/>
      <c r="TRW108" s="140"/>
      <c r="TRX108" s="141"/>
      <c r="TRY108" s="141"/>
      <c r="TRZ108" s="137"/>
      <c r="TSA108" s="137"/>
      <c r="TSB108" s="141"/>
      <c r="TSC108" s="137"/>
      <c r="TSD108" s="137"/>
      <c r="TSE108" s="142"/>
      <c r="TSF108" s="143"/>
      <c r="TSG108" s="144"/>
      <c r="TSH108" s="137"/>
      <c r="TSI108" s="104"/>
      <c r="TSJ108" s="243"/>
      <c r="TSK108" s="146"/>
      <c r="TSL108" s="96"/>
      <c r="TSM108" s="136"/>
      <c r="TSN108" s="137"/>
      <c r="TSO108" s="137"/>
      <c r="TSP108" s="137"/>
      <c r="TSQ108" s="137"/>
      <c r="TSR108" s="137"/>
      <c r="TSS108" s="99"/>
      <c r="TST108" s="137"/>
      <c r="TSU108" s="99"/>
      <c r="TSV108" s="138"/>
      <c r="TSW108" s="139"/>
      <c r="TSX108" s="137"/>
      <c r="TSY108" s="140"/>
      <c r="TSZ108" s="141"/>
      <c r="TTA108" s="141"/>
      <c r="TTB108" s="137"/>
      <c r="TTC108" s="137"/>
      <c r="TTD108" s="141"/>
      <c r="TTE108" s="137"/>
      <c r="TTF108" s="137"/>
      <c r="TTG108" s="142"/>
      <c r="TTH108" s="143"/>
      <c r="TTI108" s="144"/>
      <c r="TTJ108" s="137"/>
      <c r="TTK108" s="104"/>
      <c r="TTL108" s="243"/>
      <c r="TTM108" s="146"/>
      <c r="TTN108" s="96"/>
      <c r="TTO108" s="136"/>
      <c r="TTP108" s="137"/>
      <c r="TTQ108" s="137"/>
      <c r="TTR108" s="137"/>
      <c r="TTS108" s="137"/>
      <c r="TTT108" s="137"/>
      <c r="TTU108" s="99"/>
      <c r="TTV108" s="137"/>
      <c r="TTW108" s="99"/>
      <c r="TTX108" s="138"/>
      <c r="TTY108" s="139"/>
      <c r="TTZ108" s="137"/>
      <c r="TUA108" s="140"/>
      <c r="TUB108" s="141"/>
      <c r="TUC108" s="141"/>
      <c r="TUD108" s="137"/>
      <c r="TUE108" s="137"/>
      <c r="TUF108" s="141"/>
      <c r="TUG108" s="137"/>
      <c r="TUH108" s="137"/>
      <c r="TUI108" s="142"/>
      <c r="TUJ108" s="143"/>
      <c r="TUK108" s="144"/>
      <c r="TUL108" s="137"/>
      <c r="TUM108" s="104"/>
      <c r="TUN108" s="243"/>
      <c r="TUO108" s="146"/>
      <c r="TUP108" s="96"/>
      <c r="TUQ108" s="136"/>
      <c r="TUR108" s="137"/>
      <c r="TUS108" s="137"/>
      <c r="TUT108" s="137"/>
      <c r="TUU108" s="137"/>
      <c r="TUV108" s="137"/>
      <c r="TUW108" s="99"/>
      <c r="TUX108" s="137"/>
      <c r="TUY108" s="99"/>
      <c r="TUZ108" s="138"/>
      <c r="TVA108" s="139"/>
      <c r="TVB108" s="137"/>
      <c r="TVC108" s="140"/>
      <c r="TVD108" s="141"/>
      <c r="TVE108" s="141"/>
      <c r="TVF108" s="137"/>
      <c r="TVG108" s="137"/>
      <c r="TVH108" s="141"/>
      <c r="TVI108" s="137"/>
      <c r="TVJ108" s="137"/>
      <c r="TVK108" s="142"/>
      <c r="TVL108" s="143"/>
      <c r="TVM108" s="144"/>
      <c r="TVN108" s="137"/>
      <c r="TVO108" s="104"/>
      <c r="TVP108" s="243"/>
      <c r="TVQ108" s="146"/>
      <c r="TVR108" s="96"/>
      <c r="TVS108" s="136"/>
      <c r="TVT108" s="137"/>
      <c r="TVU108" s="137"/>
      <c r="TVV108" s="137"/>
      <c r="TVW108" s="137"/>
      <c r="TVX108" s="137"/>
      <c r="TVY108" s="99"/>
      <c r="TVZ108" s="137"/>
      <c r="TWA108" s="99"/>
      <c r="TWB108" s="138"/>
      <c r="TWC108" s="139"/>
      <c r="TWD108" s="137"/>
      <c r="TWE108" s="140"/>
      <c r="TWF108" s="141"/>
      <c r="TWG108" s="141"/>
      <c r="TWH108" s="137"/>
      <c r="TWI108" s="137"/>
      <c r="TWJ108" s="141"/>
      <c r="TWK108" s="137"/>
      <c r="TWL108" s="137"/>
      <c r="TWM108" s="142"/>
      <c r="TWN108" s="143"/>
      <c r="TWO108" s="144"/>
      <c r="TWP108" s="137"/>
      <c r="TWQ108" s="104"/>
      <c r="TWR108" s="243"/>
      <c r="TWS108" s="146"/>
      <c r="TWT108" s="96"/>
      <c r="TWU108" s="136"/>
      <c r="TWV108" s="137"/>
      <c r="TWW108" s="137"/>
      <c r="TWX108" s="137"/>
      <c r="TWY108" s="137"/>
      <c r="TWZ108" s="137"/>
      <c r="TXA108" s="99"/>
      <c r="TXB108" s="137"/>
      <c r="TXC108" s="99"/>
      <c r="TXD108" s="138"/>
      <c r="TXE108" s="139"/>
      <c r="TXF108" s="137"/>
      <c r="TXG108" s="140"/>
      <c r="TXH108" s="141"/>
      <c r="TXI108" s="141"/>
      <c r="TXJ108" s="137"/>
      <c r="TXK108" s="137"/>
      <c r="TXL108" s="141"/>
      <c r="TXM108" s="137"/>
      <c r="TXN108" s="137"/>
      <c r="TXO108" s="142"/>
      <c r="TXP108" s="143"/>
      <c r="TXQ108" s="144"/>
      <c r="TXR108" s="137"/>
      <c r="TXS108" s="104"/>
      <c r="TXT108" s="243"/>
      <c r="TXU108" s="146"/>
      <c r="TXV108" s="96"/>
      <c r="TXW108" s="136"/>
      <c r="TXX108" s="137"/>
      <c r="TXY108" s="137"/>
      <c r="TXZ108" s="137"/>
      <c r="TYA108" s="137"/>
      <c r="TYB108" s="137"/>
      <c r="TYC108" s="99"/>
      <c r="TYD108" s="137"/>
      <c r="TYE108" s="99"/>
      <c r="TYF108" s="138"/>
      <c r="TYG108" s="139"/>
      <c r="TYH108" s="137"/>
      <c r="TYI108" s="140"/>
      <c r="TYJ108" s="141"/>
      <c r="TYK108" s="141"/>
      <c r="TYL108" s="137"/>
      <c r="TYM108" s="137"/>
      <c r="TYN108" s="141"/>
      <c r="TYO108" s="137"/>
      <c r="TYP108" s="137"/>
      <c r="TYQ108" s="142"/>
      <c r="TYR108" s="143"/>
      <c r="TYS108" s="144"/>
      <c r="TYT108" s="137"/>
      <c r="TYU108" s="104"/>
      <c r="TYV108" s="243"/>
      <c r="TYW108" s="146"/>
      <c r="TYX108" s="96"/>
      <c r="TYY108" s="136"/>
      <c r="TYZ108" s="137"/>
      <c r="TZA108" s="137"/>
      <c r="TZB108" s="137"/>
      <c r="TZC108" s="137"/>
      <c r="TZD108" s="137"/>
      <c r="TZE108" s="99"/>
      <c r="TZF108" s="137"/>
      <c r="TZG108" s="99"/>
      <c r="TZH108" s="138"/>
      <c r="TZI108" s="139"/>
      <c r="TZJ108" s="137"/>
      <c r="TZK108" s="140"/>
      <c r="TZL108" s="141"/>
      <c r="TZM108" s="141"/>
      <c r="TZN108" s="137"/>
      <c r="TZO108" s="137"/>
      <c r="TZP108" s="141"/>
      <c r="TZQ108" s="137"/>
      <c r="TZR108" s="137"/>
      <c r="TZS108" s="142"/>
      <c r="TZT108" s="143"/>
      <c r="TZU108" s="144"/>
      <c r="TZV108" s="137"/>
      <c r="TZW108" s="104"/>
      <c r="TZX108" s="243"/>
      <c r="TZY108" s="146"/>
      <c r="TZZ108" s="96"/>
      <c r="UAA108" s="136"/>
      <c r="UAB108" s="137"/>
      <c r="UAC108" s="137"/>
      <c r="UAD108" s="137"/>
      <c r="UAE108" s="137"/>
      <c r="UAF108" s="137"/>
      <c r="UAG108" s="99"/>
      <c r="UAH108" s="137"/>
      <c r="UAI108" s="99"/>
      <c r="UAJ108" s="138"/>
      <c r="UAK108" s="139"/>
      <c r="UAL108" s="137"/>
      <c r="UAM108" s="140"/>
      <c r="UAN108" s="141"/>
      <c r="UAO108" s="141"/>
      <c r="UAP108" s="137"/>
      <c r="UAQ108" s="137"/>
      <c r="UAR108" s="141"/>
      <c r="UAS108" s="137"/>
      <c r="UAT108" s="137"/>
      <c r="UAU108" s="142"/>
      <c r="UAV108" s="143"/>
      <c r="UAW108" s="144"/>
      <c r="UAX108" s="137"/>
      <c r="UAY108" s="104"/>
      <c r="UAZ108" s="243"/>
      <c r="UBA108" s="146"/>
      <c r="UBB108" s="96"/>
      <c r="UBC108" s="136"/>
      <c r="UBD108" s="137"/>
      <c r="UBE108" s="137"/>
      <c r="UBF108" s="137"/>
      <c r="UBG108" s="137"/>
      <c r="UBH108" s="137"/>
      <c r="UBI108" s="99"/>
      <c r="UBJ108" s="137"/>
      <c r="UBK108" s="99"/>
      <c r="UBL108" s="138"/>
      <c r="UBM108" s="139"/>
      <c r="UBN108" s="137"/>
      <c r="UBO108" s="140"/>
      <c r="UBP108" s="141"/>
      <c r="UBQ108" s="141"/>
      <c r="UBR108" s="137"/>
      <c r="UBS108" s="137"/>
      <c r="UBT108" s="141"/>
      <c r="UBU108" s="137"/>
      <c r="UBV108" s="137"/>
      <c r="UBW108" s="142"/>
      <c r="UBX108" s="143"/>
      <c r="UBY108" s="144"/>
      <c r="UBZ108" s="137"/>
      <c r="UCA108" s="104"/>
      <c r="UCB108" s="243"/>
      <c r="UCC108" s="146"/>
      <c r="UCD108" s="96"/>
      <c r="UCE108" s="136"/>
      <c r="UCF108" s="137"/>
      <c r="UCG108" s="137"/>
      <c r="UCH108" s="137"/>
      <c r="UCI108" s="137"/>
      <c r="UCJ108" s="137"/>
      <c r="UCK108" s="99"/>
      <c r="UCL108" s="137"/>
      <c r="UCM108" s="99"/>
      <c r="UCN108" s="138"/>
      <c r="UCO108" s="139"/>
      <c r="UCP108" s="137"/>
      <c r="UCQ108" s="140"/>
      <c r="UCR108" s="141"/>
      <c r="UCS108" s="141"/>
      <c r="UCT108" s="137"/>
      <c r="UCU108" s="137"/>
      <c r="UCV108" s="141"/>
      <c r="UCW108" s="137"/>
      <c r="UCX108" s="137"/>
      <c r="UCY108" s="142"/>
      <c r="UCZ108" s="143"/>
      <c r="UDA108" s="144"/>
      <c r="UDB108" s="137"/>
      <c r="UDC108" s="104"/>
      <c r="UDD108" s="243"/>
      <c r="UDE108" s="146"/>
      <c r="UDF108" s="96"/>
      <c r="UDG108" s="136"/>
      <c r="UDH108" s="137"/>
      <c r="UDI108" s="137"/>
      <c r="UDJ108" s="137"/>
      <c r="UDK108" s="137"/>
      <c r="UDL108" s="137"/>
      <c r="UDM108" s="99"/>
      <c r="UDN108" s="137"/>
      <c r="UDO108" s="99"/>
      <c r="UDP108" s="138"/>
      <c r="UDQ108" s="139"/>
      <c r="UDR108" s="137"/>
      <c r="UDS108" s="140"/>
      <c r="UDT108" s="141"/>
      <c r="UDU108" s="141"/>
      <c r="UDV108" s="137"/>
      <c r="UDW108" s="137"/>
      <c r="UDX108" s="141"/>
      <c r="UDY108" s="137"/>
      <c r="UDZ108" s="137"/>
      <c r="UEA108" s="142"/>
      <c r="UEB108" s="143"/>
      <c r="UEC108" s="144"/>
      <c r="UED108" s="137"/>
      <c r="UEE108" s="104"/>
      <c r="UEF108" s="243"/>
      <c r="UEG108" s="146"/>
      <c r="UEH108" s="96"/>
      <c r="UEI108" s="136"/>
      <c r="UEJ108" s="137"/>
      <c r="UEK108" s="137"/>
      <c r="UEL108" s="137"/>
      <c r="UEM108" s="137"/>
      <c r="UEN108" s="137"/>
      <c r="UEO108" s="99"/>
      <c r="UEP108" s="137"/>
      <c r="UEQ108" s="99"/>
      <c r="UER108" s="138"/>
      <c r="UES108" s="139"/>
      <c r="UET108" s="137"/>
      <c r="UEU108" s="140"/>
      <c r="UEV108" s="141"/>
      <c r="UEW108" s="141"/>
      <c r="UEX108" s="137"/>
      <c r="UEY108" s="137"/>
      <c r="UEZ108" s="141"/>
      <c r="UFA108" s="137"/>
      <c r="UFB108" s="137"/>
      <c r="UFC108" s="142"/>
      <c r="UFD108" s="143"/>
      <c r="UFE108" s="144"/>
      <c r="UFF108" s="137"/>
      <c r="UFG108" s="104"/>
      <c r="UFH108" s="243"/>
      <c r="UFI108" s="146"/>
      <c r="UFJ108" s="96"/>
      <c r="UFK108" s="136"/>
      <c r="UFL108" s="137"/>
      <c r="UFM108" s="137"/>
      <c r="UFN108" s="137"/>
      <c r="UFO108" s="137"/>
      <c r="UFP108" s="137"/>
      <c r="UFQ108" s="99"/>
      <c r="UFR108" s="137"/>
      <c r="UFS108" s="99"/>
      <c r="UFT108" s="138"/>
      <c r="UFU108" s="139"/>
      <c r="UFV108" s="137"/>
      <c r="UFW108" s="140"/>
      <c r="UFX108" s="141"/>
      <c r="UFY108" s="141"/>
      <c r="UFZ108" s="137"/>
      <c r="UGA108" s="137"/>
      <c r="UGB108" s="141"/>
      <c r="UGC108" s="137"/>
      <c r="UGD108" s="137"/>
      <c r="UGE108" s="142"/>
      <c r="UGF108" s="143"/>
      <c r="UGG108" s="144"/>
      <c r="UGH108" s="137"/>
      <c r="UGI108" s="104"/>
      <c r="UGJ108" s="243"/>
      <c r="UGK108" s="146"/>
      <c r="UGL108" s="96"/>
      <c r="UGM108" s="136"/>
      <c r="UGN108" s="137"/>
      <c r="UGO108" s="137"/>
      <c r="UGP108" s="137"/>
      <c r="UGQ108" s="137"/>
      <c r="UGR108" s="137"/>
      <c r="UGS108" s="99"/>
      <c r="UGT108" s="137"/>
      <c r="UGU108" s="99"/>
      <c r="UGV108" s="138"/>
      <c r="UGW108" s="139"/>
      <c r="UGX108" s="137"/>
      <c r="UGY108" s="140"/>
      <c r="UGZ108" s="141"/>
      <c r="UHA108" s="141"/>
      <c r="UHB108" s="137"/>
      <c r="UHC108" s="137"/>
      <c r="UHD108" s="141"/>
      <c r="UHE108" s="137"/>
      <c r="UHF108" s="137"/>
      <c r="UHG108" s="142"/>
      <c r="UHH108" s="143"/>
      <c r="UHI108" s="144"/>
      <c r="UHJ108" s="137"/>
      <c r="UHK108" s="104"/>
      <c r="UHL108" s="243"/>
      <c r="UHM108" s="146"/>
      <c r="UHN108" s="96"/>
      <c r="UHO108" s="136"/>
      <c r="UHP108" s="137"/>
      <c r="UHQ108" s="137"/>
      <c r="UHR108" s="137"/>
      <c r="UHS108" s="137"/>
      <c r="UHT108" s="137"/>
      <c r="UHU108" s="99"/>
      <c r="UHV108" s="137"/>
      <c r="UHW108" s="99"/>
      <c r="UHX108" s="138"/>
      <c r="UHY108" s="139"/>
      <c r="UHZ108" s="137"/>
      <c r="UIA108" s="140"/>
      <c r="UIB108" s="141"/>
      <c r="UIC108" s="141"/>
      <c r="UID108" s="137"/>
      <c r="UIE108" s="137"/>
      <c r="UIF108" s="141"/>
      <c r="UIG108" s="137"/>
      <c r="UIH108" s="137"/>
      <c r="UII108" s="142"/>
      <c r="UIJ108" s="143"/>
      <c r="UIK108" s="144"/>
      <c r="UIL108" s="137"/>
      <c r="UIM108" s="104"/>
      <c r="UIN108" s="243"/>
      <c r="UIO108" s="146"/>
      <c r="UIP108" s="96"/>
      <c r="UIQ108" s="136"/>
      <c r="UIR108" s="137"/>
      <c r="UIS108" s="137"/>
      <c r="UIT108" s="137"/>
      <c r="UIU108" s="137"/>
      <c r="UIV108" s="137"/>
      <c r="UIW108" s="99"/>
      <c r="UIX108" s="137"/>
      <c r="UIY108" s="99"/>
      <c r="UIZ108" s="138"/>
      <c r="UJA108" s="139"/>
      <c r="UJB108" s="137"/>
      <c r="UJC108" s="140"/>
      <c r="UJD108" s="141"/>
      <c r="UJE108" s="141"/>
      <c r="UJF108" s="137"/>
      <c r="UJG108" s="137"/>
      <c r="UJH108" s="141"/>
      <c r="UJI108" s="137"/>
      <c r="UJJ108" s="137"/>
      <c r="UJK108" s="142"/>
      <c r="UJL108" s="143"/>
      <c r="UJM108" s="144"/>
      <c r="UJN108" s="137"/>
      <c r="UJO108" s="104"/>
      <c r="UJP108" s="243"/>
      <c r="UJQ108" s="146"/>
      <c r="UJR108" s="96"/>
      <c r="UJS108" s="136"/>
      <c r="UJT108" s="137"/>
      <c r="UJU108" s="137"/>
      <c r="UJV108" s="137"/>
      <c r="UJW108" s="137"/>
      <c r="UJX108" s="137"/>
      <c r="UJY108" s="99"/>
      <c r="UJZ108" s="137"/>
      <c r="UKA108" s="99"/>
      <c r="UKB108" s="138"/>
      <c r="UKC108" s="139"/>
      <c r="UKD108" s="137"/>
      <c r="UKE108" s="140"/>
      <c r="UKF108" s="141"/>
      <c r="UKG108" s="141"/>
      <c r="UKH108" s="137"/>
      <c r="UKI108" s="137"/>
      <c r="UKJ108" s="141"/>
      <c r="UKK108" s="137"/>
      <c r="UKL108" s="137"/>
      <c r="UKM108" s="142"/>
      <c r="UKN108" s="143"/>
      <c r="UKO108" s="144"/>
      <c r="UKP108" s="137"/>
      <c r="UKQ108" s="104"/>
      <c r="UKR108" s="243"/>
      <c r="UKS108" s="146"/>
      <c r="UKT108" s="96"/>
      <c r="UKU108" s="136"/>
      <c r="UKV108" s="137"/>
      <c r="UKW108" s="137"/>
      <c r="UKX108" s="137"/>
      <c r="UKY108" s="137"/>
      <c r="UKZ108" s="137"/>
      <c r="ULA108" s="99"/>
      <c r="ULB108" s="137"/>
      <c r="ULC108" s="99"/>
      <c r="ULD108" s="138"/>
      <c r="ULE108" s="139"/>
      <c r="ULF108" s="137"/>
      <c r="ULG108" s="140"/>
      <c r="ULH108" s="141"/>
      <c r="ULI108" s="141"/>
      <c r="ULJ108" s="137"/>
      <c r="ULK108" s="137"/>
      <c r="ULL108" s="141"/>
      <c r="ULM108" s="137"/>
      <c r="ULN108" s="137"/>
      <c r="ULO108" s="142"/>
      <c r="ULP108" s="143"/>
      <c r="ULQ108" s="144"/>
      <c r="ULR108" s="137"/>
      <c r="ULS108" s="104"/>
      <c r="ULT108" s="243"/>
      <c r="ULU108" s="146"/>
      <c r="ULV108" s="96"/>
      <c r="ULW108" s="136"/>
      <c r="ULX108" s="137"/>
      <c r="ULY108" s="137"/>
      <c r="ULZ108" s="137"/>
      <c r="UMA108" s="137"/>
      <c r="UMB108" s="137"/>
      <c r="UMC108" s="99"/>
      <c r="UMD108" s="137"/>
      <c r="UME108" s="99"/>
      <c r="UMF108" s="138"/>
      <c r="UMG108" s="139"/>
      <c r="UMH108" s="137"/>
      <c r="UMI108" s="140"/>
      <c r="UMJ108" s="141"/>
      <c r="UMK108" s="141"/>
      <c r="UML108" s="137"/>
      <c r="UMM108" s="137"/>
      <c r="UMN108" s="141"/>
      <c r="UMO108" s="137"/>
      <c r="UMP108" s="137"/>
      <c r="UMQ108" s="142"/>
      <c r="UMR108" s="143"/>
      <c r="UMS108" s="144"/>
      <c r="UMT108" s="137"/>
      <c r="UMU108" s="104"/>
      <c r="UMV108" s="243"/>
      <c r="UMW108" s="146"/>
      <c r="UMX108" s="96"/>
      <c r="UMY108" s="136"/>
      <c r="UMZ108" s="137"/>
      <c r="UNA108" s="137"/>
      <c r="UNB108" s="137"/>
      <c r="UNC108" s="137"/>
      <c r="UND108" s="137"/>
      <c r="UNE108" s="99"/>
      <c r="UNF108" s="137"/>
      <c r="UNG108" s="99"/>
      <c r="UNH108" s="138"/>
      <c r="UNI108" s="139"/>
      <c r="UNJ108" s="137"/>
      <c r="UNK108" s="140"/>
      <c r="UNL108" s="141"/>
      <c r="UNM108" s="141"/>
      <c r="UNN108" s="137"/>
      <c r="UNO108" s="137"/>
      <c r="UNP108" s="141"/>
      <c r="UNQ108" s="137"/>
      <c r="UNR108" s="137"/>
      <c r="UNS108" s="142"/>
      <c r="UNT108" s="143"/>
      <c r="UNU108" s="144"/>
      <c r="UNV108" s="137"/>
      <c r="UNW108" s="104"/>
      <c r="UNX108" s="243"/>
      <c r="UNY108" s="146"/>
      <c r="UNZ108" s="96"/>
      <c r="UOA108" s="136"/>
      <c r="UOB108" s="137"/>
      <c r="UOC108" s="137"/>
      <c r="UOD108" s="137"/>
      <c r="UOE108" s="137"/>
      <c r="UOF108" s="137"/>
      <c r="UOG108" s="99"/>
      <c r="UOH108" s="137"/>
      <c r="UOI108" s="99"/>
      <c r="UOJ108" s="138"/>
      <c r="UOK108" s="139"/>
      <c r="UOL108" s="137"/>
      <c r="UOM108" s="140"/>
      <c r="UON108" s="141"/>
      <c r="UOO108" s="141"/>
      <c r="UOP108" s="137"/>
      <c r="UOQ108" s="137"/>
      <c r="UOR108" s="141"/>
      <c r="UOS108" s="137"/>
      <c r="UOT108" s="137"/>
      <c r="UOU108" s="142"/>
      <c r="UOV108" s="143"/>
      <c r="UOW108" s="144"/>
      <c r="UOX108" s="137"/>
      <c r="UOY108" s="104"/>
      <c r="UOZ108" s="243"/>
      <c r="UPA108" s="146"/>
      <c r="UPB108" s="96"/>
      <c r="UPC108" s="136"/>
      <c r="UPD108" s="137"/>
      <c r="UPE108" s="137"/>
      <c r="UPF108" s="137"/>
      <c r="UPG108" s="137"/>
      <c r="UPH108" s="137"/>
      <c r="UPI108" s="99"/>
      <c r="UPJ108" s="137"/>
      <c r="UPK108" s="99"/>
      <c r="UPL108" s="138"/>
      <c r="UPM108" s="139"/>
      <c r="UPN108" s="137"/>
      <c r="UPO108" s="140"/>
      <c r="UPP108" s="141"/>
      <c r="UPQ108" s="141"/>
      <c r="UPR108" s="137"/>
      <c r="UPS108" s="137"/>
      <c r="UPT108" s="141"/>
      <c r="UPU108" s="137"/>
      <c r="UPV108" s="137"/>
      <c r="UPW108" s="142"/>
      <c r="UPX108" s="143"/>
      <c r="UPY108" s="144"/>
      <c r="UPZ108" s="137"/>
      <c r="UQA108" s="104"/>
      <c r="UQB108" s="243"/>
      <c r="UQC108" s="146"/>
      <c r="UQD108" s="96"/>
      <c r="UQE108" s="136"/>
      <c r="UQF108" s="137"/>
      <c r="UQG108" s="137"/>
      <c r="UQH108" s="137"/>
      <c r="UQI108" s="137"/>
      <c r="UQJ108" s="137"/>
      <c r="UQK108" s="99"/>
      <c r="UQL108" s="137"/>
      <c r="UQM108" s="99"/>
      <c r="UQN108" s="138"/>
      <c r="UQO108" s="139"/>
      <c r="UQP108" s="137"/>
      <c r="UQQ108" s="140"/>
      <c r="UQR108" s="141"/>
      <c r="UQS108" s="141"/>
      <c r="UQT108" s="137"/>
      <c r="UQU108" s="137"/>
      <c r="UQV108" s="141"/>
      <c r="UQW108" s="137"/>
      <c r="UQX108" s="137"/>
      <c r="UQY108" s="142"/>
      <c r="UQZ108" s="143"/>
      <c r="URA108" s="144"/>
      <c r="URB108" s="137"/>
      <c r="URC108" s="104"/>
      <c r="URD108" s="243"/>
      <c r="URE108" s="146"/>
      <c r="URF108" s="96"/>
      <c r="URG108" s="136"/>
      <c r="URH108" s="137"/>
      <c r="URI108" s="137"/>
      <c r="URJ108" s="137"/>
      <c r="URK108" s="137"/>
      <c r="URL108" s="137"/>
      <c r="URM108" s="99"/>
      <c r="URN108" s="137"/>
      <c r="URO108" s="99"/>
      <c r="URP108" s="138"/>
      <c r="URQ108" s="139"/>
      <c r="URR108" s="137"/>
      <c r="URS108" s="140"/>
      <c r="URT108" s="141"/>
      <c r="URU108" s="141"/>
      <c r="URV108" s="137"/>
      <c r="URW108" s="137"/>
      <c r="URX108" s="141"/>
      <c r="URY108" s="137"/>
      <c r="URZ108" s="137"/>
      <c r="USA108" s="142"/>
      <c r="USB108" s="143"/>
      <c r="USC108" s="144"/>
      <c r="USD108" s="137"/>
      <c r="USE108" s="104"/>
      <c r="USF108" s="243"/>
      <c r="USG108" s="146"/>
      <c r="USH108" s="96"/>
      <c r="USI108" s="136"/>
      <c r="USJ108" s="137"/>
      <c r="USK108" s="137"/>
      <c r="USL108" s="137"/>
      <c r="USM108" s="137"/>
      <c r="USN108" s="137"/>
      <c r="USO108" s="99"/>
      <c r="USP108" s="137"/>
      <c r="USQ108" s="99"/>
      <c r="USR108" s="138"/>
      <c r="USS108" s="139"/>
      <c r="UST108" s="137"/>
      <c r="USU108" s="140"/>
      <c r="USV108" s="141"/>
      <c r="USW108" s="141"/>
      <c r="USX108" s="137"/>
      <c r="USY108" s="137"/>
      <c r="USZ108" s="141"/>
      <c r="UTA108" s="137"/>
      <c r="UTB108" s="137"/>
      <c r="UTC108" s="142"/>
      <c r="UTD108" s="143"/>
      <c r="UTE108" s="144"/>
      <c r="UTF108" s="137"/>
      <c r="UTG108" s="104"/>
      <c r="UTH108" s="243"/>
      <c r="UTI108" s="146"/>
      <c r="UTJ108" s="96"/>
      <c r="UTK108" s="136"/>
      <c r="UTL108" s="137"/>
      <c r="UTM108" s="137"/>
      <c r="UTN108" s="137"/>
      <c r="UTO108" s="137"/>
      <c r="UTP108" s="137"/>
      <c r="UTQ108" s="99"/>
      <c r="UTR108" s="137"/>
      <c r="UTS108" s="99"/>
      <c r="UTT108" s="138"/>
      <c r="UTU108" s="139"/>
      <c r="UTV108" s="137"/>
      <c r="UTW108" s="140"/>
      <c r="UTX108" s="141"/>
      <c r="UTY108" s="141"/>
      <c r="UTZ108" s="137"/>
      <c r="UUA108" s="137"/>
      <c r="UUB108" s="141"/>
      <c r="UUC108" s="137"/>
      <c r="UUD108" s="137"/>
      <c r="UUE108" s="142"/>
      <c r="UUF108" s="143"/>
      <c r="UUG108" s="144"/>
      <c r="UUH108" s="137"/>
      <c r="UUI108" s="104"/>
      <c r="UUJ108" s="243"/>
      <c r="UUK108" s="146"/>
      <c r="UUL108" s="96"/>
      <c r="UUM108" s="136"/>
      <c r="UUN108" s="137"/>
      <c r="UUO108" s="137"/>
      <c r="UUP108" s="137"/>
      <c r="UUQ108" s="137"/>
      <c r="UUR108" s="137"/>
      <c r="UUS108" s="99"/>
      <c r="UUT108" s="137"/>
      <c r="UUU108" s="99"/>
      <c r="UUV108" s="138"/>
      <c r="UUW108" s="139"/>
      <c r="UUX108" s="137"/>
      <c r="UUY108" s="140"/>
      <c r="UUZ108" s="141"/>
      <c r="UVA108" s="141"/>
      <c r="UVB108" s="137"/>
      <c r="UVC108" s="137"/>
      <c r="UVD108" s="141"/>
      <c r="UVE108" s="137"/>
      <c r="UVF108" s="137"/>
      <c r="UVG108" s="142"/>
      <c r="UVH108" s="143"/>
      <c r="UVI108" s="144"/>
      <c r="UVJ108" s="137"/>
      <c r="UVK108" s="104"/>
      <c r="UVL108" s="243"/>
      <c r="UVM108" s="146"/>
      <c r="UVN108" s="96"/>
      <c r="UVO108" s="136"/>
      <c r="UVP108" s="137"/>
      <c r="UVQ108" s="137"/>
      <c r="UVR108" s="137"/>
      <c r="UVS108" s="137"/>
      <c r="UVT108" s="137"/>
      <c r="UVU108" s="99"/>
      <c r="UVV108" s="137"/>
      <c r="UVW108" s="99"/>
      <c r="UVX108" s="138"/>
      <c r="UVY108" s="139"/>
      <c r="UVZ108" s="137"/>
      <c r="UWA108" s="140"/>
      <c r="UWB108" s="141"/>
      <c r="UWC108" s="141"/>
      <c r="UWD108" s="137"/>
      <c r="UWE108" s="137"/>
      <c r="UWF108" s="141"/>
      <c r="UWG108" s="137"/>
      <c r="UWH108" s="137"/>
      <c r="UWI108" s="142"/>
      <c r="UWJ108" s="143"/>
      <c r="UWK108" s="144"/>
      <c r="UWL108" s="137"/>
      <c r="UWM108" s="104"/>
      <c r="UWN108" s="243"/>
      <c r="UWO108" s="146"/>
      <c r="UWP108" s="96"/>
      <c r="UWQ108" s="136"/>
      <c r="UWR108" s="137"/>
      <c r="UWS108" s="137"/>
      <c r="UWT108" s="137"/>
      <c r="UWU108" s="137"/>
      <c r="UWV108" s="137"/>
      <c r="UWW108" s="99"/>
      <c r="UWX108" s="137"/>
      <c r="UWY108" s="99"/>
      <c r="UWZ108" s="138"/>
      <c r="UXA108" s="139"/>
      <c r="UXB108" s="137"/>
      <c r="UXC108" s="140"/>
      <c r="UXD108" s="141"/>
      <c r="UXE108" s="141"/>
      <c r="UXF108" s="137"/>
      <c r="UXG108" s="137"/>
      <c r="UXH108" s="141"/>
      <c r="UXI108" s="137"/>
      <c r="UXJ108" s="137"/>
      <c r="UXK108" s="142"/>
      <c r="UXL108" s="143"/>
      <c r="UXM108" s="144"/>
      <c r="UXN108" s="137"/>
      <c r="UXO108" s="104"/>
      <c r="UXP108" s="243"/>
      <c r="UXQ108" s="146"/>
      <c r="UXR108" s="96"/>
      <c r="UXS108" s="136"/>
      <c r="UXT108" s="137"/>
      <c r="UXU108" s="137"/>
      <c r="UXV108" s="137"/>
      <c r="UXW108" s="137"/>
      <c r="UXX108" s="137"/>
      <c r="UXY108" s="99"/>
      <c r="UXZ108" s="137"/>
      <c r="UYA108" s="99"/>
      <c r="UYB108" s="138"/>
      <c r="UYC108" s="139"/>
      <c r="UYD108" s="137"/>
      <c r="UYE108" s="140"/>
      <c r="UYF108" s="141"/>
      <c r="UYG108" s="141"/>
      <c r="UYH108" s="137"/>
      <c r="UYI108" s="137"/>
      <c r="UYJ108" s="141"/>
      <c r="UYK108" s="137"/>
      <c r="UYL108" s="137"/>
      <c r="UYM108" s="142"/>
      <c r="UYN108" s="143"/>
      <c r="UYO108" s="144"/>
      <c r="UYP108" s="137"/>
      <c r="UYQ108" s="104"/>
      <c r="UYR108" s="243"/>
      <c r="UYS108" s="146"/>
      <c r="UYT108" s="96"/>
      <c r="UYU108" s="136"/>
      <c r="UYV108" s="137"/>
      <c r="UYW108" s="137"/>
      <c r="UYX108" s="137"/>
      <c r="UYY108" s="137"/>
      <c r="UYZ108" s="137"/>
      <c r="UZA108" s="99"/>
      <c r="UZB108" s="137"/>
      <c r="UZC108" s="99"/>
      <c r="UZD108" s="138"/>
      <c r="UZE108" s="139"/>
      <c r="UZF108" s="137"/>
      <c r="UZG108" s="140"/>
      <c r="UZH108" s="141"/>
      <c r="UZI108" s="141"/>
      <c r="UZJ108" s="137"/>
      <c r="UZK108" s="137"/>
      <c r="UZL108" s="141"/>
      <c r="UZM108" s="137"/>
      <c r="UZN108" s="137"/>
      <c r="UZO108" s="142"/>
      <c r="UZP108" s="143"/>
      <c r="UZQ108" s="144"/>
      <c r="UZR108" s="137"/>
      <c r="UZS108" s="104"/>
      <c r="UZT108" s="243"/>
      <c r="UZU108" s="146"/>
      <c r="UZV108" s="96"/>
      <c r="UZW108" s="136"/>
      <c r="UZX108" s="137"/>
      <c r="UZY108" s="137"/>
      <c r="UZZ108" s="137"/>
      <c r="VAA108" s="137"/>
      <c r="VAB108" s="137"/>
      <c r="VAC108" s="99"/>
      <c r="VAD108" s="137"/>
      <c r="VAE108" s="99"/>
      <c r="VAF108" s="138"/>
      <c r="VAG108" s="139"/>
      <c r="VAH108" s="137"/>
      <c r="VAI108" s="140"/>
      <c r="VAJ108" s="141"/>
      <c r="VAK108" s="141"/>
      <c r="VAL108" s="137"/>
      <c r="VAM108" s="137"/>
      <c r="VAN108" s="141"/>
      <c r="VAO108" s="137"/>
      <c r="VAP108" s="137"/>
      <c r="VAQ108" s="142"/>
      <c r="VAR108" s="143"/>
      <c r="VAS108" s="144"/>
      <c r="VAT108" s="137"/>
      <c r="VAU108" s="104"/>
      <c r="VAV108" s="243"/>
      <c r="VAW108" s="146"/>
      <c r="VAX108" s="96"/>
      <c r="VAY108" s="136"/>
      <c r="VAZ108" s="137"/>
      <c r="VBA108" s="137"/>
      <c r="VBB108" s="137"/>
      <c r="VBC108" s="137"/>
      <c r="VBD108" s="137"/>
      <c r="VBE108" s="99"/>
      <c r="VBF108" s="137"/>
      <c r="VBG108" s="99"/>
      <c r="VBH108" s="138"/>
      <c r="VBI108" s="139"/>
      <c r="VBJ108" s="137"/>
      <c r="VBK108" s="140"/>
      <c r="VBL108" s="141"/>
      <c r="VBM108" s="141"/>
      <c r="VBN108" s="137"/>
      <c r="VBO108" s="137"/>
      <c r="VBP108" s="141"/>
      <c r="VBQ108" s="137"/>
      <c r="VBR108" s="137"/>
      <c r="VBS108" s="142"/>
      <c r="VBT108" s="143"/>
      <c r="VBU108" s="144"/>
      <c r="VBV108" s="137"/>
      <c r="VBW108" s="104"/>
      <c r="VBX108" s="243"/>
      <c r="VBY108" s="146"/>
      <c r="VBZ108" s="96"/>
      <c r="VCA108" s="136"/>
      <c r="VCB108" s="137"/>
      <c r="VCC108" s="137"/>
      <c r="VCD108" s="137"/>
      <c r="VCE108" s="137"/>
      <c r="VCF108" s="137"/>
      <c r="VCG108" s="99"/>
      <c r="VCH108" s="137"/>
      <c r="VCI108" s="99"/>
      <c r="VCJ108" s="138"/>
      <c r="VCK108" s="139"/>
      <c r="VCL108" s="137"/>
      <c r="VCM108" s="140"/>
      <c r="VCN108" s="141"/>
      <c r="VCO108" s="141"/>
      <c r="VCP108" s="137"/>
      <c r="VCQ108" s="137"/>
      <c r="VCR108" s="141"/>
      <c r="VCS108" s="137"/>
      <c r="VCT108" s="137"/>
      <c r="VCU108" s="142"/>
      <c r="VCV108" s="143"/>
      <c r="VCW108" s="144"/>
      <c r="VCX108" s="137"/>
      <c r="VCY108" s="104"/>
      <c r="VCZ108" s="243"/>
      <c r="VDA108" s="146"/>
      <c r="VDB108" s="96"/>
      <c r="VDC108" s="136"/>
      <c r="VDD108" s="137"/>
      <c r="VDE108" s="137"/>
      <c r="VDF108" s="137"/>
      <c r="VDG108" s="137"/>
      <c r="VDH108" s="137"/>
      <c r="VDI108" s="99"/>
      <c r="VDJ108" s="137"/>
      <c r="VDK108" s="99"/>
      <c r="VDL108" s="138"/>
      <c r="VDM108" s="139"/>
      <c r="VDN108" s="137"/>
      <c r="VDO108" s="140"/>
      <c r="VDP108" s="141"/>
      <c r="VDQ108" s="141"/>
      <c r="VDR108" s="137"/>
      <c r="VDS108" s="137"/>
      <c r="VDT108" s="141"/>
      <c r="VDU108" s="137"/>
      <c r="VDV108" s="137"/>
      <c r="VDW108" s="142"/>
      <c r="VDX108" s="143"/>
      <c r="VDY108" s="144"/>
      <c r="VDZ108" s="137"/>
      <c r="VEA108" s="104"/>
      <c r="VEB108" s="243"/>
      <c r="VEC108" s="146"/>
      <c r="VED108" s="96"/>
      <c r="VEE108" s="136"/>
      <c r="VEF108" s="137"/>
      <c r="VEG108" s="137"/>
      <c r="VEH108" s="137"/>
      <c r="VEI108" s="137"/>
      <c r="VEJ108" s="137"/>
      <c r="VEK108" s="99"/>
      <c r="VEL108" s="137"/>
      <c r="VEM108" s="99"/>
      <c r="VEN108" s="138"/>
      <c r="VEO108" s="139"/>
      <c r="VEP108" s="137"/>
      <c r="VEQ108" s="140"/>
      <c r="VER108" s="141"/>
      <c r="VES108" s="141"/>
      <c r="VET108" s="137"/>
      <c r="VEU108" s="137"/>
      <c r="VEV108" s="141"/>
      <c r="VEW108" s="137"/>
      <c r="VEX108" s="137"/>
      <c r="VEY108" s="142"/>
      <c r="VEZ108" s="143"/>
      <c r="VFA108" s="144"/>
      <c r="VFB108" s="137"/>
      <c r="VFC108" s="104"/>
      <c r="VFD108" s="243"/>
      <c r="VFE108" s="146"/>
      <c r="VFF108" s="96"/>
      <c r="VFG108" s="136"/>
      <c r="VFH108" s="137"/>
      <c r="VFI108" s="137"/>
      <c r="VFJ108" s="137"/>
      <c r="VFK108" s="137"/>
      <c r="VFL108" s="137"/>
      <c r="VFM108" s="99"/>
      <c r="VFN108" s="137"/>
      <c r="VFO108" s="99"/>
      <c r="VFP108" s="138"/>
      <c r="VFQ108" s="139"/>
      <c r="VFR108" s="137"/>
      <c r="VFS108" s="140"/>
      <c r="VFT108" s="141"/>
      <c r="VFU108" s="141"/>
      <c r="VFV108" s="137"/>
      <c r="VFW108" s="137"/>
      <c r="VFX108" s="141"/>
      <c r="VFY108" s="137"/>
      <c r="VFZ108" s="137"/>
      <c r="VGA108" s="142"/>
      <c r="VGB108" s="143"/>
      <c r="VGC108" s="144"/>
      <c r="VGD108" s="137"/>
      <c r="VGE108" s="104"/>
      <c r="VGF108" s="243"/>
      <c r="VGG108" s="146"/>
      <c r="VGH108" s="96"/>
      <c r="VGI108" s="136"/>
      <c r="VGJ108" s="137"/>
      <c r="VGK108" s="137"/>
      <c r="VGL108" s="137"/>
      <c r="VGM108" s="137"/>
      <c r="VGN108" s="137"/>
      <c r="VGO108" s="99"/>
      <c r="VGP108" s="137"/>
      <c r="VGQ108" s="99"/>
      <c r="VGR108" s="138"/>
      <c r="VGS108" s="139"/>
      <c r="VGT108" s="137"/>
      <c r="VGU108" s="140"/>
      <c r="VGV108" s="141"/>
      <c r="VGW108" s="141"/>
      <c r="VGX108" s="137"/>
      <c r="VGY108" s="137"/>
      <c r="VGZ108" s="141"/>
      <c r="VHA108" s="137"/>
      <c r="VHB108" s="137"/>
      <c r="VHC108" s="142"/>
      <c r="VHD108" s="143"/>
      <c r="VHE108" s="144"/>
      <c r="VHF108" s="137"/>
      <c r="VHG108" s="104"/>
      <c r="VHH108" s="243"/>
      <c r="VHI108" s="146"/>
      <c r="VHJ108" s="96"/>
      <c r="VHK108" s="136"/>
      <c r="VHL108" s="137"/>
      <c r="VHM108" s="137"/>
      <c r="VHN108" s="137"/>
      <c r="VHO108" s="137"/>
      <c r="VHP108" s="137"/>
      <c r="VHQ108" s="99"/>
      <c r="VHR108" s="137"/>
      <c r="VHS108" s="99"/>
      <c r="VHT108" s="138"/>
      <c r="VHU108" s="139"/>
      <c r="VHV108" s="137"/>
      <c r="VHW108" s="140"/>
      <c r="VHX108" s="141"/>
      <c r="VHY108" s="141"/>
      <c r="VHZ108" s="137"/>
      <c r="VIA108" s="137"/>
      <c r="VIB108" s="141"/>
      <c r="VIC108" s="137"/>
      <c r="VID108" s="137"/>
      <c r="VIE108" s="142"/>
      <c r="VIF108" s="143"/>
      <c r="VIG108" s="144"/>
      <c r="VIH108" s="137"/>
      <c r="VII108" s="104"/>
      <c r="VIJ108" s="243"/>
      <c r="VIK108" s="146"/>
      <c r="VIL108" s="96"/>
      <c r="VIM108" s="136"/>
      <c r="VIN108" s="137"/>
      <c r="VIO108" s="137"/>
      <c r="VIP108" s="137"/>
      <c r="VIQ108" s="137"/>
      <c r="VIR108" s="137"/>
      <c r="VIS108" s="99"/>
      <c r="VIT108" s="137"/>
      <c r="VIU108" s="99"/>
      <c r="VIV108" s="138"/>
      <c r="VIW108" s="139"/>
      <c r="VIX108" s="137"/>
      <c r="VIY108" s="140"/>
      <c r="VIZ108" s="141"/>
      <c r="VJA108" s="141"/>
      <c r="VJB108" s="137"/>
      <c r="VJC108" s="137"/>
      <c r="VJD108" s="141"/>
      <c r="VJE108" s="137"/>
      <c r="VJF108" s="137"/>
      <c r="VJG108" s="142"/>
      <c r="VJH108" s="143"/>
      <c r="VJI108" s="144"/>
      <c r="VJJ108" s="137"/>
      <c r="VJK108" s="104"/>
      <c r="VJL108" s="243"/>
      <c r="VJM108" s="146"/>
      <c r="VJN108" s="96"/>
      <c r="VJO108" s="136"/>
      <c r="VJP108" s="137"/>
      <c r="VJQ108" s="137"/>
      <c r="VJR108" s="137"/>
      <c r="VJS108" s="137"/>
      <c r="VJT108" s="137"/>
      <c r="VJU108" s="99"/>
      <c r="VJV108" s="137"/>
      <c r="VJW108" s="99"/>
      <c r="VJX108" s="138"/>
      <c r="VJY108" s="139"/>
      <c r="VJZ108" s="137"/>
      <c r="VKA108" s="140"/>
      <c r="VKB108" s="141"/>
      <c r="VKC108" s="141"/>
      <c r="VKD108" s="137"/>
      <c r="VKE108" s="137"/>
      <c r="VKF108" s="141"/>
      <c r="VKG108" s="137"/>
      <c r="VKH108" s="137"/>
      <c r="VKI108" s="142"/>
      <c r="VKJ108" s="143"/>
      <c r="VKK108" s="144"/>
      <c r="VKL108" s="137"/>
      <c r="VKM108" s="104"/>
      <c r="VKN108" s="243"/>
      <c r="VKO108" s="146"/>
      <c r="VKP108" s="96"/>
      <c r="VKQ108" s="136"/>
      <c r="VKR108" s="137"/>
      <c r="VKS108" s="137"/>
      <c r="VKT108" s="137"/>
      <c r="VKU108" s="137"/>
      <c r="VKV108" s="137"/>
      <c r="VKW108" s="99"/>
      <c r="VKX108" s="137"/>
      <c r="VKY108" s="99"/>
      <c r="VKZ108" s="138"/>
      <c r="VLA108" s="139"/>
      <c r="VLB108" s="137"/>
      <c r="VLC108" s="140"/>
      <c r="VLD108" s="141"/>
      <c r="VLE108" s="141"/>
      <c r="VLF108" s="137"/>
      <c r="VLG108" s="137"/>
      <c r="VLH108" s="141"/>
      <c r="VLI108" s="137"/>
      <c r="VLJ108" s="137"/>
      <c r="VLK108" s="142"/>
      <c r="VLL108" s="143"/>
      <c r="VLM108" s="144"/>
      <c r="VLN108" s="137"/>
      <c r="VLO108" s="104"/>
      <c r="VLP108" s="243"/>
      <c r="VLQ108" s="146"/>
      <c r="VLR108" s="96"/>
      <c r="VLS108" s="136"/>
      <c r="VLT108" s="137"/>
      <c r="VLU108" s="137"/>
      <c r="VLV108" s="137"/>
      <c r="VLW108" s="137"/>
      <c r="VLX108" s="137"/>
      <c r="VLY108" s="99"/>
      <c r="VLZ108" s="137"/>
      <c r="VMA108" s="99"/>
      <c r="VMB108" s="138"/>
      <c r="VMC108" s="139"/>
      <c r="VMD108" s="137"/>
      <c r="VME108" s="140"/>
      <c r="VMF108" s="141"/>
      <c r="VMG108" s="141"/>
      <c r="VMH108" s="137"/>
      <c r="VMI108" s="137"/>
      <c r="VMJ108" s="141"/>
      <c r="VMK108" s="137"/>
      <c r="VML108" s="137"/>
      <c r="VMM108" s="142"/>
      <c r="VMN108" s="143"/>
      <c r="VMO108" s="144"/>
      <c r="VMP108" s="137"/>
      <c r="VMQ108" s="104"/>
      <c r="VMR108" s="243"/>
      <c r="VMS108" s="146"/>
      <c r="VMT108" s="96"/>
      <c r="VMU108" s="136"/>
      <c r="VMV108" s="137"/>
      <c r="VMW108" s="137"/>
      <c r="VMX108" s="137"/>
      <c r="VMY108" s="137"/>
      <c r="VMZ108" s="137"/>
      <c r="VNA108" s="99"/>
      <c r="VNB108" s="137"/>
      <c r="VNC108" s="99"/>
      <c r="VND108" s="138"/>
      <c r="VNE108" s="139"/>
      <c r="VNF108" s="137"/>
      <c r="VNG108" s="140"/>
      <c r="VNH108" s="141"/>
      <c r="VNI108" s="141"/>
      <c r="VNJ108" s="137"/>
      <c r="VNK108" s="137"/>
      <c r="VNL108" s="141"/>
      <c r="VNM108" s="137"/>
      <c r="VNN108" s="137"/>
      <c r="VNO108" s="142"/>
      <c r="VNP108" s="143"/>
      <c r="VNQ108" s="144"/>
      <c r="VNR108" s="137"/>
      <c r="VNS108" s="104"/>
      <c r="VNT108" s="243"/>
      <c r="VNU108" s="146"/>
      <c r="VNV108" s="96"/>
      <c r="VNW108" s="136"/>
      <c r="VNX108" s="137"/>
      <c r="VNY108" s="137"/>
      <c r="VNZ108" s="137"/>
      <c r="VOA108" s="137"/>
      <c r="VOB108" s="137"/>
      <c r="VOC108" s="99"/>
      <c r="VOD108" s="137"/>
      <c r="VOE108" s="99"/>
      <c r="VOF108" s="138"/>
      <c r="VOG108" s="139"/>
      <c r="VOH108" s="137"/>
      <c r="VOI108" s="140"/>
      <c r="VOJ108" s="141"/>
      <c r="VOK108" s="141"/>
      <c r="VOL108" s="137"/>
      <c r="VOM108" s="137"/>
      <c r="VON108" s="141"/>
      <c r="VOO108" s="137"/>
      <c r="VOP108" s="137"/>
      <c r="VOQ108" s="142"/>
      <c r="VOR108" s="143"/>
      <c r="VOS108" s="144"/>
      <c r="VOT108" s="137"/>
      <c r="VOU108" s="104"/>
      <c r="VOV108" s="243"/>
      <c r="VOW108" s="146"/>
      <c r="VOX108" s="96"/>
      <c r="VOY108" s="136"/>
      <c r="VOZ108" s="137"/>
      <c r="VPA108" s="137"/>
      <c r="VPB108" s="137"/>
      <c r="VPC108" s="137"/>
      <c r="VPD108" s="137"/>
      <c r="VPE108" s="99"/>
      <c r="VPF108" s="137"/>
      <c r="VPG108" s="99"/>
      <c r="VPH108" s="138"/>
      <c r="VPI108" s="139"/>
      <c r="VPJ108" s="137"/>
      <c r="VPK108" s="140"/>
      <c r="VPL108" s="141"/>
      <c r="VPM108" s="141"/>
      <c r="VPN108" s="137"/>
      <c r="VPO108" s="137"/>
      <c r="VPP108" s="141"/>
      <c r="VPQ108" s="137"/>
      <c r="VPR108" s="137"/>
      <c r="VPS108" s="142"/>
      <c r="VPT108" s="143"/>
      <c r="VPU108" s="144"/>
      <c r="VPV108" s="137"/>
      <c r="VPW108" s="104"/>
      <c r="VPX108" s="243"/>
      <c r="VPY108" s="146"/>
      <c r="VPZ108" s="96"/>
      <c r="VQA108" s="136"/>
      <c r="VQB108" s="137"/>
      <c r="VQC108" s="137"/>
      <c r="VQD108" s="137"/>
      <c r="VQE108" s="137"/>
      <c r="VQF108" s="137"/>
      <c r="VQG108" s="99"/>
      <c r="VQH108" s="137"/>
      <c r="VQI108" s="99"/>
      <c r="VQJ108" s="138"/>
      <c r="VQK108" s="139"/>
      <c r="VQL108" s="137"/>
      <c r="VQM108" s="140"/>
      <c r="VQN108" s="141"/>
      <c r="VQO108" s="141"/>
      <c r="VQP108" s="137"/>
      <c r="VQQ108" s="137"/>
      <c r="VQR108" s="141"/>
      <c r="VQS108" s="137"/>
      <c r="VQT108" s="137"/>
      <c r="VQU108" s="142"/>
      <c r="VQV108" s="143"/>
      <c r="VQW108" s="144"/>
      <c r="VQX108" s="137"/>
      <c r="VQY108" s="104"/>
      <c r="VQZ108" s="243"/>
      <c r="VRA108" s="146"/>
      <c r="VRB108" s="96"/>
      <c r="VRC108" s="136"/>
      <c r="VRD108" s="137"/>
      <c r="VRE108" s="137"/>
      <c r="VRF108" s="137"/>
      <c r="VRG108" s="137"/>
      <c r="VRH108" s="137"/>
      <c r="VRI108" s="99"/>
      <c r="VRJ108" s="137"/>
      <c r="VRK108" s="99"/>
      <c r="VRL108" s="138"/>
      <c r="VRM108" s="139"/>
      <c r="VRN108" s="137"/>
      <c r="VRO108" s="140"/>
      <c r="VRP108" s="141"/>
      <c r="VRQ108" s="141"/>
      <c r="VRR108" s="137"/>
      <c r="VRS108" s="137"/>
      <c r="VRT108" s="141"/>
      <c r="VRU108" s="137"/>
      <c r="VRV108" s="137"/>
      <c r="VRW108" s="142"/>
      <c r="VRX108" s="143"/>
      <c r="VRY108" s="144"/>
      <c r="VRZ108" s="137"/>
      <c r="VSA108" s="104"/>
      <c r="VSB108" s="243"/>
      <c r="VSC108" s="146"/>
      <c r="VSD108" s="96"/>
      <c r="VSE108" s="136"/>
      <c r="VSF108" s="137"/>
      <c r="VSG108" s="137"/>
      <c r="VSH108" s="137"/>
      <c r="VSI108" s="137"/>
      <c r="VSJ108" s="137"/>
      <c r="VSK108" s="99"/>
      <c r="VSL108" s="137"/>
      <c r="VSM108" s="99"/>
      <c r="VSN108" s="138"/>
      <c r="VSO108" s="139"/>
      <c r="VSP108" s="137"/>
      <c r="VSQ108" s="140"/>
      <c r="VSR108" s="141"/>
      <c r="VSS108" s="141"/>
      <c r="VST108" s="137"/>
      <c r="VSU108" s="137"/>
      <c r="VSV108" s="141"/>
      <c r="VSW108" s="137"/>
      <c r="VSX108" s="137"/>
      <c r="VSY108" s="142"/>
      <c r="VSZ108" s="143"/>
      <c r="VTA108" s="144"/>
      <c r="VTB108" s="137"/>
      <c r="VTC108" s="104"/>
      <c r="VTD108" s="243"/>
      <c r="VTE108" s="146"/>
      <c r="VTF108" s="96"/>
      <c r="VTG108" s="136"/>
      <c r="VTH108" s="137"/>
      <c r="VTI108" s="137"/>
      <c r="VTJ108" s="137"/>
      <c r="VTK108" s="137"/>
      <c r="VTL108" s="137"/>
      <c r="VTM108" s="99"/>
      <c r="VTN108" s="137"/>
      <c r="VTO108" s="99"/>
      <c r="VTP108" s="138"/>
      <c r="VTQ108" s="139"/>
      <c r="VTR108" s="137"/>
      <c r="VTS108" s="140"/>
      <c r="VTT108" s="141"/>
      <c r="VTU108" s="141"/>
      <c r="VTV108" s="137"/>
      <c r="VTW108" s="137"/>
      <c r="VTX108" s="141"/>
      <c r="VTY108" s="137"/>
      <c r="VTZ108" s="137"/>
      <c r="VUA108" s="142"/>
      <c r="VUB108" s="143"/>
      <c r="VUC108" s="144"/>
      <c r="VUD108" s="137"/>
      <c r="VUE108" s="104"/>
      <c r="VUF108" s="243"/>
      <c r="VUG108" s="146"/>
      <c r="VUH108" s="96"/>
      <c r="VUI108" s="136"/>
      <c r="VUJ108" s="137"/>
      <c r="VUK108" s="137"/>
      <c r="VUL108" s="137"/>
      <c r="VUM108" s="137"/>
      <c r="VUN108" s="137"/>
      <c r="VUO108" s="99"/>
      <c r="VUP108" s="137"/>
      <c r="VUQ108" s="99"/>
      <c r="VUR108" s="138"/>
      <c r="VUS108" s="139"/>
      <c r="VUT108" s="137"/>
      <c r="VUU108" s="140"/>
      <c r="VUV108" s="141"/>
      <c r="VUW108" s="141"/>
      <c r="VUX108" s="137"/>
      <c r="VUY108" s="137"/>
      <c r="VUZ108" s="141"/>
      <c r="VVA108" s="137"/>
      <c r="VVB108" s="137"/>
      <c r="VVC108" s="142"/>
      <c r="VVD108" s="143"/>
      <c r="VVE108" s="144"/>
      <c r="VVF108" s="137"/>
      <c r="VVG108" s="104"/>
      <c r="VVH108" s="243"/>
      <c r="VVI108" s="146"/>
      <c r="VVJ108" s="96"/>
      <c r="VVK108" s="136"/>
      <c r="VVL108" s="137"/>
      <c r="VVM108" s="137"/>
      <c r="VVN108" s="137"/>
      <c r="VVO108" s="137"/>
      <c r="VVP108" s="137"/>
      <c r="VVQ108" s="99"/>
      <c r="VVR108" s="137"/>
      <c r="VVS108" s="99"/>
      <c r="VVT108" s="138"/>
      <c r="VVU108" s="139"/>
      <c r="VVV108" s="137"/>
      <c r="VVW108" s="140"/>
      <c r="VVX108" s="141"/>
      <c r="VVY108" s="141"/>
      <c r="VVZ108" s="137"/>
      <c r="VWA108" s="137"/>
      <c r="VWB108" s="141"/>
      <c r="VWC108" s="137"/>
      <c r="VWD108" s="137"/>
      <c r="VWE108" s="142"/>
      <c r="VWF108" s="143"/>
      <c r="VWG108" s="144"/>
      <c r="VWH108" s="137"/>
      <c r="VWI108" s="104"/>
      <c r="VWJ108" s="243"/>
      <c r="VWK108" s="146"/>
      <c r="VWL108" s="96"/>
      <c r="VWM108" s="136"/>
      <c r="VWN108" s="137"/>
      <c r="VWO108" s="137"/>
      <c r="VWP108" s="137"/>
      <c r="VWQ108" s="137"/>
      <c r="VWR108" s="137"/>
      <c r="VWS108" s="99"/>
      <c r="VWT108" s="137"/>
      <c r="VWU108" s="99"/>
      <c r="VWV108" s="138"/>
      <c r="VWW108" s="139"/>
      <c r="VWX108" s="137"/>
      <c r="VWY108" s="140"/>
      <c r="VWZ108" s="141"/>
      <c r="VXA108" s="141"/>
      <c r="VXB108" s="137"/>
      <c r="VXC108" s="137"/>
      <c r="VXD108" s="141"/>
      <c r="VXE108" s="137"/>
      <c r="VXF108" s="137"/>
      <c r="VXG108" s="142"/>
      <c r="VXH108" s="143"/>
      <c r="VXI108" s="144"/>
      <c r="VXJ108" s="137"/>
      <c r="VXK108" s="104"/>
      <c r="VXL108" s="243"/>
      <c r="VXM108" s="146"/>
      <c r="VXN108" s="96"/>
      <c r="VXO108" s="136"/>
      <c r="VXP108" s="137"/>
      <c r="VXQ108" s="137"/>
      <c r="VXR108" s="137"/>
      <c r="VXS108" s="137"/>
      <c r="VXT108" s="137"/>
      <c r="VXU108" s="99"/>
      <c r="VXV108" s="137"/>
      <c r="VXW108" s="99"/>
      <c r="VXX108" s="138"/>
      <c r="VXY108" s="139"/>
      <c r="VXZ108" s="137"/>
      <c r="VYA108" s="140"/>
      <c r="VYB108" s="141"/>
      <c r="VYC108" s="141"/>
      <c r="VYD108" s="137"/>
      <c r="VYE108" s="137"/>
      <c r="VYF108" s="141"/>
      <c r="VYG108" s="137"/>
      <c r="VYH108" s="137"/>
      <c r="VYI108" s="142"/>
      <c r="VYJ108" s="143"/>
      <c r="VYK108" s="144"/>
      <c r="VYL108" s="137"/>
      <c r="VYM108" s="104"/>
      <c r="VYN108" s="243"/>
      <c r="VYO108" s="146"/>
      <c r="VYP108" s="96"/>
      <c r="VYQ108" s="136"/>
      <c r="VYR108" s="137"/>
      <c r="VYS108" s="137"/>
      <c r="VYT108" s="137"/>
      <c r="VYU108" s="137"/>
      <c r="VYV108" s="137"/>
      <c r="VYW108" s="99"/>
      <c r="VYX108" s="137"/>
      <c r="VYY108" s="99"/>
      <c r="VYZ108" s="138"/>
      <c r="VZA108" s="139"/>
      <c r="VZB108" s="137"/>
      <c r="VZC108" s="140"/>
      <c r="VZD108" s="141"/>
      <c r="VZE108" s="141"/>
      <c r="VZF108" s="137"/>
      <c r="VZG108" s="137"/>
      <c r="VZH108" s="141"/>
      <c r="VZI108" s="137"/>
      <c r="VZJ108" s="137"/>
      <c r="VZK108" s="142"/>
      <c r="VZL108" s="143"/>
      <c r="VZM108" s="144"/>
      <c r="VZN108" s="137"/>
      <c r="VZO108" s="104"/>
      <c r="VZP108" s="243"/>
      <c r="VZQ108" s="146"/>
      <c r="VZR108" s="96"/>
      <c r="VZS108" s="136"/>
      <c r="VZT108" s="137"/>
      <c r="VZU108" s="137"/>
      <c r="VZV108" s="137"/>
      <c r="VZW108" s="137"/>
      <c r="VZX108" s="137"/>
      <c r="VZY108" s="99"/>
      <c r="VZZ108" s="137"/>
      <c r="WAA108" s="99"/>
      <c r="WAB108" s="138"/>
      <c r="WAC108" s="139"/>
      <c r="WAD108" s="137"/>
      <c r="WAE108" s="140"/>
      <c r="WAF108" s="141"/>
      <c r="WAG108" s="141"/>
      <c r="WAH108" s="137"/>
      <c r="WAI108" s="137"/>
      <c r="WAJ108" s="141"/>
      <c r="WAK108" s="137"/>
      <c r="WAL108" s="137"/>
      <c r="WAM108" s="142"/>
      <c r="WAN108" s="143"/>
      <c r="WAO108" s="144"/>
      <c r="WAP108" s="137"/>
      <c r="WAQ108" s="104"/>
      <c r="WAR108" s="243"/>
      <c r="WAS108" s="146"/>
      <c r="WAT108" s="96"/>
      <c r="WAU108" s="136"/>
      <c r="WAV108" s="137"/>
      <c r="WAW108" s="137"/>
      <c r="WAX108" s="137"/>
      <c r="WAY108" s="137"/>
      <c r="WAZ108" s="137"/>
      <c r="WBA108" s="99"/>
      <c r="WBB108" s="137"/>
      <c r="WBC108" s="99"/>
      <c r="WBD108" s="138"/>
      <c r="WBE108" s="139"/>
      <c r="WBF108" s="137"/>
      <c r="WBG108" s="140"/>
      <c r="WBH108" s="141"/>
      <c r="WBI108" s="141"/>
      <c r="WBJ108" s="137"/>
      <c r="WBK108" s="137"/>
      <c r="WBL108" s="141"/>
      <c r="WBM108" s="137"/>
      <c r="WBN108" s="137"/>
      <c r="WBO108" s="142"/>
      <c r="WBP108" s="143"/>
      <c r="WBQ108" s="144"/>
      <c r="WBR108" s="137"/>
      <c r="WBS108" s="104"/>
      <c r="WBT108" s="243"/>
      <c r="WBU108" s="146"/>
      <c r="WBV108" s="96"/>
      <c r="WBW108" s="136"/>
      <c r="WBX108" s="137"/>
      <c r="WBY108" s="137"/>
      <c r="WBZ108" s="137"/>
      <c r="WCA108" s="137"/>
      <c r="WCB108" s="137"/>
      <c r="WCC108" s="99"/>
      <c r="WCD108" s="137"/>
      <c r="WCE108" s="99"/>
      <c r="WCF108" s="138"/>
      <c r="WCG108" s="139"/>
      <c r="WCH108" s="137"/>
      <c r="WCI108" s="140"/>
      <c r="WCJ108" s="141"/>
      <c r="WCK108" s="141"/>
      <c r="WCL108" s="137"/>
      <c r="WCM108" s="137"/>
      <c r="WCN108" s="141"/>
      <c r="WCO108" s="137"/>
      <c r="WCP108" s="137"/>
      <c r="WCQ108" s="142"/>
      <c r="WCR108" s="143"/>
      <c r="WCS108" s="144"/>
      <c r="WCT108" s="137"/>
      <c r="WCU108" s="104"/>
      <c r="WCV108" s="243"/>
      <c r="WCW108" s="146"/>
      <c r="WCX108" s="96"/>
      <c r="WCY108" s="136"/>
      <c r="WCZ108" s="137"/>
      <c r="WDA108" s="137"/>
      <c r="WDB108" s="137"/>
      <c r="WDC108" s="137"/>
      <c r="WDD108" s="137"/>
      <c r="WDE108" s="99"/>
      <c r="WDF108" s="137"/>
      <c r="WDG108" s="99"/>
      <c r="WDH108" s="138"/>
      <c r="WDI108" s="139"/>
      <c r="WDJ108" s="137"/>
      <c r="WDK108" s="140"/>
      <c r="WDL108" s="141"/>
      <c r="WDM108" s="141"/>
      <c r="WDN108" s="137"/>
      <c r="WDO108" s="137"/>
      <c r="WDP108" s="141"/>
      <c r="WDQ108" s="137"/>
      <c r="WDR108" s="137"/>
      <c r="WDS108" s="142"/>
      <c r="WDT108" s="143"/>
      <c r="WDU108" s="144"/>
      <c r="WDV108" s="137"/>
      <c r="WDW108" s="104"/>
      <c r="WDX108" s="243"/>
      <c r="WDY108" s="146"/>
      <c r="WDZ108" s="96"/>
      <c r="WEA108" s="136"/>
      <c r="WEB108" s="137"/>
      <c r="WEC108" s="137"/>
      <c r="WED108" s="137"/>
      <c r="WEE108" s="137"/>
      <c r="WEF108" s="137"/>
      <c r="WEG108" s="99"/>
      <c r="WEH108" s="137"/>
      <c r="WEI108" s="99"/>
      <c r="WEJ108" s="138"/>
      <c r="WEK108" s="139"/>
      <c r="WEL108" s="137"/>
      <c r="WEM108" s="140"/>
      <c r="WEN108" s="141"/>
      <c r="WEO108" s="141"/>
      <c r="WEP108" s="137"/>
      <c r="WEQ108" s="137"/>
      <c r="WER108" s="141"/>
      <c r="WES108" s="137"/>
      <c r="WET108" s="137"/>
      <c r="WEU108" s="142"/>
      <c r="WEV108" s="143"/>
      <c r="WEW108" s="144"/>
      <c r="WEX108" s="137"/>
      <c r="WEY108" s="104"/>
      <c r="WEZ108" s="243"/>
      <c r="WFA108" s="146"/>
      <c r="WFB108" s="96"/>
      <c r="WFC108" s="136"/>
      <c r="WFD108" s="137"/>
      <c r="WFE108" s="137"/>
      <c r="WFF108" s="137"/>
      <c r="WFG108" s="137"/>
      <c r="WFH108" s="137"/>
      <c r="WFI108" s="99"/>
      <c r="WFJ108" s="137"/>
      <c r="WFK108" s="99"/>
      <c r="WFL108" s="138"/>
      <c r="WFM108" s="139"/>
      <c r="WFN108" s="137"/>
      <c r="WFO108" s="140"/>
      <c r="WFP108" s="141"/>
      <c r="WFQ108" s="141"/>
      <c r="WFR108" s="137"/>
      <c r="WFS108" s="137"/>
      <c r="WFT108" s="141"/>
      <c r="WFU108" s="137"/>
      <c r="WFV108" s="137"/>
      <c r="WFW108" s="142"/>
      <c r="WFX108" s="143"/>
      <c r="WFY108" s="144"/>
      <c r="WFZ108" s="137"/>
      <c r="WGA108" s="104"/>
      <c r="WGB108" s="243"/>
      <c r="WGC108" s="146"/>
      <c r="WGD108" s="96"/>
      <c r="WGE108" s="136"/>
      <c r="WGF108" s="137"/>
      <c r="WGG108" s="137"/>
      <c r="WGH108" s="137"/>
      <c r="WGI108" s="137"/>
      <c r="WGJ108" s="137"/>
      <c r="WGK108" s="99"/>
      <c r="WGL108" s="137"/>
      <c r="WGM108" s="99"/>
      <c r="WGN108" s="138"/>
      <c r="WGO108" s="139"/>
      <c r="WGP108" s="137"/>
      <c r="WGQ108" s="140"/>
      <c r="WGR108" s="141"/>
      <c r="WGS108" s="141"/>
      <c r="WGT108" s="137"/>
      <c r="WGU108" s="137"/>
      <c r="WGV108" s="141"/>
      <c r="WGW108" s="137"/>
      <c r="WGX108" s="137"/>
      <c r="WGY108" s="142"/>
      <c r="WGZ108" s="143"/>
      <c r="WHA108" s="144"/>
      <c r="WHB108" s="137"/>
      <c r="WHC108" s="104"/>
      <c r="WHD108" s="243"/>
      <c r="WHE108" s="146"/>
      <c r="WHF108" s="96"/>
      <c r="WHG108" s="136"/>
      <c r="WHH108" s="137"/>
      <c r="WHI108" s="137"/>
      <c r="WHJ108" s="137"/>
      <c r="WHK108" s="137"/>
      <c r="WHL108" s="137"/>
      <c r="WHM108" s="99"/>
      <c r="WHN108" s="137"/>
      <c r="WHO108" s="99"/>
      <c r="WHP108" s="138"/>
      <c r="WHQ108" s="139"/>
      <c r="WHR108" s="137"/>
      <c r="WHS108" s="140"/>
      <c r="WHT108" s="141"/>
      <c r="WHU108" s="141"/>
      <c r="WHV108" s="137"/>
      <c r="WHW108" s="137"/>
      <c r="WHX108" s="141"/>
      <c r="WHY108" s="137"/>
      <c r="WHZ108" s="137"/>
      <c r="WIA108" s="142"/>
      <c r="WIB108" s="143"/>
      <c r="WIC108" s="144"/>
      <c r="WID108" s="137"/>
      <c r="WIE108" s="104"/>
      <c r="WIF108" s="243"/>
      <c r="WIG108" s="146"/>
      <c r="WIH108" s="96"/>
      <c r="WII108" s="136"/>
      <c r="WIJ108" s="137"/>
      <c r="WIK108" s="137"/>
      <c r="WIL108" s="137"/>
      <c r="WIM108" s="137"/>
      <c r="WIN108" s="137"/>
      <c r="WIO108" s="99"/>
      <c r="WIP108" s="137"/>
      <c r="WIQ108" s="99"/>
      <c r="WIR108" s="138"/>
      <c r="WIS108" s="139"/>
      <c r="WIT108" s="137"/>
      <c r="WIU108" s="140"/>
      <c r="WIV108" s="141"/>
      <c r="WIW108" s="141"/>
      <c r="WIX108" s="137"/>
      <c r="WIY108" s="137"/>
      <c r="WIZ108" s="141"/>
      <c r="WJA108" s="137"/>
      <c r="WJB108" s="137"/>
      <c r="WJC108" s="142"/>
      <c r="WJD108" s="143"/>
      <c r="WJE108" s="144"/>
      <c r="WJF108" s="137"/>
      <c r="WJG108" s="104"/>
      <c r="WJH108" s="243"/>
      <c r="WJI108" s="146"/>
      <c r="WJJ108" s="96"/>
      <c r="WJK108" s="136"/>
      <c r="WJL108" s="137"/>
      <c r="WJM108" s="137"/>
      <c r="WJN108" s="137"/>
      <c r="WJO108" s="137"/>
      <c r="WJP108" s="137"/>
      <c r="WJQ108" s="99"/>
      <c r="WJR108" s="137"/>
      <c r="WJS108" s="99"/>
      <c r="WJT108" s="138"/>
      <c r="WJU108" s="139"/>
      <c r="WJV108" s="137"/>
      <c r="WJW108" s="140"/>
      <c r="WJX108" s="141"/>
      <c r="WJY108" s="141"/>
      <c r="WJZ108" s="137"/>
      <c r="WKA108" s="137"/>
      <c r="WKB108" s="141"/>
      <c r="WKC108" s="137"/>
      <c r="WKD108" s="137"/>
      <c r="WKE108" s="142"/>
      <c r="WKF108" s="143"/>
      <c r="WKG108" s="144"/>
      <c r="WKH108" s="137"/>
      <c r="WKI108" s="104"/>
      <c r="WKJ108" s="243"/>
      <c r="WKK108" s="146"/>
      <c r="WKL108" s="96"/>
      <c r="WKM108" s="136"/>
      <c r="WKN108" s="137"/>
      <c r="WKO108" s="137"/>
      <c r="WKP108" s="137"/>
      <c r="WKQ108" s="137"/>
      <c r="WKR108" s="137"/>
      <c r="WKS108" s="99"/>
      <c r="WKT108" s="137"/>
      <c r="WKU108" s="99"/>
      <c r="WKV108" s="138"/>
      <c r="WKW108" s="139"/>
      <c r="WKX108" s="137"/>
      <c r="WKY108" s="140"/>
      <c r="WKZ108" s="141"/>
      <c r="WLA108" s="141"/>
      <c r="WLB108" s="137"/>
      <c r="WLC108" s="137"/>
      <c r="WLD108" s="141"/>
      <c r="WLE108" s="137"/>
      <c r="WLF108" s="137"/>
      <c r="WLG108" s="142"/>
      <c r="WLH108" s="143"/>
      <c r="WLI108" s="144"/>
      <c r="WLJ108" s="137"/>
      <c r="WLK108" s="104"/>
      <c r="WLL108" s="243"/>
      <c r="WLM108" s="146"/>
      <c r="WLN108" s="96"/>
      <c r="WLO108" s="136"/>
      <c r="WLP108" s="137"/>
      <c r="WLQ108" s="137"/>
      <c r="WLR108" s="137"/>
      <c r="WLS108" s="137"/>
      <c r="WLT108" s="137"/>
      <c r="WLU108" s="99"/>
      <c r="WLV108" s="137"/>
      <c r="WLW108" s="99"/>
      <c r="WLX108" s="138"/>
      <c r="WLY108" s="139"/>
      <c r="WLZ108" s="137"/>
      <c r="WMA108" s="140"/>
      <c r="WMB108" s="141"/>
      <c r="WMC108" s="141"/>
      <c r="WMD108" s="137"/>
      <c r="WME108" s="137"/>
      <c r="WMF108" s="141"/>
      <c r="WMG108" s="137"/>
      <c r="WMH108" s="137"/>
      <c r="WMI108" s="142"/>
      <c r="WMJ108" s="143"/>
      <c r="WMK108" s="144"/>
      <c r="WML108" s="137"/>
      <c r="WMM108" s="104"/>
      <c r="WMN108" s="243"/>
      <c r="WMO108" s="146"/>
      <c r="WMP108" s="96"/>
      <c r="WMQ108" s="136"/>
      <c r="WMR108" s="137"/>
      <c r="WMS108" s="137"/>
      <c r="WMT108" s="137"/>
      <c r="WMU108" s="137"/>
      <c r="WMV108" s="137"/>
      <c r="WMW108" s="99"/>
      <c r="WMX108" s="137"/>
      <c r="WMY108" s="99"/>
      <c r="WMZ108" s="138"/>
      <c r="WNA108" s="139"/>
      <c r="WNB108" s="137"/>
      <c r="WNC108" s="140"/>
      <c r="WND108" s="141"/>
      <c r="WNE108" s="141"/>
      <c r="WNF108" s="137"/>
      <c r="WNG108" s="137"/>
      <c r="WNH108" s="141"/>
      <c r="WNI108" s="137"/>
      <c r="WNJ108" s="137"/>
      <c r="WNK108" s="142"/>
      <c r="WNL108" s="143"/>
      <c r="WNM108" s="144"/>
      <c r="WNN108" s="137"/>
      <c r="WNO108" s="104"/>
      <c r="WNP108" s="243"/>
      <c r="WNQ108" s="146"/>
      <c r="WNR108" s="96"/>
      <c r="WNS108" s="136"/>
      <c r="WNT108" s="137"/>
      <c r="WNU108" s="137"/>
      <c r="WNV108" s="137"/>
      <c r="WNW108" s="137"/>
      <c r="WNX108" s="137"/>
      <c r="WNY108" s="99"/>
      <c r="WNZ108" s="137"/>
      <c r="WOA108" s="99"/>
      <c r="WOB108" s="138"/>
      <c r="WOC108" s="139"/>
      <c r="WOD108" s="137"/>
      <c r="WOE108" s="140"/>
      <c r="WOF108" s="141"/>
      <c r="WOG108" s="141"/>
      <c r="WOH108" s="137"/>
      <c r="WOI108" s="137"/>
      <c r="WOJ108" s="141"/>
      <c r="WOK108" s="137"/>
      <c r="WOL108" s="137"/>
      <c r="WOM108" s="142"/>
      <c r="WON108" s="143"/>
      <c r="WOO108" s="144"/>
      <c r="WOP108" s="137"/>
      <c r="WOQ108" s="104"/>
      <c r="WOR108" s="243"/>
      <c r="WOS108" s="146"/>
      <c r="WOT108" s="96"/>
      <c r="WOU108" s="136"/>
      <c r="WOV108" s="137"/>
      <c r="WOW108" s="137"/>
      <c r="WOX108" s="137"/>
      <c r="WOY108" s="137"/>
      <c r="WOZ108" s="137"/>
      <c r="WPA108" s="99"/>
      <c r="WPB108" s="137"/>
      <c r="WPC108" s="99"/>
      <c r="WPD108" s="138"/>
      <c r="WPE108" s="139"/>
      <c r="WPF108" s="137"/>
      <c r="WPG108" s="140"/>
      <c r="WPH108" s="141"/>
      <c r="WPI108" s="141"/>
      <c r="WPJ108" s="137"/>
      <c r="WPK108" s="137"/>
      <c r="WPL108" s="141"/>
      <c r="WPM108" s="137"/>
      <c r="WPN108" s="137"/>
      <c r="WPO108" s="142"/>
      <c r="WPP108" s="143"/>
      <c r="WPQ108" s="144"/>
      <c r="WPR108" s="137"/>
      <c r="WPS108" s="104"/>
      <c r="WPT108" s="243"/>
      <c r="WPU108" s="146"/>
      <c r="WPV108" s="96"/>
      <c r="WPW108" s="136"/>
      <c r="WPX108" s="137"/>
      <c r="WPY108" s="137"/>
      <c r="WPZ108" s="137"/>
      <c r="WQA108" s="137"/>
      <c r="WQB108" s="137"/>
      <c r="WQC108" s="99"/>
      <c r="WQD108" s="137"/>
      <c r="WQE108" s="99"/>
      <c r="WQF108" s="138"/>
      <c r="WQG108" s="139"/>
      <c r="WQH108" s="137"/>
      <c r="WQI108" s="140"/>
      <c r="WQJ108" s="141"/>
      <c r="WQK108" s="141"/>
      <c r="WQL108" s="137"/>
      <c r="WQM108" s="137"/>
      <c r="WQN108" s="141"/>
      <c r="WQO108" s="137"/>
      <c r="WQP108" s="137"/>
      <c r="WQQ108" s="142"/>
      <c r="WQR108" s="143"/>
      <c r="WQS108" s="144"/>
      <c r="WQT108" s="137"/>
      <c r="WQU108" s="104"/>
      <c r="WQV108" s="243"/>
      <c r="WQW108" s="146"/>
      <c r="WQX108" s="96"/>
      <c r="WQY108" s="136"/>
      <c r="WQZ108" s="137"/>
      <c r="WRA108" s="137"/>
      <c r="WRB108" s="137"/>
      <c r="WRC108" s="137"/>
      <c r="WRD108" s="137"/>
      <c r="WRE108" s="99"/>
      <c r="WRF108" s="137"/>
      <c r="WRG108" s="99"/>
      <c r="WRH108" s="138"/>
      <c r="WRI108" s="139"/>
      <c r="WRJ108" s="137"/>
      <c r="WRK108" s="140"/>
      <c r="WRL108" s="141"/>
      <c r="WRM108" s="141"/>
      <c r="WRN108" s="137"/>
      <c r="WRO108" s="137"/>
      <c r="WRP108" s="141"/>
      <c r="WRQ108" s="137"/>
      <c r="WRR108" s="137"/>
      <c r="WRS108" s="142"/>
      <c r="WRT108" s="143"/>
      <c r="WRU108" s="144"/>
      <c r="WRV108" s="137"/>
      <c r="WRW108" s="104"/>
      <c r="WRX108" s="243"/>
      <c r="WRY108" s="146"/>
      <c r="WRZ108" s="96"/>
      <c r="WSA108" s="136"/>
      <c r="WSB108" s="137"/>
      <c r="WSC108" s="137"/>
      <c r="WSD108" s="137"/>
      <c r="WSE108" s="137"/>
      <c r="WSF108" s="137"/>
      <c r="WSG108" s="99"/>
      <c r="WSH108" s="137"/>
      <c r="WSI108" s="99"/>
      <c r="WSJ108" s="138"/>
      <c r="WSK108" s="139"/>
      <c r="WSL108" s="137"/>
      <c r="WSM108" s="140"/>
      <c r="WSN108" s="141"/>
      <c r="WSO108" s="141"/>
      <c r="WSP108" s="137"/>
      <c r="WSQ108" s="137"/>
      <c r="WSR108" s="141"/>
      <c r="WSS108" s="137"/>
      <c r="WST108" s="137"/>
      <c r="WSU108" s="142"/>
      <c r="WSV108" s="143"/>
      <c r="WSW108" s="144"/>
      <c r="WSX108" s="137"/>
      <c r="WSY108" s="104"/>
      <c r="WSZ108" s="243"/>
      <c r="WTA108" s="146"/>
      <c r="WTB108" s="96"/>
      <c r="WTC108" s="136"/>
      <c r="WTD108" s="137"/>
      <c r="WTE108" s="137"/>
      <c r="WTF108" s="137"/>
      <c r="WTG108" s="137"/>
      <c r="WTH108" s="137"/>
      <c r="WTI108" s="99"/>
      <c r="WTJ108" s="137"/>
      <c r="WTK108" s="99"/>
      <c r="WTL108" s="138"/>
      <c r="WTM108" s="139"/>
      <c r="WTN108" s="137"/>
      <c r="WTO108" s="140"/>
      <c r="WTP108" s="141"/>
      <c r="WTQ108" s="141"/>
      <c r="WTR108" s="137"/>
      <c r="WTS108" s="137"/>
      <c r="WTT108" s="141"/>
      <c r="WTU108" s="137"/>
      <c r="WTV108" s="137"/>
      <c r="WTW108" s="142"/>
      <c r="WTX108" s="143"/>
      <c r="WTY108" s="144"/>
      <c r="WTZ108" s="137"/>
      <c r="WUA108" s="104"/>
      <c r="WUB108" s="243"/>
      <c r="WUC108" s="146"/>
      <c r="WUD108" s="96"/>
      <c r="WUE108" s="136"/>
      <c r="WUF108" s="137"/>
      <c r="WUG108" s="137"/>
      <c r="WUH108" s="137"/>
      <c r="WUI108" s="137"/>
      <c r="WUJ108" s="137"/>
      <c r="WUK108" s="99"/>
      <c r="WUL108" s="137"/>
      <c r="WUM108" s="99"/>
      <c r="WUN108" s="138"/>
      <c r="WUO108" s="139"/>
      <c r="WUP108" s="137"/>
      <c r="WUQ108" s="140"/>
      <c r="WUR108" s="141"/>
      <c r="WUS108" s="141"/>
      <c r="WUT108" s="137"/>
      <c r="WUU108" s="137"/>
      <c r="WUV108" s="141"/>
      <c r="WUW108" s="137"/>
      <c r="WUX108" s="137"/>
      <c r="WUY108" s="142"/>
      <c r="WUZ108" s="143"/>
      <c r="WVA108" s="144"/>
      <c r="WVB108" s="137"/>
      <c r="WVC108" s="104"/>
      <c r="WVD108" s="243"/>
      <c r="WVE108" s="146"/>
      <c r="WVF108" s="96"/>
      <c r="WVG108" s="136"/>
      <c r="WVH108" s="137"/>
      <c r="WVI108" s="137"/>
      <c r="WVJ108" s="137"/>
      <c r="WVK108" s="137"/>
      <c r="WVL108" s="137"/>
      <c r="WVM108" s="99"/>
      <c r="WVN108" s="137"/>
      <c r="WVO108" s="99"/>
      <c r="WVP108" s="138"/>
      <c r="WVQ108" s="139"/>
      <c r="WVR108" s="137"/>
      <c r="WVS108" s="140"/>
      <c r="WVT108" s="141"/>
      <c r="WVU108" s="141"/>
      <c r="WVV108" s="137"/>
      <c r="WVW108" s="137"/>
      <c r="WVX108" s="141"/>
      <c r="WVY108" s="137"/>
      <c r="WVZ108" s="137"/>
      <c r="WWA108" s="142"/>
      <c r="WWB108" s="143"/>
      <c r="WWC108" s="144"/>
      <c r="WWD108" s="137"/>
      <c r="WWE108" s="104"/>
      <c r="WWF108" s="243"/>
      <c r="WWG108" s="146"/>
      <c r="WWH108" s="96"/>
      <c r="WWI108" s="136"/>
      <c r="WWJ108" s="137"/>
      <c r="WWK108" s="137"/>
      <c r="WWL108" s="137"/>
      <c r="WWM108" s="137"/>
      <c r="WWN108" s="137"/>
      <c r="WWO108" s="99"/>
      <c r="WWP108" s="137"/>
      <c r="WWQ108" s="99"/>
      <c r="WWR108" s="138"/>
      <c r="WWS108" s="139"/>
      <c r="WWT108" s="137"/>
      <c r="WWU108" s="140"/>
      <c r="WWV108" s="141"/>
      <c r="WWW108" s="141"/>
      <c r="WWX108" s="137"/>
      <c r="WWY108" s="137"/>
      <c r="WWZ108" s="141"/>
      <c r="WXA108" s="137"/>
      <c r="WXB108" s="137"/>
      <c r="WXC108" s="142"/>
      <c r="WXD108" s="143"/>
      <c r="WXE108" s="144"/>
      <c r="WXF108" s="137"/>
      <c r="WXG108" s="104"/>
      <c r="WXH108" s="243"/>
      <c r="WXI108" s="146"/>
      <c r="WXJ108" s="96"/>
      <c r="WXK108" s="136"/>
      <c r="WXL108" s="137"/>
      <c r="WXM108" s="137"/>
      <c r="WXN108" s="137"/>
      <c r="WXO108" s="137"/>
      <c r="WXP108" s="137"/>
      <c r="WXQ108" s="99"/>
      <c r="WXR108" s="137"/>
      <c r="WXS108" s="99"/>
      <c r="WXT108" s="138"/>
      <c r="WXU108" s="139"/>
      <c r="WXV108" s="137"/>
      <c r="WXW108" s="140"/>
      <c r="WXX108" s="141"/>
      <c r="WXY108" s="141"/>
      <c r="WXZ108" s="137"/>
      <c r="WYA108" s="137"/>
      <c r="WYB108" s="141"/>
      <c r="WYC108" s="137"/>
      <c r="WYD108" s="137"/>
      <c r="WYE108" s="142"/>
      <c r="WYF108" s="143"/>
      <c r="WYG108" s="144"/>
      <c r="WYH108" s="137"/>
      <c r="WYI108" s="104"/>
      <c r="WYJ108" s="243"/>
      <c r="WYK108" s="146"/>
      <c r="WYL108" s="96"/>
      <c r="WYM108" s="136"/>
      <c r="WYN108" s="137"/>
      <c r="WYO108" s="137"/>
      <c r="WYP108" s="137"/>
      <c r="WYQ108" s="137"/>
      <c r="WYR108" s="137"/>
      <c r="WYS108" s="99"/>
      <c r="WYT108" s="137"/>
      <c r="WYU108" s="99"/>
      <c r="WYV108" s="138"/>
      <c r="WYW108" s="139"/>
      <c r="WYX108" s="137"/>
      <c r="WYY108" s="140"/>
      <c r="WYZ108" s="141"/>
      <c r="WZA108" s="141"/>
      <c r="WZB108" s="137"/>
      <c r="WZC108" s="137"/>
      <c r="WZD108" s="141"/>
      <c r="WZE108" s="137"/>
      <c r="WZF108" s="137"/>
      <c r="WZG108" s="142"/>
      <c r="WZH108" s="143"/>
      <c r="WZI108" s="144"/>
      <c r="WZJ108" s="137"/>
      <c r="WZK108" s="104"/>
      <c r="WZL108" s="243"/>
      <c r="WZM108" s="146"/>
      <c r="WZN108" s="96"/>
      <c r="WZO108" s="136"/>
      <c r="WZP108" s="137"/>
      <c r="WZQ108" s="137"/>
      <c r="WZR108" s="137"/>
      <c r="WZS108" s="137"/>
      <c r="WZT108" s="137"/>
      <c r="WZU108" s="99"/>
      <c r="WZV108" s="137"/>
      <c r="WZW108" s="99"/>
      <c r="WZX108" s="138"/>
      <c r="WZY108" s="139"/>
      <c r="WZZ108" s="137"/>
      <c r="XAA108" s="140"/>
      <c r="XAB108" s="141"/>
      <c r="XAC108" s="141"/>
      <c r="XAD108" s="137"/>
      <c r="XAE108" s="137"/>
      <c r="XAF108" s="141"/>
      <c r="XAG108" s="137"/>
      <c r="XAH108" s="137"/>
      <c r="XAI108" s="142"/>
      <c r="XAJ108" s="143"/>
      <c r="XAK108" s="144"/>
      <c r="XAL108" s="137"/>
      <c r="XAM108" s="104"/>
      <c r="XAN108" s="243"/>
      <c r="XAO108" s="146"/>
      <c r="XAP108" s="96"/>
      <c r="XAQ108" s="136"/>
      <c r="XAR108" s="137"/>
      <c r="XAS108" s="137"/>
      <c r="XAT108" s="137"/>
      <c r="XAU108" s="137"/>
      <c r="XAV108" s="137"/>
      <c r="XAW108" s="99"/>
      <c r="XAX108" s="137"/>
      <c r="XAY108" s="99"/>
      <c r="XAZ108" s="138"/>
      <c r="XBA108" s="139"/>
      <c r="XBB108" s="137"/>
      <c r="XBC108" s="140"/>
      <c r="XBD108" s="141"/>
      <c r="XBE108" s="141"/>
      <c r="XBF108" s="137"/>
      <c r="XBG108" s="137"/>
      <c r="XBH108" s="141"/>
      <c r="XBI108" s="137"/>
      <c r="XBJ108" s="137"/>
      <c r="XBK108" s="142"/>
      <c r="XBL108" s="143"/>
      <c r="XBM108" s="144"/>
      <c r="XBN108" s="137"/>
      <c r="XBO108" s="104"/>
      <c r="XBP108" s="243"/>
      <c r="XBQ108" s="146"/>
      <c r="XBR108" s="96"/>
      <c r="XBS108" s="136"/>
      <c r="XBT108" s="137"/>
      <c r="XBU108" s="137"/>
      <c r="XBV108" s="137"/>
      <c r="XBW108" s="137"/>
      <c r="XBX108" s="137"/>
      <c r="XBY108" s="99"/>
      <c r="XBZ108" s="137"/>
      <c r="XCA108" s="99"/>
      <c r="XCB108" s="138"/>
      <c r="XCC108" s="139"/>
      <c r="XCD108" s="137"/>
      <c r="XCE108" s="140"/>
      <c r="XCF108" s="141"/>
      <c r="XCG108" s="141"/>
      <c r="XCH108" s="137"/>
      <c r="XCI108" s="137"/>
      <c r="XCJ108" s="141"/>
      <c r="XCK108" s="137"/>
      <c r="XCL108" s="137"/>
      <c r="XCM108" s="142"/>
      <c r="XCN108" s="143"/>
      <c r="XCO108" s="144"/>
      <c r="XCP108" s="137"/>
      <c r="XCQ108" s="104"/>
      <c r="XCR108" s="243"/>
      <c r="XCS108" s="146"/>
      <c r="XCT108" s="96"/>
      <c r="XCU108" s="136"/>
      <c r="XCV108" s="137"/>
      <c r="XCW108" s="137"/>
      <c r="XCX108" s="137"/>
      <c r="XCY108" s="137"/>
      <c r="XCZ108" s="137"/>
      <c r="XDA108" s="99"/>
      <c r="XDB108" s="137"/>
      <c r="XDC108" s="99"/>
      <c r="XDD108" s="138"/>
      <c r="XDE108" s="139"/>
      <c r="XDF108" s="137"/>
      <c r="XDG108" s="140"/>
      <c r="XDH108" s="141"/>
      <c r="XDI108" s="141"/>
      <c r="XDJ108" s="137"/>
      <c r="XDK108" s="137"/>
      <c r="XDL108" s="141"/>
      <c r="XDM108" s="137"/>
      <c r="XDN108" s="137"/>
      <c r="XDO108" s="142"/>
      <c r="XDP108" s="143"/>
      <c r="XDQ108" s="144"/>
      <c r="XDR108" s="137"/>
      <c r="XDS108" s="104"/>
      <c r="XDT108" s="243"/>
      <c r="XDU108" s="146"/>
      <c r="XDV108" s="96"/>
      <c r="XDW108" s="136"/>
      <c r="XDX108" s="137"/>
      <c r="XDY108" s="137"/>
      <c r="XDZ108" s="137"/>
      <c r="XEA108" s="137"/>
      <c r="XEB108" s="137"/>
      <c r="XEC108" s="99"/>
      <c r="XED108" s="137"/>
      <c r="XEE108" s="99"/>
      <c r="XEF108" s="138"/>
      <c r="XEG108" s="139"/>
      <c r="XEH108" s="137"/>
      <c r="XEI108" s="140"/>
      <c r="XEJ108" s="141"/>
      <c r="XEK108" s="141"/>
      <c r="XEL108" s="137"/>
      <c r="XEM108" s="137"/>
      <c r="XEN108" s="141"/>
      <c r="XEO108" s="137"/>
      <c r="XEP108" s="137"/>
      <c r="XEQ108" s="142"/>
      <c r="XER108" s="143"/>
      <c r="XES108" s="144"/>
      <c r="XET108" s="137"/>
      <c r="XEU108" s="104"/>
      <c r="XEV108" s="243"/>
      <c r="XEW108" s="146"/>
      <c r="XEX108" s="96"/>
      <c r="XEY108" s="136"/>
    </row>
  </sheetData>
  <mergeCells count="1">
    <mergeCell ref="A1:D1"/>
  </mergeCells>
  <phoneticPr fontId="13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8A4D0-FB43-4767-A0EB-B6A29B9C3F0E}">
  <sheetPr>
    <tabColor rgb="FF93FF79"/>
  </sheetPr>
  <dimension ref="A1:AA66"/>
  <sheetViews>
    <sheetView topLeftCell="O13" workbookViewId="0">
      <selection activeCell="W26" sqref="W26"/>
    </sheetView>
  </sheetViews>
  <sheetFormatPr baseColWidth="10" defaultColWidth="11.42578125" defaultRowHeight="15" x14ac:dyDescent="0.25"/>
  <cols>
    <col min="1" max="1" width="10.28515625" customWidth="1"/>
    <col min="2" max="2" width="7.85546875" customWidth="1"/>
    <col min="3" max="3" width="8.7109375" customWidth="1"/>
    <col min="4" max="4" width="7.85546875" customWidth="1"/>
    <col min="5" max="5" width="6.28515625" customWidth="1"/>
    <col min="6" max="6" width="8.140625" customWidth="1"/>
    <col min="7" max="10" width="7.28515625" customWidth="1"/>
    <col min="11" max="11" width="11" customWidth="1"/>
    <col min="12" max="12" width="7" customWidth="1"/>
    <col min="13" max="13" width="15.140625" customWidth="1"/>
    <col min="14" max="14" width="10.85546875" customWidth="1"/>
    <col min="15" max="19" width="13.7109375" customWidth="1"/>
    <col min="20" max="20" width="18.7109375" customWidth="1"/>
    <col min="21" max="22" width="10.42578125" customWidth="1"/>
    <col min="23" max="23" width="16.42578125" customWidth="1"/>
    <col min="24" max="24" width="10.85546875" customWidth="1"/>
    <col min="25" max="25" width="13.28515625" customWidth="1"/>
    <col min="26" max="26" width="16" customWidth="1"/>
    <col min="27" max="27" width="17.42578125" customWidth="1"/>
  </cols>
  <sheetData>
    <row r="1" spans="1:27" ht="33" customHeight="1" x14ac:dyDescent="0.25">
      <c r="A1" s="1598" t="s">
        <v>47</v>
      </c>
      <c r="B1" s="1599"/>
      <c r="C1" s="1599"/>
      <c r="D1" s="1599"/>
      <c r="E1" s="1599"/>
      <c r="F1" s="1599"/>
      <c r="G1" s="1599"/>
      <c r="H1" s="1599"/>
      <c r="I1" s="1599"/>
      <c r="J1" s="1600"/>
    </row>
    <row r="2" spans="1:27" ht="33.75" x14ac:dyDescent="0.25">
      <c r="A2" s="281" t="s">
        <v>0</v>
      </c>
      <c r="B2" s="282" t="s">
        <v>14</v>
      </c>
      <c r="C2" s="282" t="s">
        <v>15</v>
      </c>
      <c r="D2" s="282" t="s">
        <v>744</v>
      </c>
      <c r="E2" s="282" t="s">
        <v>745</v>
      </c>
      <c r="F2" s="282" t="s">
        <v>354</v>
      </c>
      <c r="G2" s="282" t="s">
        <v>355</v>
      </c>
      <c r="H2" s="282" t="s">
        <v>746</v>
      </c>
      <c r="I2" s="282" t="s">
        <v>356</v>
      </c>
      <c r="J2" s="283" t="s">
        <v>747</v>
      </c>
      <c r="K2" s="282" t="s">
        <v>748</v>
      </c>
      <c r="L2" s="282" t="s">
        <v>749</v>
      </c>
      <c r="M2" s="282" t="s">
        <v>750</v>
      </c>
      <c r="N2" s="282" t="s">
        <v>60</v>
      </c>
      <c r="O2" s="282" t="s">
        <v>46</v>
      </c>
      <c r="P2" s="282" t="s">
        <v>31</v>
      </c>
      <c r="Q2" s="284" t="s">
        <v>361</v>
      </c>
      <c r="R2" s="284" t="s">
        <v>751</v>
      </c>
      <c r="S2" s="284" t="s">
        <v>752</v>
      </c>
      <c r="T2" s="611" t="s">
        <v>753</v>
      </c>
      <c r="U2" s="282" t="s">
        <v>754</v>
      </c>
      <c r="V2" s="282" t="s">
        <v>711</v>
      </c>
      <c r="W2" s="286" t="s">
        <v>702</v>
      </c>
      <c r="X2" s="283" t="s">
        <v>755</v>
      </c>
      <c r="Y2" s="286" t="s">
        <v>756</v>
      </c>
      <c r="Z2" s="287" t="s">
        <v>757</v>
      </c>
      <c r="AA2" s="287" t="s">
        <v>758</v>
      </c>
    </row>
    <row r="3" spans="1:27" x14ac:dyDescent="0.25">
      <c r="A3" s="288" t="s">
        <v>759</v>
      </c>
      <c r="B3" s="289"/>
      <c r="C3" s="289"/>
      <c r="D3" s="289"/>
      <c r="E3" s="290">
        <f>SUM(E4:E6)</f>
        <v>282</v>
      </c>
      <c r="F3" s="290"/>
      <c r="G3" s="291"/>
      <c r="H3" s="292"/>
      <c r="I3" s="291"/>
      <c r="J3" s="293"/>
      <c r="K3" s="291"/>
      <c r="L3" s="291"/>
      <c r="M3" s="294">
        <f>SUM(M4:M6)</f>
        <v>16519602</v>
      </c>
      <c r="N3" s="294">
        <f t="shared" ref="N3:T3" si="0">SUM(N4:N6)</f>
        <v>124356.39000000001</v>
      </c>
      <c r="O3" s="294">
        <f t="shared" si="0"/>
        <v>567915.03999999992</v>
      </c>
      <c r="P3" s="294">
        <f t="shared" si="0"/>
        <v>0</v>
      </c>
      <c r="Q3" s="294">
        <f t="shared" si="0"/>
        <v>1807246.7101499999</v>
      </c>
      <c r="R3" s="294">
        <f t="shared" si="0"/>
        <v>0</v>
      </c>
      <c r="S3" s="294">
        <f t="shared" si="0"/>
        <v>55670.74</v>
      </c>
      <c r="T3" s="604">
        <f t="shared" si="0"/>
        <v>19019120.140149999</v>
      </c>
      <c r="U3" s="294">
        <f>AVERAGE(U4:U6)</f>
        <v>108</v>
      </c>
      <c r="V3" s="291"/>
      <c r="W3" s="297">
        <f>W4</f>
        <v>95372.222592592589</v>
      </c>
      <c r="X3" s="407"/>
      <c r="Y3" s="410"/>
      <c r="Z3" s="411"/>
      <c r="AA3" s="291"/>
    </row>
    <row r="4" spans="1:27" x14ac:dyDescent="0.25">
      <c r="A4" s="298">
        <v>44641</v>
      </c>
      <c r="B4" s="299" t="s">
        <v>135</v>
      </c>
      <c r="C4" s="299" t="s">
        <v>231</v>
      </c>
      <c r="D4" s="300"/>
      <c r="E4" s="301">
        <v>150</v>
      </c>
      <c r="F4" s="301"/>
      <c r="G4" s="301"/>
      <c r="H4" s="303"/>
      <c r="I4" s="301">
        <v>23205</v>
      </c>
      <c r="J4" s="304"/>
      <c r="K4" s="305">
        <v>390</v>
      </c>
      <c r="L4" s="301" t="s">
        <v>760</v>
      </c>
      <c r="M4" s="305">
        <f>Tabla367[[#This Row],[KG NETOS TOT]]*Tabla367[[#This Row],[ $  MERCADO]]</f>
        <v>9049950</v>
      </c>
      <c r="N4" s="305"/>
      <c r="O4" s="305">
        <f>135749*2</f>
        <v>271498</v>
      </c>
      <c r="P4" s="305"/>
      <c r="Q4" s="305">
        <f>SUM(Tabla367[[#This Row],[TOTAL $]:[GASTOS ADM]])*0.105</f>
        <v>978752.03999999992</v>
      </c>
      <c r="R4" s="305"/>
      <c r="S4" s="301"/>
      <c r="T4" s="587">
        <f>SUM(Tabla367[[#This Row],[TOTAL $]:[IMP GANANCIAS ]])</f>
        <v>10300200.039999999</v>
      </c>
      <c r="U4" s="307">
        <v>108</v>
      </c>
      <c r="V4" s="308"/>
      <c r="W4" s="309">
        <f>Tabla367[[#This Row],[TOTAL C/IVA ]]/Tabla367[[#This Row],[TC $/U$s]]</f>
        <v>95372.222592592589</v>
      </c>
      <c r="X4" s="309"/>
      <c r="Y4" s="309"/>
      <c r="Z4" s="310"/>
      <c r="AA4" s="301"/>
    </row>
    <row r="5" spans="1:27" x14ac:dyDescent="0.25">
      <c r="A5" s="298">
        <v>44643</v>
      </c>
      <c r="B5" s="299" t="s">
        <v>135</v>
      </c>
      <c r="C5" s="299" t="s">
        <v>231</v>
      </c>
      <c r="D5" s="300"/>
      <c r="E5" s="301">
        <v>120</v>
      </c>
      <c r="F5" s="301"/>
      <c r="G5" s="301"/>
      <c r="H5" s="303"/>
      <c r="I5" s="301">
        <v>16820</v>
      </c>
      <c r="J5" s="304"/>
      <c r="K5" s="305">
        <f>(430+395+397+396+382+430)/6</f>
        <v>405</v>
      </c>
      <c r="L5" s="301" t="s">
        <v>760</v>
      </c>
      <c r="M5" s="305">
        <f>Tabla367[[#This Row],[KG NETOS TOT]]*Tabla367[[#This Row],[ $  MERCADO]]</f>
        <v>6812100</v>
      </c>
      <c r="N5" s="305">
        <f>67528.74+33764.37+12000</f>
        <v>113293.11000000002</v>
      </c>
      <c r="O5" s="305">
        <v>270114.96000000002</v>
      </c>
      <c r="P5" s="305"/>
      <c r="Q5" s="305">
        <f>SUM(Tabla367[[#This Row],[TOTAL $]],Tabla367[[#This Row],[SEGUROS]],Tabla367[[#This Row],[COMISIONES]])*0.105</f>
        <v>755528.34735000005</v>
      </c>
      <c r="R5" s="305"/>
      <c r="S5" s="305">
        <f>39386.46+11253.28</f>
        <v>50639.74</v>
      </c>
      <c r="T5" s="587">
        <f>SUM(Tabla367[[#This Row],[TOTAL $]:[IMP GANANCIAS ]])</f>
        <v>7951036.4173500007</v>
      </c>
      <c r="U5" s="307">
        <v>108</v>
      </c>
      <c r="V5" s="308"/>
      <c r="W5" s="309">
        <f>Tabla367[[#This Row],[TOTAL C/IVA ]]/Tabla367[[#This Row],[TC $/U$s]]</f>
        <v>73620.707568055557</v>
      </c>
      <c r="X5" s="309"/>
      <c r="Y5" s="309"/>
      <c r="Z5" s="310"/>
      <c r="AA5" s="301"/>
    </row>
    <row r="6" spans="1:27" x14ac:dyDescent="0.25">
      <c r="A6" s="298">
        <v>44643</v>
      </c>
      <c r="B6" s="299" t="s">
        <v>135</v>
      </c>
      <c r="C6" s="299" t="s">
        <v>231</v>
      </c>
      <c r="D6" s="300"/>
      <c r="E6" s="301">
        <v>12</v>
      </c>
      <c r="F6" s="301"/>
      <c r="G6" s="301"/>
      <c r="H6" s="303"/>
      <c r="I6" s="301">
        <v>1596</v>
      </c>
      <c r="J6" s="304"/>
      <c r="K6" s="305">
        <v>412</v>
      </c>
      <c r="L6" s="301" t="s">
        <v>760</v>
      </c>
      <c r="M6" s="305">
        <f>Tabla367[[#This Row],[KG NETOS TOT]]*Tabla367[[#This Row],[ $  MERCADO]]</f>
        <v>657552</v>
      </c>
      <c r="N6" s="305">
        <f>6575.52+3287.76+1200</f>
        <v>11063.28</v>
      </c>
      <c r="O6" s="305">
        <v>26302.080000000002</v>
      </c>
      <c r="P6" s="305"/>
      <c r="Q6" s="305">
        <f>SUM(Tabla367[[#This Row],[TOTAL $]],Tabla367[[#This Row],[SEGUROS]],Tabla367[[#This Row],[COMISIONES]])*0.105</f>
        <v>72966.322799999994</v>
      </c>
      <c r="R6" s="305"/>
      <c r="S6" s="305">
        <f>3935.22+1095.78</f>
        <v>5031</v>
      </c>
      <c r="T6" s="587">
        <f>SUM(Tabla367[[#This Row],[TOTAL $]:[IMP GANANCIAS ]])</f>
        <v>767883.68279999995</v>
      </c>
      <c r="U6" s="307">
        <v>108</v>
      </c>
      <c r="V6" s="308"/>
      <c r="W6" s="309">
        <f>Tabla367[[#This Row],[TOTAL C/IVA ]]/Tabla367[[#This Row],[TC $/U$s]]</f>
        <v>7110.0340999999999</v>
      </c>
      <c r="X6" s="309"/>
      <c r="Y6" s="309"/>
      <c r="Z6" s="310"/>
      <c r="AA6" s="301"/>
    </row>
    <row r="7" spans="1:27" x14ac:dyDescent="0.25">
      <c r="A7" s="288" t="s">
        <v>761</v>
      </c>
      <c r="B7" s="311"/>
      <c r="C7" s="312"/>
      <c r="D7" s="312"/>
      <c r="E7" s="289">
        <f>SUM(E8:E17)</f>
        <v>272</v>
      </c>
      <c r="F7" s="313"/>
      <c r="G7" s="313"/>
      <c r="H7" s="313"/>
      <c r="I7" s="313"/>
      <c r="J7" s="314"/>
      <c r="K7" s="315"/>
      <c r="L7" s="313"/>
      <c r="M7" s="315">
        <f t="shared" ref="M7:T7" si="1">SUM(M8:M17)</f>
        <v>60071541.5</v>
      </c>
      <c r="N7" s="315">
        <f t="shared" si="1"/>
        <v>0</v>
      </c>
      <c r="O7" s="315">
        <f t="shared" si="1"/>
        <v>1044090.5</v>
      </c>
      <c r="P7" s="315">
        <f t="shared" si="1"/>
        <v>2950</v>
      </c>
      <c r="Q7" s="315">
        <f t="shared" si="1"/>
        <v>3974941.5688499999</v>
      </c>
      <c r="R7" s="315">
        <f t="shared" si="1"/>
        <v>2714233.8800000008</v>
      </c>
      <c r="S7" s="315">
        <f t="shared" si="1"/>
        <v>0</v>
      </c>
      <c r="T7" s="319">
        <f t="shared" si="1"/>
        <v>60285208.688850001</v>
      </c>
      <c r="U7" s="294">
        <f>AVERAGE(U8:U17)</f>
        <v>230.9375</v>
      </c>
      <c r="V7" s="317"/>
      <c r="W7" s="297">
        <f>SUM(W8:W17)</f>
        <v>268441.3238116171</v>
      </c>
      <c r="X7" s="408"/>
      <c r="Y7" s="318"/>
      <c r="Z7" s="319"/>
      <c r="AA7" s="313"/>
    </row>
    <row r="8" spans="1:27" x14ac:dyDescent="0.25">
      <c r="A8" s="298">
        <v>45014</v>
      </c>
      <c r="B8" s="299" t="s">
        <v>170</v>
      </c>
      <c r="C8" s="301" t="s">
        <v>762</v>
      </c>
      <c r="D8" s="301"/>
      <c r="E8" s="320">
        <v>38</v>
      </c>
      <c r="F8" s="320"/>
      <c r="G8" s="320"/>
      <c r="H8" s="303"/>
      <c r="I8" s="320"/>
      <c r="J8" s="321"/>
      <c r="K8" s="307"/>
      <c r="L8" s="301"/>
      <c r="M8" s="307">
        <v>8405264</v>
      </c>
      <c r="N8" s="307"/>
      <c r="O8" s="307"/>
      <c r="P8" s="307"/>
      <c r="Q8" s="307"/>
      <c r="R8" s="307">
        <v>812979.11</v>
      </c>
      <c r="S8" s="320"/>
      <c r="T8" s="605">
        <f>SUM(Tabla367[[#This Row],[TOTAL $]],Tabla367[[#This Row],[IVA 10,5]])-SUM(Tabla367[[#This Row],[COMISIONES]:[GASTOS ADM]],Tabla367[[#This Row],[IMP GANANCIAS ]])</f>
        <v>7592284.8899999997</v>
      </c>
      <c r="U8" s="307">
        <v>207</v>
      </c>
      <c r="V8" s="307"/>
      <c r="W8" s="309">
        <f>Tabla367[[#This Row],[TOTAL C/IVA ]]/Tabla367[[#This Row],[TC $/U$s]]</f>
        <v>36677.704782608693</v>
      </c>
      <c r="X8" s="324"/>
      <c r="Y8" s="324"/>
      <c r="Z8" s="325"/>
      <c r="AA8" s="301" t="s">
        <v>763</v>
      </c>
    </row>
    <row r="9" spans="1:27" x14ac:dyDescent="0.25">
      <c r="A9" s="298">
        <v>45014</v>
      </c>
      <c r="B9" s="299" t="s">
        <v>170</v>
      </c>
      <c r="C9" s="301" t="s">
        <v>762</v>
      </c>
      <c r="D9" s="301"/>
      <c r="E9" s="320">
        <v>57</v>
      </c>
      <c r="F9" s="320"/>
      <c r="G9" s="320"/>
      <c r="H9" s="303"/>
      <c r="I9" s="320"/>
      <c r="J9" s="321"/>
      <c r="K9" s="307"/>
      <c r="L9" s="301"/>
      <c r="M9" s="307">
        <v>12762650.630000001</v>
      </c>
      <c r="N9" s="307"/>
      <c r="O9" s="307"/>
      <c r="P9" s="307"/>
      <c r="Q9" s="307"/>
      <c r="R9" s="307">
        <v>1235095.24</v>
      </c>
      <c r="S9" s="320"/>
      <c r="T9" s="605">
        <f>SUM(Tabla367[[#This Row],[TOTAL $]],Tabla367[[#This Row],[IVA 10,5]])-SUM(Tabla367[[#This Row],[COMISIONES]:[GASTOS ADM]],Tabla367[[#This Row],[IMP GANANCIAS ]])</f>
        <v>11527555.390000001</v>
      </c>
      <c r="U9" s="307">
        <v>207</v>
      </c>
      <c r="V9" s="307"/>
      <c r="W9" s="309">
        <f>Tabla367[[#This Row],[TOTAL C/IVA ]]/Tabla367[[#This Row],[TC $/U$s]]</f>
        <v>55688.673381642519</v>
      </c>
      <c r="X9" s="324"/>
      <c r="Y9" s="324"/>
      <c r="Z9" s="325"/>
      <c r="AA9" s="301" t="s">
        <v>763</v>
      </c>
    </row>
    <row r="10" spans="1:27" x14ac:dyDescent="0.25">
      <c r="A10" s="298">
        <v>45036</v>
      </c>
      <c r="B10" s="299" t="s">
        <v>170</v>
      </c>
      <c r="C10" s="301" t="s">
        <v>762</v>
      </c>
      <c r="D10" s="301"/>
      <c r="E10" s="320">
        <v>39</v>
      </c>
      <c r="F10" s="320"/>
      <c r="G10" s="320"/>
      <c r="H10" s="303"/>
      <c r="I10" s="320">
        <v>17140</v>
      </c>
      <c r="J10" s="321"/>
      <c r="K10" s="307">
        <v>497.548</v>
      </c>
      <c r="L10" s="301" t="s">
        <v>760</v>
      </c>
      <c r="M10" s="307">
        <f>Tabla367[[#This Row],[KG NETOS TOT]]*Tabla367[[#This Row],[ $  MERCADO]]</f>
        <v>8527972.7200000007</v>
      </c>
      <c r="N10" s="307"/>
      <c r="O10" s="307">
        <f>127919.59*2</f>
        <v>255839.18</v>
      </c>
      <c r="P10" s="307">
        <v>590</v>
      </c>
      <c r="Q10" s="307">
        <f>(Tabla367[[#This Row],[TOTAL $]]-Tabla367[[#This Row],[COMISIONES]]-Tabla367[[#This Row],[GASTOS ADM]])*0.105</f>
        <v>868512.07170000009</v>
      </c>
      <c r="R10" s="307">
        <v>160950.87</v>
      </c>
      <c r="S10" s="320"/>
      <c r="T10" s="605">
        <f>SUM(Tabla367[[#This Row],[TOTAL $]],Tabla367[[#This Row],[IVA 10,5]])-SUM(Tabla367[[#This Row],[COMISIONES]:[GASTOS ADM]],Tabla367[[#This Row],[IMP GANANCIAS ]])</f>
        <v>8979104.7416999992</v>
      </c>
      <c r="U10" s="307">
        <v>217</v>
      </c>
      <c r="V10" s="307"/>
      <c r="W10" s="309">
        <f>Tabla367[[#This Row],[TOTAL C/IVA ]]/Tabla367[[#This Row],[TC $/U$s]]</f>
        <v>41378.362864976953</v>
      </c>
      <c r="X10" s="324"/>
      <c r="Y10" s="324"/>
      <c r="Z10" s="325" t="s">
        <v>764</v>
      </c>
      <c r="AA10" s="301" t="s">
        <v>763</v>
      </c>
    </row>
    <row r="11" spans="1:27" x14ac:dyDescent="0.25">
      <c r="A11" s="298">
        <v>45036</v>
      </c>
      <c r="B11" s="299" t="s">
        <v>170</v>
      </c>
      <c r="C11" s="301" t="s">
        <v>762</v>
      </c>
      <c r="D11" s="301"/>
      <c r="E11" s="320">
        <v>39</v>
      </c>
      <c r="F11" s="320"/>
      <c r="G11" s="320"/>
      <c r="H11" s="303"/>
      <c r="I11" s="320">
        <v>16800</v>
      </c>
      <c r="J11" s="321"/>
      <c r="K11" s="307">
        <v>501.20800000000003</v>
      </c>
      <c r="L11" s="301" t="s">
        <v>760</v>
      </c>
      <c r="M11" s="307">
        <f>Tabla367[[#This Row],[KG NETOS TOT]]*Tabla367[[#This Row],[ $  MERCADO]]</f>
        <v>8420294.4000000004</v>
      </c>
      <c r="N11" s="307"/>
      <c r="O11" s="307">
        <f>126304.41*2</f>
        <v>252608.82</v>
      </c>
      <c r="P11" s="307">
        <v>590</v>
      </c>
      <c r="Q11" s="307">
        <f>(Tabla367[[#This Row],[TOTAL $]]-Tabla367[[#This Row],[COMISIONES]]-Tabla367[[#This Row],[GASTOS ADM]])*0.105</f>
        <v>857545.03590000002</v>
      </c>
      <c r="R11" s="307">
        <v>163341.91</v>
      </c>
      <c r="S11" s="320"/>
      <c r="T11" s="605">
        <f>SUM(Tabla367[[#This Row],[TOTAL $]],Tabla367[[#This Row],[IVA 10,5]])-SUM(Tabla367[[#This Row],[COMISIONES]:[GASTOS ADM]],Tabla367[[#This Row],[IMP GANANCIAS ]])</f>
        <v>8861298.7059000004</v>
      </c>
      <c r="U11" s="307">
        <v>217</v>
      </c>
      <c r="V11" s="307"/>
      <c r="W11" s="309">
        <f>Tabla367[[#This Row],[TOTAL C/IVA ]]/Tabla367[[#This Row],[TC $/U$s]]</f>
        <v>40835.477907373272</v>
      </c>
      <c r="X11" s="324"/>
      <c r="Y11" s="324"/>
      <c r="Z11" s="325" t="s">
        <v>765</v>
      </c>
      <c r="AA11" s="301" t="s">
        <v>763</v>
      </c>
    </row>
    <row r="12" spans="1:27" x14ac:dyDescent="0.25">
      <c r="A12" s="298">
        <v>45068</v>
      </c>
      <c r="B12" s="299" t="s">
        <v>170</v>
      </c>
      <c r="C12" s="301" t="s">
        <v>762</v>
      </c>
      <c r="D12" s="301"/>
      <c r="E12" s="320">
        <v>1</v>
      </c>
      <c r="F12" s="320"/>
      <c r="G12" s="320"/>
      <c r="H12" s="303"/>
      <c r="I12" s="320">
        <v>420</v>
      </c>
      <c r="J12" s="321"/>
      <c r="K12" s="307">
        <v>540</v>
      </c>
      <c r="L12" s="301" t="s">
        <v>760</v>
      </c>
      <c r="M12" s="307">
        <f>Tabla367[[#This Row],[KG NETOS TOT]]*Tabla367[[#This Row],[ $  MERCADO]]</f>
        <v>226800</v>
      </c>
      <c r="N12" s="307"/>
      <c r="O12" s="307">
        <f>3402*2</f>
        <v>6804</v>
      </c>
      <c r="P12" s="307">
        <v>590</v>
      </c>
      <c r="Q12" s="307">
        <f>(Tabla367[[#This Row],[TOTAL $]]-Tabla367[[#This Row],[COMISIONES]]-Tabla367[[#This Row],[GASTOS ADM]])*0.105</f>
        <v>23037.629999999997</v>
      </c>
      <c r="R12" s="307">
        <v>4388.12</v>
      </c>
      <c r="S12" s="320"/>
      <c r="T12" s="605">
        <f>SUM(Tabla367[[#This Row],[TOTAL $]],Tabla367[[#This Row],[IVA 10,5]])-SUM(Tabla367[[#This Row],[COMISIONES]:[GASTOS ADM]],Tabla367[[#This Row],[IMP GANANCIAS ]])</f>
        <v>238055.51</v>
      </c>
      <c r="U12" s="307">
        <v>233.5</v>
      </c>
      <c r="V12" s="307"/>
      <c r="W12" s="309">
        <f>Tabla367[[#This Row],[TOTAL C/IVA ]]/Tabla367[[#This Row],[TC $/U$s]]</f>
        <v>1019.5096788008566</v>
      </c>
      <c r="X12" s="324"/>
      <c r="Y12" s="324"/>
      <c r="Z12" s="325" t="s">
        <v>766</v>
      </c>
      <c r="AA12" s="301" t="s">
        <v>763</v>
      </c>
    </row>
    <row r="13" spans="1:27" x14ac:dyDescent="0.25">
      <c r="A13" s="298">
        <v>45068</v>
      </c>
      <c r="B13" s="299" t="s">
        <v>170</v>
      </c>
      <c r="C13" s="301" t="s">
        <v>762</v>
      </c>
      <c r="D13" s="326"/>
      <c r="E13" s="320">
        <v>40</v>
      </c>
      <c r="F13" s="327"/>
      <c r="G13" s="320"/>
      <c r="H13" s="303"/>
      <c r="I13" s="320">
        <v>17370</v>
      </c>
      <c r="J13" s="321"/>
      <c r="K13" s="307">
        <v>507.73500000000001</v>
      </c>
      <c r="L13" s="301" t="s">
        <v>760</v>
      </c>
      <c r="M13" s="307">
        <f>Tabla367[[#This Row],[KG NETOS TOT]]*Tabla367[[#This Row],[ $  MERCADO]]</f>
        <v>8819356.9500000011</v>
      </c>
      <c r="N13" s="307"/>
      <c r="O13" s="307">
        <f>132290.36*2</f>
        <v>264580.71999999997</v>
      </c>
      <c r="P13" s="307">
        <v>590</v>
      </c>
      <c r="Q13" s="307">
        <f>(Tabla367[[#This Row],[TOTAL $]]-Tabla367[[#This Row],[COMISIONES]]-Tabla367[[#This Row],[GASTOS ADM]])*0.105</f>
        <v>898189.55414999998</v>
      </c>
      <c r="R13" s="307">
        <v>166603.72</v>
      </c>
      <c r="S13" s="328"/>
      <c r="T13" s="605">
        <f>SUM(Tabla367[[#This Row],[TOTAL $]],Tabla367[[#This Row],[IVA 10,5]])-SUM(Tabla367[[#This Row],[COMISIONES]:[GASTOS ADM]],Tabla367[[#This Row],[IMP GANANCIAS ]])</f>
        <v>9285772.0641500019</v>
      </c>
      <c r="U13" s="307">
        <v>233.5</v>
      </c>
      <c r="V13" s="307"/>
      <c r="W13" s="309">
        <f>Tabla367[[#This Row],[TOTAL C/IVA ]]/Tabla367[[#This Row],[TC $/U$s]]</f>
        <v>39767.760446038548</v>
      </c>
      <c r="X13" s="324"/>
      <c r="Y13" s="324"/>
      <c r="Z13" s="325" t="s">
        <v>767</v>
      </c>
      <c r="AA13" s="301" t="s">
        <v>763</v>
      </c>
    </row>
    <row r="14" spans="1:27" x14ac:dyDescent="0.25">
      <c r="A14" s="298">
        <v>45099</v>
      </c>
      <c r="B14" s="299" t="s">
        <v>170</v>
      </c>
      <c r="C14" s="301" t="s">
        <v>762</v>
      </c>
      <c r="D14" s="326"/>
      <c r="E14" s="320">
        <v>40</v>
      </c>
      <c r="F14" s="327"/>
      <c r="G14" s="320"/>
      <c r="H14" s="303"/>
      <c r="I14" s="320">
        <v>16800</v>
      </c>
      <c r="J14" s="321"/>
      <c r="K14" s="307">
        <v>524.32100000000003</v>
      </c>
      <c r="L14" s="301" t="s">
        <v>760</v>
      </c>
      <c r="M14" s="307">
        <f>Tabla367[[#This Row],[KG NETOS TOT]]*Tabla367[[#This Row],[ $  MERCADO]]</f>
        <v>8808592.8000000007</v>
      </c>
      <c r="N14" s="307"/>
      <c r="O14" s="307">
        <f>132128.89*2</f>
        <v>264257.78000000003</v>
      </c>
      <c r="P14" s="307">
        <v>590</v>
      </c>
      <c r="Q14" s="307">
        <f>(Tabla367[[#This Row],[TOTAL $]]-Tabla367[[#This Row],[COMISIONES]]-Tabla367[[#This Row],[GASTOS ADM]])*0.105</f>
        <v>897093.22710000013</v>
      </c>
      <c r="R14" s="307">
        <v>170874.91</v>
      </c>
      <c r="S14" s="328"/>
      <c r="T14" s="605">
        <f>SUM(Tabla367[[#This Row],[TOTAL $]],Tabla367[[#This Row],[IVA 10,5]])-SUM(Tabla367[[#This Row],[COMISIONES]:[GASTOS ADM]],Tabla367[[#This Row],[IMP GANANCIAS ]])</f>
        <v>9269963.3371000011</v>
      </c>
      <c r="U14" s="307">
        <v>250.5</v>
      </c>
      <c r="V14" s="307"/>
      <c r="W14" s="309">
        <f>Tabla367[[#This Row],[TOTAL C/IVA ]]/Tabla367[[#This Row],[TC $/U$s]]</f>
        <v>37005.841665069864</v>
      </c>
      <c r="X14" s="324"/>
      <c r="Y14" s="324"/>
      <c r="Z14" s="325"/>
      <c r="AA14" s="301"/>
    </row>
    <row r="15" spans="1:27" x14ac:dyDescent="0.25">
      <c r="A15" s="298">
        <v>45147</v>
      </c>
      <c r="B15" s="299" t="s">
        <v>170</v>
      </c>
      <c r="C15" s="301" t="s">
        <v>762</v>
      </c>
      <c r="D15" s="326"/>
      <c r="E15" s="320">
        <v>18</v>
      </c>
      <c r="F15" s="327"/>
      <c r="G15" s="320"/>
      <c r="H15" s="303"/>
      <c r="I15" s="320">
        <v>7737</v>
      </c>
      <c r="J15" s="321"/>
      <c r="K15" s="307">
        <v>530</v>
      </c>
      <c r="L15" s="301" t="s">
        <v>760</v>
      </c>
      <c r="M15" s="307">
        <f>Tabla367[[#This Row],[KG NETOS TOT]]*Tabla367[[#This Row],[ $  MERCADO]]</f>
        <v>4100610</v>
      </c>
      <c r="N15" s="307"/>
      <c r="O15" s="307"/>
      <c r="P15" s="307"/>
      <c r="Q15" s="307">
        <f>(Tabla367[[#This Row],[TOTAL $]]-Tabla367[[#This Row],[COMISIONES]]-Tabla367[[#This Row],[GASTOS ADM]])*0.105</f>
        <v>430564.05</v>
      </c>
      <c r="R15" s="307"/>
      <c r="S15" s="328"/>
      <c r="T15" s="605">
        <f>SUM(Tabla367[[#This Row],[TOTAL $]],Tabla367[[#This Row],[IVA 10,5]])-SUM(Tabla367[[#This Row],[COMISIONES]:[GASTOS ADM]],Tabla367[[#This Row],[IMP GANANCIAS ]])</f>
        <v>4531174.05</v>
      </c>
      <c r="U15" s="307">
        <v>282</v>
      </c>
      <c r="V15" s="307"/>
      <c r="W15" s="309">
        <f>Tabla367[[#This Row],[TOTAL C/IVA ]]/Tabla367[[#This Row],[TC $/U$s]]</f>
        <v>16067.993085106382</v>
      </c>
      <c r="X15" s="324"/>
      <c r="Y15" s="324"/>
      <c r="Z15" s="325" t="s">
        <v>768</v>
      </c>
      <c r="AA15" s="301" t="s">
        <v>769</v>
      </c>
    </row>
    <row r="16" spans="1:27" x14ac:dyDescent="0.25">
      <c r="A16" s="298"/>
      <c r="B16" s="299"/>
      <c r="C16" s="301"/>
      <c r="D16" s="326"/>
      <c r="E16" s="302"/>
      <c r="F16" s="327"/>
      <c r="G16" s="320"/>
      <c r="H16" s="303"/>
      <c r="I16" s="320"/>
      <c r="J16" s="321"/>
      <c r="K16" s="307"/>
      <c r="L16" s="301"/>
      <c r="M16" s="307"/>
      <c r="N16" s="307"/>
      <c r="O16" s="307"/>
      <c r="P16" s="307"/>
      <c r="Q16" s="307"/>
      <c r="R16" s="307"/>
      <c r="S16" s="328"/>
      <c r="T16" s="605"/>
      <c r="U16" s="307"/>
      <c r="V16" s="307"/>
      <c r="W16" s="309"/>
      <c r="X16" s="324"/>
      <c r="Y16" s="324"/>
      <c r="Z16" s="325"/>
      <c r="AA16" s="301"/>
    </row>
    <row r="17" spans="1:27" x14ac:dyDescent="0.25">
      <c r="A17" s="298"/>
      <c r="B17" s="299"/>
      <c r="C17" s="301"/>
      <c r="D17" s="330"/>
      <c r="E17" s="320"/>
      <c r="F17" s="327"/>
      <c r="G17" s="320"/>
      <c r="H17" s="303"/>
      <c r="I17" s="320"/>
      <c r="J17" s="321"/>
      <c r="K17" s="307"/>
      <c r="L17" s="320"/>
      <c r="M17" s="307"/>
      <c r="N17" s="307"/>
      <c r="O17" s="307"/>
      <c r="P17" s="307"/>
      <c r="Q17" s="307"/>
      <c r="R17" s="307"/>
      <c r="S17" s="320"/>
      <c r="T17" s="605"/>
      <c r="U17" s="307"/>
      <c r="V17" s="307"/>
      <c r="W17" s="309"/>
      <c r="X17" s="324"/>
      <c r="Y17" s="324"/>
      <c r="Z17" s="329"/>
      <c r="AA17" s="326"/>
    </row>
    <row r="18" spans="1:27" x14ac:dyDescent="0.25">
      <c r="A18" s="338" t="s">
        <v>770</v>
      </c>
      <c r="B18" s="339"/>
      <c r="C18" s="339"/>
      <c r="D18" s="339"/>
      <c r="E18" s="340">
        <f>SUM(E3)-SUM(E7)</f>
        <v>10</v>
      </c>
      <c r="F18" s="341"/>
      <c r="G18" s="341"/>
      <c r="H18" s="341"/>
      <c r="I18" s="341"/>
      <c r="J18" s="342"/>
      <c r="K18" s="341"/>
      <c r="L18" s="341"/>
      <c r="M18" s="343">
        <f t="shared" ref="M18:T18" si="2">M7-M3</f>
        <v>43551939.5</v>
      </c>
      <c r="N18" s="343">
        <f t="shared" si="2"/>
        <v>-124356.39000000001</v>
      </c>
      <c r="O18" s="343">
        <f t="shared" si="2"/>
        <v>476175.46000000008</v>
      </c>
      <c r="P18" s="343">
        <f t="shared" si="2"/>
        <v>2950</v>
      </c>
      <c r="Q18" s="343">
        <f t="shared" si="2"/>
        <v>2167694.8586999997</v>
      </c>
      <c r="R18" s="343">
        <f t="shared" si="2"/>
        <v>2714233.8800000008</v>
      </c>
      <c r="S18" s="343">
        <f t="shared" si="2"/>
        <v>-55670.74</v>
      </c>
      <c r="T18" s="612">
        <f t="shared" si="2"/>
        <v>41266088.548700005</v>
      </c>
      <c r="U18" s="345"/>
      <c r="V18" s="345"/>
      <c r="W18" s="346"/>
      <c r="X18" s="409"/>
      <c r="Y18" s="346"/>
      <c r="Z18" s="347"/>
      <c r="AA18" s="348"/>
    </row>
    <row r="19" spans="1:27" x14ac:dyDescent="0.25">
      <c r="A19" s="349"/>
      <c r="B19" s="300"/>
      <c r="C19" s="300"/>
      <c r="D19" s="300"/>
      <c r="E19" s="337"/>
      <c r="F19" s="337"/>
      <c r="G19" s="337"/>
      <c r="H19" s="337"/>
      <c r="I19" s="337"/>
      <c r="J19" s="350"/>
      <c r="K19" s="337"/>
      <c r="L19" s="337"/>
      <c r="M19" s="351"/>
      <c r="N19" s="351"/>
      <c r="O19" s="351"/>
      <c r="P19" s="351"/>
      <c r="Q19" s="351"/>
      <c r="R19" s="351"/>
      <c r="S19" s="351"/>
      <c r="T19" s="606"/>
      <c r="U19" s="351"/>
      <c r="V19" s="351"/>
      <c r="W19" s="336"/>
      <c r="X19" s="336"/>
      <c r="Y19" s="336"/>
      <c r="Z19" s="352"/>
      <c r="AA19" s="337"/>
    </row>
    <row r="20" spans="1:27" x14ac:dyDescent="0.25">
      <c r="A20" s="353" t="s">
        <v>318</v>
      </c>
      <c r="B20" s="354"/>
      <c r="C20" s="354"/>
      <c r="D20" s="354"/>
      <c r="E20" s="355"/>
      <c r="F20" s="355"/>
      <c r="G20" s="356"/>
      <c r="H20" s="355"/>
      <c r="I20" s="355"/>
      <c r="J20" s="357"/>
      <c r="K20" s="355"/>
      <c r="L20" s="355"/>
      <c r="M20" s="358">
        <f>SUM(M22:M38)</f>
        <v>0</v>
      </c>
      <c r="N20" s="358"/>
      <c r="O20" s="358"/>
      <c r="P20" s="358">
        <f>SUM(P22:P38)</f>
        <v>0</v>
      </c>
      <c r="Q20" s="358"/>
      <c r="R20" s="358"/>
      <c r="S20" s="358"/>
      <c r="T20" s="361"/>
      <c r="U20" s="358"/>
      <c r="V20" s="358"/>
      <c r="W20" s="360"/>
      <c r="X20" s="361"/>
      <c r="Y20" s="360"/>
      <c r="Z20" s="362"/>
      <c r="AA20" s="355"/>
    </row>
    <row r="21" spans="1:27" x14ac:dyDescent="0.25">
      <c r="A21" s="363"/>
      <c r="B21" s="337" t="s">
        <v>94</v>
      </c>
      <c r="C21" s="301"/>
      <c r="D21" s="301"/>
      <c r="E21" s="301"/>
      <c r="F21" s="301"/>
      <c r="G21" s="301"/>
      <c r="H21" s="301"/>
      <c r="I21" s="301"/>
      <c r="J21" s="334"/>
      <c r="K21" s="301"/>
      <c r="L21" s="301"/>
      <c r="M21" s="301"/>
      <c r="N21" s="301"/>
      <c r="O21" s="301"/>
      <c r="P21" s="301"/>
      <c r="Q21" s="301"/>
      <c r="R21" s="301"/>
      <c r="S21" s="301"/>
      <c r="T21" s="325"/>
      <c r="U21" s="337"/>
      <c r="V21" s="301"/>
      <c r="W21" s="352"/>
      <c r="X21" s="352"/>
      <c r="Y21" s="352"/>
      <c r="Z21" s="325"/>
      <c r="AA21" s="301"/>
    </row>
    <row r="22" spans="1:27" x14ac:dyDescent="0.25">
      <c r="A22" s="298"/>
      <c r="B22" s="299"/>
      <c r="C22" s="326"/>
      <c r="D22" s="299"/>
      <c r="E22" s="301"/>
      <c r="F22" s="301"/>
      <c r="G22" s="301"/>
      <c r="H22" s="301"/>
      <c r="I22" s="365"/>
      <c r="J22" s="334"/>
      <c r="K22" s="305"/>
      <c r="L22" s="301"/>
      <c r="M22" s="305"/>
      <c r="N22" s="305"/>
      <c r="O22" s="305"/>
      <c r="P22" s="305"/>
      <c r="Q22" s="305"/>
      <c r="R22" s="305"/>
      <c r="S22" s="305"/>
      <c r="T22" s="605"/>
      <c r="U22" s="305"/>
      <c r="V22" s="301"/>
      <c r="W22" s="309"/>
      <c r="X22" s="309"/>
      <c r="Y22" s="309"/>
      <c r="Z22" s="325"/>
      <c r="AA22" s="326"/>
    </row>
    <row r="23" spans="1:27" x14ac:dyDescent="0.25">
      <c r="A23" s="298"/>
      <c r="B23" s="299"/>
      <c r="C23" s="326"/>
      <c r="D23" s="299"/>
      <c r="E23" s="301"/>
      <c r="F23" s="301"/>
      <c r="G23" s="301"/>
      <c r="H23" s="301"/>
      <c r="I23" s="301"/>
      <c r="J23" s="334"/>
      <c r="K23" s="305"/>
      <c r="L23" s="301"/>
      <c r="M23" s="305"/>
      <c r="N23" s="305"/>
      <c r="O23" s="305"/>
      <c r="P23" s="305"/>
      <c r="Q23" s="305"/>
      <c r="R23" s="305"/>
      <c r="S23" s="305"/>
      <c r="T23" s="605"/>
      <c r="U23" s="305"/>
      <c r="V23" s="301"/>
      <c r="W23" s="309"/>
      <c r="X23" s="309"/>
      <c r="Y23" s="309"/>
      <c r="Z23" s="325"/>
      <c r="AA23" s="326"/>
    </row>
    <row r="24" spans="1:27" x14ac:dyDescent="0.25">
      <c r="A24" s="298"/>
      <c r="B24" s="299"/>
      <c r="C24" s="326"/>
      <c r="D24" s="299"/>
      <c r="E24" s="301"/>
      <c r="F24" s="301"/>
      <c r="G24" s="301"/>
      <c r="H24" s="301"/>
      <c r="I24" s="301"/>
      <c r="J24" s="334"/>
      <c r="K24" s="305"/>
      <c r="L24" s="301"/>
      <c r="M24" s="305"/>
      <c r="N24" s="305"/>
      <c r="O24" s="305"/>
      <c r="P24" s="305"/>
      <c r="Q24" s="305"/>
      <c r="R24" s="305"/>
      <c r="S24" s="305"/>
      <c r="T24" s="587"/>
      <c r="U24" s="305"/>
      <c r="V24" s="301"/>
      <c r="W24" s="309"/>
      <c r="X24" s="309"/>
      <c r="Y24" s="309"/>
      <c r="Z24" s="325"/>
      <c r="AA24" s="337"/>
    </row>
    <row r="25" spans="1:27" x14ac:dyDescent="0.25">
      <c r="A25" s="298"/>
      <c r="B25" s="300" t="s">
        <v>771</v>
      </c>
      <c r="C25" s="301"/>
      <c r="D25" s="299"/>
      <c r="E25" s="301"/>
      <c r="F25" s="301"/>
      <c r="G25" s="301"/>
      <c r="H25" s="301"/>
      <c r="I25" s="301"/>
      <c r="J25" s="334"/>
      <c r="K25" s="305"/>
      <c r="L25" s="301"/>
      <c r="M25" s="305"/>
      <c r="N25" s="305"/>
      <c r="O25" s="305"/>
      <c r="P25" s="305"/>
      <c r="Q25" s="305"/>
      <c r="R25" s="305"/>
      <c r="S25" s="305"/>
      <c r="T25" s="606"/>
      <c r="U25" s="301"/>
      <c r="V25" s="301"/>
      <c r="W25" s="309"/>
      <c r="X25" s="309"/>
      <c r="Y25" s="309"/>
      <c r="Z25" s="325"/>
      <c r="AA25" s="337"/>
    </row>
    <row r="26" spans="1:27" x14ac:dyDescent="0.25">
      <c r="A26" s="298"/>
      <c r="B26" s="299"/>
      <c r="C26" s="366" t="s">
        <v>771</v>
      </c>
      <c r="D26" s="301"/>
      <c r="E26" s="301"/>
      <c r="F26" s="301"/>
      <c r="G26" s="301"/>
      <c r="H26" s="301"/>
      <c r="I26" s="301"/>
      <c r="J26" s="334"/>
      <c r="K26" s="367"/>
      <c r="L26" s="301"/>
      <c r="M26" s="305"/>
      <c r="N26" s="305"/>
      <c r="O26" s="305"/>
      <c r="P26" s="305"/>
      <c r="Q26" s="305"/>
      <c r="R26" s="305"/>
      <c r="S26" s="301"/>
      <c r="T26" s="587">
        <v>6562392.0800000019</v>
      </c>
      <c r="U26" s="305">
        <v>850</v>
      </c>
      <c r="V26" s="305"/>
      <c r="W26" s="309">
        <f>Tabla367[[#This Row],[TOTAL C/IVA ]]/Tabla367[[#This Row],[TC $/U$s]]</f>
        <v>7720.4612705882373</v>
      </c>
      <c r="X26" s="309"/>
      <c r="Y26" s="309"/>
      <c r="Z26" s="325"/>
      <c r="AA26" s="301" t="s">
        <v>772</v>
      </c>
    </row>
    <row r="27" spans="1:27" x14ac:dyDescent="0.25">
      <c r="A27" s="298"/>
      <c r="B27" s="299"/>
      <c r="C27" s="366"/>
      <c r="D27" s="301"/>
      <c r="E27" s="301"/>
      <c r="F27" s="301"/>
      <c r="G27" s="301"/>
      <c r="H27" s="301"/>
      <c r="I27" s="301"/>
      <c r="J27" s="334"/>
      <c r="K27" s="367"/>
      <c r="L27" s="301"/>
      <c r="M27" s="305"/>
      <c r="N27" s="305"/>
      <c r="O27" s="305"/>
      <c r="P27" s="305"/>
      <c r="Q27" s="305"/>
      <c r="R27" s="305"/>
      <c r="S27" s="301"/>
      <c r="T27" s="587"/>
      <c r="U27" s="305"/>
      <c r="V27" s="305"/>
      <c r="W27" s="309"/>
      <c r="X27" s="309"/>
      <c r="Y27" s="309"/>
      <c r="Z27" s="325"/>
      <c r="AA27" s="301"/>
    </row>
    <row r="28" spans="1:27" x14ac:dyDescent="0.25">
      <c r="A28" s="298"/>
      <c r="B28" s="299"/>
      <c r="C28" s="366"/>
      <c r="D28" s="301"/>
      <c r="E28" s="301"/>
      <c r="F28" s="301"/>
      <c r="G28" s="301"/>
      <c r="H28" s="301"/>
      <c r="I28" s="301"/>
      <c r="J28" s="334"/>
      <c r="K28" s="367"/>
      <c r="L28" s="301"/>
      <c r="M28" s="305"/>
      <c r="N28" s="305"/>
      <c r="O28" s="305"/>
      <c r="P28" s="305"/>
      <c r="Q28" s="305"/>
      <c r="R28" s="305"/>
      <c r="S28" s="301"/>
      <c r="T28" s="587"/>
      <c r="U28" s="305"/>
      <c r="V28" s="305"/>
      <c r="W28" s="309"/>
      <c r="X28" s="309"/>
      <c r="Y28" s="309"/>
      <c r="Z28" s="325"/>
      <c r="AA28" s="301"/>
    </row>
    <row r="29" spans="1:27" x14ac:dyDescent="0.25">
      <c r="A29" s="298"/>
      <c r="B29" s="299"/>
      <c r="C29" s="366"/>
      <c r="D29" s="301"/>
      <c r="E29" s="301"/>
      <c r="F29" s="301"/>
      <c r="G29" s="301"/>
      <c r="H29" s="301"/>
      <c r="I29" s="301"/>
      <c r="J29" s="334"/>
      <c r="K29" s="367"/>
      <c r="L29" s="301"/>
      <c r="M29" s="305"/>
      <c r="N29" s="305"/>
      <c r="O29" s="305"/>
      <c r="P29" s="305"/>
      <c r="Q29" s="305"/>
      <c r="R29" s="305"/>
      <c r="S29" s="301"/>
      <c r="T29" s="587"/>
      <c r="U29" s="305"/>
      <c r="V29" s="305"/>
      <c r="W29" s="309"/>
      <c r="X29" s="309"/>
      <c r="Y29" s="309"/>
      <c r="Z29" s="325"/>
      <c r="AA29" s="301"/>
    </row>
    <row r="30" spans="1:27" x14ac:dyDescent="0.25">
      <c r="A30" s="298"/>
      <c r="B30" s="299"/>
      <c r="C30" s="326"/>
      <c r="D30" s="301"/>
      <c r="E30" s="301"/>
      <c r="F30" s="301"/>
      <c r="G30" s="301"/>
      <c r="H30" s="301"/>
      <c r="I30" s="301"/>
      <c r="J30" s="334"/>
      <c r="K30" s="301"/>
      <c r="L30" s="301"/>
      <c r="M30" s="305"/>
      <c r="N30" s="305"/>
      <c r="O30" s="305"/>
      <c r="P30" s="305"/>
      <c r="Q30" s="305"/>
      <c r="R30" s="305"/>
      <c r="S30" s="305"/>
      <c r="T30" s="587"/>
      <c r="U30" s="305"/>
      <c r="V30" s="305"/>
      <c r="W30" s="309"/>
      <c r="X30" s="309"/>
      <c r="Y30" s="309"/>
      <c r="Z30" s="325"/>
      <c r="AA30" s="301"/>
    </row>
    <row r="31" spans="1:27" x14ac:dyDescent="0.25">
      <c r="A31" s="298"/>
      <c r="B31" s="337" t="s">
        <v>82</v>
      </c>
      <c r="C31" s="301"/>
      <c r="D31" s="301"/>
      <c r="E31" s="301"/>
      <c r="F31" s="301"/>
      <c r="G31" s="301"/>
      <c r="H31" s="301"/>
      <c r="I31" s="301"/>
      <c r="J31" s="334"/>
      <c r="K31" s="305"/>
      <c r="L31" s="301"/>
      <c r="M31" s="305">
        <f>Tabla367[[#This Row],[cant]]*Tabla367[[#This Row],[ $  MERCADO]]</f>
        <v>0</v>
      </c>
      <c r="N31" s="305"/>
      <c r="O31" s="305"/>
      <c r="P31" s="305"/>
      <c r="Q31" s="305"/>
      <c r="R31" s="305">
        <f>Tabla367[[#This Row],[TOTAL $]]*0.21</f>
        <v>0</v>
      </c>
      <c r="S31" s="305"/>
      <c r="T31" s="587">
        <f>SUM(Tabla367[[#This Row],[TOTAL $]:[IMP GANANCIAS ]])</f>
        <v>0</v>
      </c>
      <c r="U31" s="305"/>
      <c r="V31" s="305"/>
      <c r="W31" s="309"/>
      <c r="X31" s="309"/>
      <c r="Y31" s="309"/>
      <c r="Z31" s="325"/>
      <c r="AA31" s="301"/>
    </row>
    <row r="32" spans="1:27" x14ac:dyDescent="0.25">
      <c r="A32" s="298"/>
      <c r="B32" s="337"/>
      <c r="C32" s="301"/>
      <c r="D32" s="301"/>
      <c r="E32" s="301"/>
      <c r="F32" s="301"/>
      <c r="G32" s="301"/>
      <c r="H32" s="301"/>
      <c r="I32" s="301"/>
      <c r="J32" s="334"/>
      <c r="K32" s="305"/>
      <c r="L32" s="301"/>
      <c r="M32" s="305"/>
      <c r="N32" s="305"/>
      <c r="O32" s="305"/>
      <c r="P32" s="305"/>
      <c r="Q32" s="305"/>
      <c r="R32" s="305"/>
      <c r="S32" s="305"/>
      <c r="T32" s="587"/>
      <c r="U32" s="305"/>
      <c r="V32" s="305"/>
      <c r="W32" s="309"/>
      <c r="X32" s="309"/>
      <c r="Y32" s="309"/>
      <c r="Z32" s="325"/>
      <c r="AA32" s="301"/>
    </row>
    <row r="33" spans="1:27" x14ac:dyDescent="0.25">
      <c r="A33" s="298"/>
      <c r="B33" s="337"/>
      <c r="C33" s="301"/>
      <c r="D33" s="301"/>
      <c r="E33" s="301"/>
      <c r="F33" s="301"/>
      <c r="G33" s="301"/>
      <c r="H33" s="301"/>
      <c r="I33" s="301"/>
      <c r="J33" s="334"/>
      <c r="K33" s="305"/>
      <c r="L33" s="301"/>
      <c r="M33" s="305"/>
      <c r="N33" s="305"/>
      <c r="O33" s="305"/>
      <c r="P33" s="305"/>
      <c r="Q33" s="305"/>
      <c r="R33" s="305"/>
      <c r="S33" s="305"/>
      <c r="T33" s="587"/>
      <c r="U33" s="305"/>
      <c r="V33" s="305"/>
      <c r="W33" s="309"/>
      <c r="X33" s="309"/>
      <c r="Y33" s="309"/>
      <c r="Z33" s="325"/>
      <c r="AA33" s="301"/>
    </row>
    <row r="34" spans="1:27" x14ac:dyDescent="0.25">
      <c r="A34" s="298"/>
      <c r="B34" s="337"/>
      <c r="C34" s="301"/>
      <c r="D34" s="301"/>
      <c r="E34" s="301"/>
      <c r="F34" s="301"/>
      <c r="G34" s="301"/>
      <c r="H34" s="301"/>
      <c r="I34" s="301"/>
      <c r="J34" s="334"/>
      <c r="K34" s="305"/>
      <c r="L34" s="301"/>
      <c r="M34" s="305"/>
      <c r="N34" s="305"/>
      <c r="O34" s="305"/>
      <c r="P34" s="305"/>
      <c r="Q34" s="305"/>
      <c r="R34" s="305"/>
      <c r="S34" s="305"/>
      <c r="T34" s="587"/>
      <c r="U34" s="305"/>
      <c r="V34" s="305"/>
      <c r="W34" s="309"/>
      <c r="X34" s="309"/>
      <c r="Y34" s="309"/>
      <c r="Z34" s="325"/>
      <c r="AA34" s="301"/>
    </row>
    <row r="35" spans="1:27" x14ac:dyDescent="0.25">
      <c r="A35" s="298"/>
      <c r="B35" s="337"/>
      <c r="C35" s="301"/>
      <c r="D35" s="301"/>
      <c r="E35" s="301"/>
      <c r="F35" s="301"/>
      <c r="G35" s="301"/>
      <c r="H35" s="301"/>
      <c r="I35" s="301"/>
      <c r="J35" s="334"/>
      <c r="K35" s="305"/>
      <c r="L35" s="301"/>
      <c r="M35" s="305"/>
      <c r="N35" s="305"/>
      <c r="O35" s="305"/>
      <c r="P35" s="305"/>
      <c r="Q35" s="305"/>
      <c r="R35" s="305"/>
      <c r="S35" s="305"/>
      <c r="T35" s="587"/>
      <c r="U35" s="305"/>
      <c r="V35" s="305"/>
      <c r="W35" s="309"/>
      <c r="X35" s="309"/>
      <c r="Y35" s="309"/>
      <c r="Z35" s="325"/>
      <c r="AA35" s="301"/>
    </row>
    <row r="36" spans="1:27" x14ac:dyDescent="0.25">
      <c r="A36" s="298"/>
      <c r="B36" s="337"/>
      <c r="C36" s="301"/>
      <c r="D36" s="301"/>
      <c r="E36" s="301"/>
      <c r="F36" s="301"/>
      <c r="G36" s="301"/>
      <c r="H36" s="301"/>
      <c r="I36" s="301"/>
      <c r="J36" s="334"/>
      <c r="K36" s="305"/>
      <c r="L36" s="301"/>
      <c r="M36" s="305"/>
      <c r="N36" s="305"/>
      <c r="O36" s="305"/>
      <c r="P36" s="305"/>
      <c r="Q36" s="305"/>
      <c r="R36" s="305"/>
      <c r="S36" s="305"/>
      <c r="T36" s="587"/>
      <c r="U36" s="305"/>
      <c r="V36" s="305"/>
      <c r="W36" s="309"/>
      <c r="X36" s="309"/>
      <c r="Y36" s="309"/>
      <c r="Z36" s="325"/>
      <c r="AA36" s="301"/>
    </row>
    <row r="37" spans="1:27" x14ac:dyDescent="0.25">
      <c r="A37" s="298"/>
      <c r="B37" s="337"/>
      <c r="C37" s="301"/>
      <c r="D37" s="301"/>
      <c r="E37" s="301"/>
      <c r="F37" s="301"/>
      <c r="G37" s="301"/>
      <c r="H37" s="301"/>
      <c r="I37" s="301"/>
      <c r="J37" s="334"/>
      <c r="K37" s="305"/>
      <c r="L37" s="301"/>
      <c r="M37" s="305"/>
      <c r="N37" s="305"/>
      <c r="O37" s="305"/>
      <c r="P37" s="305"/>
      <c r="Q37" s="305"/>
      <c r="R37" s="305"/>
      <c r="S37" s="305"/>
      <c r="T37" s="587"/>
      <c r="U37" s="305"/>
      <c r="V37" s="305"/>
      <c r="W37" s="309"/>
      <c r="X37" s="309"/>
      <c r="Y37" s="309"/>
      <c r="Z37" s="325"/>
      <c r="AA37" s="301"/>
    </row>
    <row r="38" spans="1:27" x14ac:dyDescent="0.25">
      <c r="A38" s="298"/>
      <c r="B38" s="337"/>
      <c r="C38" s="301"/>
      <c r="D38" s="301"/>
      <c r="E38" s="301"/>
      <c r="F38" s="301"/>
      <c r="G38" s="301"/>
      <c r="H38" s="301"/>
      <c r="I38" s="301"/>
      <c r="J38" s="334"/>
      <c r="K38" s="305"/>
      <c r="L38" s="301"/>
      <c r="M38" s="305"/>
      <c r="N38" s="305"/>
      <c r="O38" s="305"/>
      <c r="P38" s="305"/>
      <c r="Q38" s="305"/>
      <c r="R38" s="305"/>
      <c r="S38" s="305"/>
      <c r="T38" s="587"/>
      <c r="U38" s="305"/>
      <c r="V38" s="305"/>
      <c r="W38" s="309"/>
      <c r="X38" s="309"/>
      <c r="Y38" s="309"/>
      <c r="Z38" s="325"/>
      <c r="AA38" s="301"/>
    </row>
    <row r="39" spans="1:27" x14ac:dyDescent="0.25">
      <c r="A39" s="298"/>
      <c r="B39" s="337" t="s">
        <v>62</v>
      </c>
      <c r="C39" s="301"/>
      <c r="D39" s="301"/>
      <c r="E39" s="301"/>
      <c r="F39" s="301"/>
      <c r="G39" s="301"/>
      <c r="H39" s="301"/>
      <c r="I39" s="301"/>
      <c r="J39" s="334"/>
      <c r="K39" s="305"/>
      <c r="L39" s="301"/>
      <c r="M39" s="305"/>
      <c r="N39" s="305"/>
      <c r="O39" s="305"/>
      <c r="P39" s="305"/>
      <c r="Q39" s="305"/>
      <c r="R39" s="305"/>
      <c r="S39" s="305"/>
      <c r="T39" s="607"/>
      <c r="U39" s="305"/>
      <c r="V39" s="305"/>
      <c r="W39" s="309"/>
      <c r="X39" s="309"/>
      <c r="Y39" s="309"/>
      <c r="Z39" s="325"/>
      <c r="AA39" s="301"/>
    </row>
    <row r="40" spans="1:27" x14ac:dyDescent="0.25">
      <c r="A40" s="298"/>
      <c r="B40" s="301"/>
      <c r="C40" s="326"/>
      <c r="D40" s="301"/>
      <c r="E40" s="301"/>
      <c r="F40" s="301"/>
      <c r="G40" s="301"/>
      <c r="H40" s="301"/>
      <c r="I40" s="301"/>
      <c r="J40" s="334"/>
      <c r="K40" s="305"/>
      <c r="L40" s="301"/>
      <c r="M40" s="305"/>
      <c r="N40" s="305"/>
      <c r="O40" s="305"/>
      <c r="P40" s="305"/>
      <c r="Q40" s="305"/>
      <c r="R40" s="305"/>
      <c r="S40" s="305"/>
      <c r="T40" s="607"/>
      <c r="U40" s="305"/>
      <c r="V40" s="305"/>
      <c r="W40" s="309"/>
      <c r="X40" s="309"/>
      <c r="Y40" s="309"/>
      <c r="Z40" s="325"/>
      <c r="AA40" s="301"/>
    </row>
    <row r="41" spans="1:27" x14ac:dyDescent="0.25">
      <c r="A41" s="298"/>
      <c r="B41" s="337" t="s">
        <v>333</v>
      </c>
      <c r="C41" s="301"/>
      <c r="D41" s="301"/>
      <c r="E41" s="301"/>
      <c r="F41" s="301"/>
      <c r="G41" s="301"/>
      <c r="H41" s="301"/>
      <c r="I41" s="301"/>
      <c r="J41" s="334"/>
      <c r="K41" s="305"/>
      <c r="L41" s="301"/>
      <c r="M41" s="305"/>
      <c r="N41" s="305"/>
      <c r="O41" s="305"/>
      <c r="P41" s="305"/>
      <c r="Q41" s="305"/>
      <c r="R41" s="305"/>
      <c r="S41" s="305"/>
      <c r="T41" s="607"/>
      <c r="U41" s="305"/>
      <c r="V41" s="305"/>
      <c r="W41" s="309"/>
      <c r="X41" s="309"/>
      <c r="Y41" s="309"/>
      <c r="Z41" s="325"/>
      <c r="AA41" s="301"/>
    </row>
    <row r="42" spans="1:27" x14ac:dyDescent="0.25">
      <c r="A42" s="298"/>
      <c r="B42" s="301"/>
      <c r="C42" s="320"/>
      <c r="D42" s="301"/>
      <c r="E42" s="301"/>
      <c r="F42" s="301"/>
      <c r="G42" s="301"/>
      <c r="H42" s="301"/>
      <c r="I42" s="301"/>
      <c r="J42" s="334"/>
      <c r="K42" s="305"/>
      <c r="L42" s="301"/>
      <c r="M42" s="305"/>
      <c r="N42" s="305"/>
      <c r="O42" s="305"/>
      <c r="P42" s="305"/>
      <c r="Q42" s="305"/>
      <c r="R42" s="305"/>
      <c r="S42" s="305"/>
      <c r="T42" s="352"/>
      <c r="U42" s="301"/>
      <c r="V42" s="373"/>
      <c r="W42" s="324"/>
      <c r="X42" s="324"/>
      <c r="Y42" s="324"/>
      <c r="Z42" s="325"/>
      <c r="AA42" s="301"/>
    </row>
    <row r="43" spans="1:27" x14ac:dyDescent="0.25">
      <c r="A43" s="298"/>
      <c r="B43" s="301"/>
      <c r="C43" s="320"/>
      <c r="D43" s="301"/>
      <c r="E43" s="301"/>
      <c r="F43" s="301"/>
      <c r="G43" s="301"/>
      <c r="H43" s="301"/>
      <c r="I43" s="301"/>
      <c r="J43" s="334"/>
      <c r="K43" s="305"/>
      <c r="L43" s="301"/>
      <c r="M43" s="305"/>
      <c r="N43" s="305"/>
      <c r="O43" s="305"/>
      <c r="P43" s="305"/>
      <c r="Q43" s="305"/>
      <c r="R43" s="305"/>
      <c r="S43" s="305"/>
      <c r="T43" s="352"/>
      <c r="U43" s="301"/>
      <c r="V43" s="373"/>
      <c r="W43" s="324"/>
      <c r="X43" s="324"/>
      <c r="Y43" s="324"/>
      <c r="Z43" s="325"/>
      <c r="AA43" s="301"/>
    </row>
    <row r="44" spans="1:27" x14ac:dyDescent="0.25">
      <c r="A44" s="298"/>
      <c r="B44" s="374" t="s">
        <v>773</v>
      </c>
      <c r="C44" s="369"/>
      <c r="D44" s="301"/>
      <c r="E44" s="301"/>
      <c r="F44" s="301"/>
      <c r="G44" s="301"/>
      <c r="H44" s="301"/>
      <c r="I44" s="301"/>
      <c r="J44" s="334"/>
      <c r="K44" s="305"/>
      <c r="L44" s="301"/>
      <c r="M44" s="305"/>
      <c r="N44" s="305"/>
      <c r="O44" s="305"/>
      <c r="P44" s="305"/>
      <c r="Q44" s="305"/>
      <c r="R44" s="305"/>
      <c r="S44" s="305"/>
      <c r="T44" s="587"/>
      <c r="U44" s="305"/>
      <c r="V44" s="301"/>
      <c r="W44" s="324"/>
      <c r="X44" s="324"/>
      <c r="Y44" s="324"/>
      <c r="Z44" s="325"/>
      <c r="AA44" s="301"/>
    </row>
    <row r="45" spans="1:27" x14ac:dyDescent="0.25">
      <c r="A45" s="298"/>
      <c r="B45" s="301"/>
      <c r="C45" s="369"/>
      <c r="D45" s="301"/>
      <c r="E45" s="301"/>
      <c r="F45" s="301"/>
      <c r="G45" s="301"/>
      <c r="H45" s="301"/>
      <c r="I45" s="301"/>
      <c r="J45" s="334"/>
      <c r="K45" s="301"/>
      <c r="L45" s="301"/>
      <c r="M45" s="305"/>
      <c r="N45" s="305"/>
      <c r="O45" s="305"/>
      <c r="P45" s="305"/>
      <c r="Q45" s="305"/>
      <c r="R45" s="305"/>
      <c r="S45" s="305"/>
      <c r="T45" s="587"/>
      <c r="U45" s="305"/>
      <c r="V45" s="301"/>
      <c r="W45" s="324"/>
      <c r="X45" s="324"/>
      <c r="Y45" s="324"/>
      <c r="Z45" s="325"/>
      <c r="AA45" s="301"/>
    </row>
    <row r="46" spans="1:27" x14ac:dyDescent="0.25">
      <c r="A46" s="298"/>
      <c r="B46" s="301"/>
      <c r="C46" s="299"/>
      <c r="D46" s="299"/>
      <c r="E46" s="301"/>
      <c r="F46" s="301"/>
      <c r="G46" s="301"/>
      <c r="H46" s="301"/>
      <c r="I46" s="301"/>
      <c r="J46" s="334"/>
      <c r="K46" s="305"/>
      <c r="L46" s="301"/>
      <c r="M46" s="305"/>
      <c r="N46" s="305"/>
      <c r="O46" s="305"/>
      <c r="P46" s="301"/>
      <c r="Q46" s="301"/>
      <c r="R46" s="365"/>
      <c r="S46" s="301"/>
      <c r="T46" s="607"/>
      <c r="U46" s="305"/>
      <c r="V46" s="305"/>
      <c r="W46" s="336"/>
      <c r="X46" s="336"/>
      <c r="Y46" s="336"/>
      <c r="Z46" s="325"/>
      <c r="AA46" s="301"/>
    </row>
    <row r="47" spans="1:27" x14ac:dyDescent="0.25">
      <c r="A47" s="375" t="s">
        <v>774</v>
      </c>
      <c r="B47" s="289"/>
      <c r="C47" s="313"/>
      <c r="D47" s="313"/>
      <c r="E47" s="313"/>
      <c r="F47" s="313"/>
      <c r="G47" s="313"/>
      <c r="H47" s="313"/>
      <c r="I47" s="313"/>
      <c r="J47" s="314"/>
      <c r="K47" s="315"/>
      <c r="L47" s="313"/>
      <c r="M47" s="316">
        <f>SUM(M48:M53)</f>
        <v>1568535.29</v>
      </c>
      <c r="N47" s="316"/>
      <c r="O47" s="316"/>
      <c r="P47" s="315">
        <f>SUM(P48:P49)</f>
        <v>0</v>
      </c>
      <c r="Q47" s="315">
        <f>SUM(Q48:Q49)</f>
        <v>0</v>
      </c>
      <c r="R47" s="315"/>
      <c r="S47" s="315">
        <f>SUM(S48:S49)</f>
        <v>0</v>
      </c>
      <c r="T47" s="408" t="e">
        <f>Tabla367[[#This Row],[TOTAL $]]+Tabla367[[#This Row],[IMP GANANCIAS ]]+#REF!</f>
        <v>#REF!</v>
      </c>
      <c r="U47" s="315">
        <v>850</v>
      </c>
      <c r="V47" s="313"/>
      <c r="W47" s="318" t="e">
        <f>SUM(W48:W53)</f>
        <v>#REF!</v>
      </c>
      <c r="X47" s="318"/>
      <c r="Y47" s="318"/>
      <c r="Z47" s="377"/>
      <c r="AA47" s="313"/>
    </row>
    <row r="48" spans="1:27" x14ac:dyDescent="0.25">
      <c r="A48" s="298"/>
      <c r="B48" s="378" t="s">
        <v>50</v>
      </c>
      <c r="C48" s="302"/>
      <c r="D48" s="301"/>
      <c r="E48" s="301"/>
      <c r="F48" s="301"/>
      <c r="G48" s="301"/>
      <c r="H48" s="301"/>
      <c r="I48" s="301"/>
      <c r="J48" s="334"/>
      <c r="K48" s="305"/>
      <c r="L48" s="301"/>
      <c r="M48" s="305">
        <f>1319034.29+228000</f>
        <v>1547034.29</v>
      </c>
      <c r="N48" s="305"/>
      <c r="O48" s="305"/>
      <c r="P48" s="305"/>
      <c r="Q48" s="305"/>
      <c r="R48" s="305"/>
      <c r="S48" s="305"/>
      <c r="T48" s="608" t="e">
        <f>Tabla367[[#This Row],[TOTAL $]]+Tabla367[[#This Row],[IMP GANANCIAS ]]+#REF!</f>
        <v>#REF!</v>
      </c>
      <c r="U48" s="305">
        <v>850</v>
      </c>
      <c r="V48" s="305"/>
      <c r="W48" s="309" t="e">
        <f>Tabla367[[#This Row],[TOTAL C/IVA ]]/Tabla367[[#This Row],[TC $/U$s]]</f>
        <v>#REF!</v>
      </c>
      <c r="X48" s="309"/>
      <c r="Y48" s="309"/>
      <c r="Z48" s="325"/>
      <c r="AA48" s="301"/>
    </row>
    <row r="49" spans="1:27" x14ac:dyDescent="0.25">
      <c r="A49" s="298"/>
      <c r="B49" s="301"/>
      <c r="C49" s="326"/>
      <c r="D49" s="301"/>
      <c r="E49" s="301"/>
      <c r="F49" s="301"/>
      <c r="G49" s="301"/>
      <c r="H49" s="301"/>
      <c r="I49" s="301"/>
      <c r="J49" s="334"/>
      <c r="K49" s="305"/>
      <c r="L49" s="301"/>
      <c r="M49" s="305"/>
      <c r="N49" s="305"/>
      <c r="O49" s="305"/>
      <c r="P49" s="305"/>
      <c r="Q49" s="305"/>
      <c r="R49" s="305"/>
      <c r="S49" s="305"/>
      <c r="T49" s="608"/>
      <c r="U49" s="305"/>
      <c r="V49" s="305"/>
      <c r="W49" s="309"/>
      <c r="X49" s="309"/>
      <c r="Y49" s="309"/>
      <c r="Z49" s="325"/>
      <c r="AA49" s="301"/>
    </row>
    <row r="50" spans="1:27" x14ac:dyDescent="0.25">
      <c r="A50" s="298"/>
      <c r="B50" s="378" t="s">
        <v>775</v>
      </c>
      <c r="C50" s="302"/>
      <c r="D50" s="301"/>
      <c r="E50" s="301"/>
      <c r="F50" s="301"/>
      <c r="G50" s="301"/>
      <c r="H50" s="301"/>
      <c r="I50" s="301"/>
      <c r="J50" s="334"/>
      <c r="K50" s="305"/>
      <c r="L50" s="301"/>
      <c r="M50" s="305">
        <v>21501</v>
      </c>
      <c r="N50" s="305"/>
      <c r="O50" s="305"/>
      <c r="P50" s="305"/>
      <c r="Q50" s="305"/>
      <c r="R50" s="305"/>
      <c r="S50" s="305"/>
      <c r="T50" s="608" t="e">
        <f>Tabla367[[#This Row],[TOTAL $]]+Tabla367[[#This Row],[IMP GANANCIAS ]]+#REF!</f>
        <v>#REF!</v>
      </c>
      <c r="U50" s="305">
        <v>850</v>
      </c>
      <c r="V50" s="380"/>
      <c r="W50" s="309" t="e">
        <f>Tabla367[[#This Row],[TOTAL C/IVA ]]/Tabla367[[#This Row],[TC $/U$s]]</f>
        <v>#REF!</v>
      </c>
      <c r="X50" s="309"/>
      <c r="Y50" s="309"/>
      <c r="Z50" s="325"/>
      <c r="AA50" s="301"/>
    </row>
    <row r="51" spans="1:27" x14ac:dyDescent="0.25">
      <c r="A51" s="298"/>
      <c r="B51" s="301"/>
      <c r="C51" s="326"/>
      <c r="D51" s="301"/>
      <c r="E51" s="301"/>
      <c r="F51" s="301"/>
      <c r="G51" s="301"/>
      <c r="H51" s="301"/>
      <c r="I51" s="301"/>
      <c r="J51" s="334"/>
      <c r="K51" s="305"/>
      <c r="L51" s="301"/>
      <c r="M51" s="305"/>
      <c r="N51" s="305"/>
      <c r="O51" s="305"/>
      <c r="P51" s="305"/>
      <c r="Q51" s="305"/>
      <c r="R51" s="305"/>
      <c r="S51" s="305"/>
      <c r="T51" s="608"/>
      <c r="U51" s="305"/>
      <c r="V51" s="380"/>
      <c r="W51" s="309"/>
      <c r="X51" s="309"/>
      <c r="Y51" s="309"/>
      <c r="Z51" s="325"/>
      <c r="AA51" s="301"/>
    </row>
    <row r="52" spans="1:27" x14ac:dyDescent="0.25">
      <c r="A52" s="298"/>
      <c r="B52" s="301"/>
      <c r="C52" s="326"/>
      <c r="D52" s="301"/>
      <c r="E52" s="301"/>
      <c r="F52" s="301"/>
      <c r="G52" s="301"/>
      <c r="H52" s="301"/>
      <c r="I52" s="301"/>
      <c r="J52" s="334"/>
      <c r="K52" s="305"/>
      <c r="L52" s="301"/>
      <c r="M52" s="305"/>
      <c r="N52" s="305"/>
      <c r="O52" s="305"/>
      <c r="P52" s="305"/>
      <c r="Q52" s="305"/>
      <c r="R52" s="305"/>
      <c r="S52" s="305"/>
      <c r="T52" s="608"/>
      <c r="U52" s="305"/>
      <c r="V52" s="380"/>
      <c r="W52" s="309"/>
      <c r="X52" s="309"/>
      <c r="Y52" s="309"/>
      <c r="Z52" s="325"/>
      <c r="AA52" s="301"/>
    </row>
    <row r="53" spans="1:27" x14ac:dyDescent="0.25">
      <c r="A53" s="298"/>
      <c r="B53" s="301"/>
      <c r="C53" s="301"/>
      <c r="D53" s="301"/>
      <c r="E53" s="301"/>
      <c r="F53" s="301"/>
      <c r="G53" s="301"/>
      <c r="H53" s="301"/>
      <c r="I53" s="301"/>
      <c r="J53" s="334"/>
      <c r="K53" s="305"/>
      <c r="L53" s="301"/>
      <c r="M53" s="305"/>
      <c r="N53" s="305"/>
      <c r="O53" s="305"/>
      <c r="P53" s="305"/>
      <c r="Q53" s="305"/>
      <c r="R53" s="305"/>
      <c r="S53" s="305"/>
      <c r="T53" s="608"/>
      <c r="U53" s="367"/>
      <c r="V53" s="380"/>
      <c r="W53" s="309"/>
      <c r="X53" s="309"/>
      <c r="Y53" s="309"/>
      <c r="Z53" s="325"/>
      <c r="AA53" s="301"/>
    </row>
    <row r="54" spans="1:27" x14ac:dyDescent="0.25">
      <c r="A54" s="375" t="s">
        <v>776</v>
      </c>
      <c r="B54" s="289"/>
      <c r="C54" s="313"/>
      <c r="D54" s="313"/>
      <c r="E54" s="313"/>
      <c r="F54" s="313"/>
      <c r="G54" s="313"/>
      <c r="H54" s="313"/>
      <c r="I54" s="313"/>
      <c r="J54" s="314"/>
      <c r="K54" s="315"/>
      <c r="L54" s="313"/>
      <c r="M54" s="316"/>
      <c r="N54" s="316"/>
      <c r="O54" s="316"/>
      <c r="P54" s="315"/>
      <c r="Q54" s="315"/>
      <c r="R54" s="315"/>
      <c r="S54" s="315"/>
      <c r="T54" s="408"/>
      <c r="U54" s="313"/>
      <c r="V54" s="313"/>
      <c r="W54" s="318">
        <f>SUM(W55:W60)</f>
        <v>0</v>
      </c>
      <c r="X54" s="318"/>
      <c r="Y54" s="318"/>
      <c r="Z54" s="377"/>
      <c r="AA54" s="313"/>
    </row>
    <row r="55" spans="1:27" x14ac:dyDescent="0.25">
      <c r="A55" s="298"/>
      <c r="B55" s="301"/>
      <c r="C55" s="326"/>
      <c r="D55" s="301"/>
      <c r="E55" s="333"/>
      <c r="F55" s="301"/>
      <c r="G55" s="301"/>
      <c r="H55" s="301"/>
      <c r="I55" s="301"/>
      <c r="J55" s="334"/>
      <c r="K55" s="305"/>
      <c r="L55" s="301"/>
      <c r="M55" s="305"/>
      <c r="N55" s="351"/>
      <c r="O55" s="351"/>
      <c r="P55" s="305"/>
      <c r="Q55" s="305"/>
      <c r="R55" s="305"/>
      <c r="S55" s="305"/>
      <c r="T55" s="606"/>
      <c r="U55" s="305"/>
      <c r="V55" s="301"/>
      <c r="W55" s="309"/>
      <c r="X55" s="336"/>
      <c r="Y55" s="336"/>
      <c r="Z55" s="325"/>
      <c r="AA55" s="301"/>
    </row>
    <row r="56" spans="1:27" x14ac:dyDescent="0.25">
      <c r="A56" s="298"/>
      <c r="B56" s="301"/>
      <c r="C56" s="326"/>
      <c r="D56" s="301"/>
      <c r="E56" s="333"/>
      <c r="F56" s="301"/>
      <c r="G56" s="301"/>
      <c r="H56" s="301"/>
      <c r="I56" s="301"/>
      <c r="J56" s="334"/>
      <c r="K56" s="305"/>
      <c r="L56" s="301"/>
      <c r="M56" s="305"/>
      <c r="N56" s="351"/>
      <c r="O56" s="351"/>
      <c r="P56" s="305"/>
      <c r="Q56" s="305"/>
      <c r="R56" s="305"/>
      <c r="S56" s="305"/>
      <c r="T56" s="606"/>
      <c r="U56" s="305"/>
      <c r="V56" s="301"/>
      <c r="W56" s="309"/>
      <c r="X56" s="336"/>
      <c r="Y56" s="336"/>
      <c r="Z56" s="325"/>
      <c r="AA56" s="301"/>
    </row>
    <row r="57" spans="1:27" x14ac:dyDescent="0.25">
      <c r="A57" s="298"/>
      <c r="B57" s="301"/>
      <c r="C57" s="326"/>
      <c r="D57" s="301"/>
      <c r="E57" s="333"/>
      <c r="F57" s="301"/>
      <c r="G57" s="301"/>
      <c r="H57" s="301"/>
      <c r="I57" s="301"/>
      <c r="J57" s="334"/>
      <c r="K57" s="305"/>
      <c r="L57" s="301"/>
      <c r="M57" s="305"/>
      <c r="N57" s="351"/>
      <c r="O57" s="351"/>
      <c r="P57" s="305"/>
      <c r="Q57" s="305"/>
      <c r="R57" s="305"/>
      <c r="S57" s="305"/>
      <c r="T57" s="606"/>
      <c r="U57" s="305"/>
      <c r="V57" s="301"/>
      <c r="W57" s="309"/>
      <c r="X57" s="336"/>
      <c r="Y57" s="336"/>
      <c r="Z57" s="325"/>
      <c r="AA57" s="301"/>
    </row>
    <row r="58" spans="1:27" x14ac:dyDescent="0.25">
      <c r="A58" s="298"/>
      <c r="B58" s="301"/>
      <c r="C58" s="326"/>
      <c r="D58" s="301"/>
      <c r="E58" s="333"/>
      <c r="F58" s="301"/>
      <c r="G58" s="301"/>
      <c r="H58" s="301"/>
      <c r="I58" s="301"/>
      <c r="J58" s="334"/>
      <c r="K58" s="305"/>
      <c r="L58" s="301"/>
      <c r="M58" s="305"/>
      <c r="N58" s="351"/>
      <c r="O58" s="351"/>
      <c r="P58" s="305"/>
      <c r="Q58" s="305"/>
      <c r="R58" s="305"/>
      <c r="S58" s="305"/>
      <c r="T58" s="606"/>
      <c r="U58" s="305"/>
      <c r="V58" s="301"/>
      <c r="W58" s="309"/>
      <c r="X58" s="336"/>
      <c r="Y58" s="336"/>
      <c r="Z58" s="325"/>
      <c r="AA58" s="301"/>
    </row>
    <row r="59" spans="1:27" x14ac:dyDescent="0.25">
      <c r="A59" s="298"/>
      <c r="B59" s="301"/>
      <c r="C59" s="326"/>
      <c r="D59" s="301"/>
      <c r="E59" s="333"/>
      <c r="F59" s="301"/>
      <c r="G59" s="301"/>
      <c r="H59" s="301"/>
      <c r="I59" s="301"/>
      <c r="J59" s="334"/>
      <c r="K59" s="305"/>
      <c r="L59" s="301"/>
      <c r="M59" s="305"/>
      <c r="N59" s="351"/>
      <c r="O59" s="351"/>
      <c r="P59" s="305"/>
      <c r="Q59" s="305"/>
      <c r="R59" s="305"/>
      <c r="S59" s="305"/>
      <c r="T59" s="606"/>
      <c r="U59" s="305"/>
      <c r="V59" s="301"/>
      <c r="W59" s="309"/>
      <c r="X59" s="336"/>
      <c r="Y59" s="336"/>
      <c r="Z59" s="325"/>
      <c r="AA59" s="301"/>
    </row>
    <row r="60" spans="1:27" x14ac:dyDescent="0.25">
      <c r="A60" s="298"/>
      <c r="B60" s="301"/>
      <c r="C60" s="326"/>
      <c r="D60" s="301"/>
      <c r="E60" s="301"/>
      <c r="F60" s="301"/>
      <c r="G60" s="301"/>
      <c r="H60" s="301"/>
      <c r="I60" s="301"/>
      <c r="J60" s="334"/>
      <c r="K60" s="305"/>
      <c r="L60" s="301"/>
      <c r="M60" s="351"/>
      <c r="N60" s="351"/>
      <c r="O60" s="351"/>
      <c r="P60" s="305"/>
      <c r="Q60" s="305"/>
      <c r="R60" s="305"/>
      <c r="S60" s="305"/>
      <c r="T60" s="606"/>
      <c r="U60" s="301"/>
      <c r="V60" s="301"/>
      <c r="W60" s="336"/>
      <c r="X60" s="336"/>
      <c r="Y60" s="336"/>
      <c r="Z60" s="325"/>
      <c r="AA60" s="301"/>
    </row>
    <row r="61" spans="1:27" x14ac:dyDescent="0.25">
      <c r="A61" s="375" t="s">
        <v>338</v>
      </c>
      <c r="B61" s="289"/>
      <c r="C61" s="289"/>
      <c r="D61" s="289"/>
      <c r="E61" s="289"/>
      <c r="F61" s="289"/>
      <c r="G61" s="289"/>
      <c r="H61" s="289"/>
      <c r="I61" s="289"/>
      <c r="J61" s="381"/>
      <c r="K61" s="289"/>
      <c r="L61" s="289"/>
      <c r="M61" s="316">
        <f>SUM(M62:M63)</f>
        <v>180999</v>
      </c>
      <c r="N61" s="316"/>
      <c r="O61" s="316"/>
      <c r="P61" s="316">
        <f t="shared" ref="P61:U61" si="3">SUM(P62:P63)</f>
        <v>0</v>
      </c>
      <c r="Q61" s="316">
        <f t="shared" si="3"/>
        <v>0</v>
      </c>
      <c r="R61" s="316">
        <f t="shared" si="3"/>
        <v>0</v>
      </c>
      <c r="S61" s="316">
        <f t="shared" si="3"/>
        <v>0</v>
      </c>
      <c r="T61" s="408">
        <f t="shared" si="3"/>
        <v>0</v>
      </c>
      <c r="U61" s="316">
        <f t="shared" si="3"/>
        <v>0</v>
      </c>
      <c r="V61" s="316"/>
      <c r="W61" s="318">
        <f>SUM(W62:W63)</f>
        <v>0</v>
      </c>
      <c r="X61" s="318"/>
      <c r="Y61" s="318"/>
      <c r="Z61" s="382"/>
      <c r="AA61" s="289"/>
    </row>
    <row r="62" spans="1:27" x14ac:dyDescent="0.25">
      <c r="A62" s="298"/>
      <c r="B62" s="299" t="s">
        <v>46</v>
      </c>
      <c r="C62" s="383"/>
      <c r="D62" s="383"/>
      <c r="E62" s="301"/>
      <c r="F62" s="301"/>
      <c r="G62" s="301"/>
      <c r="H62" s="301"/>
      <c r="I62" s="301"/>
      <c r="J62" s="334"/>
      <c r="K62" s="384"/>
      <c r="L62" s="301"/>
      <c r="M62" s="365">
        <f>0.02*M4</f>
        <v>180999</v>
      </c>
      <c r="N62" s="365"/>
      <c r="O62" s="365"/>
      <c r="P62" s="365"/>
      <c r="Q62" s="365"/>
      <c r="R62" s="365"/>
      <c r="S62" s="365"/>
      <c r="T62" s="607"/>
      <c r="U62" s="301"/>
      <c r="V62" s="301"/>
      <c r="W62" s="336"/>
      <c r="X62" s="336"/>
      <c r="Y62" s="336"/>
      <c r="Z62" s="325"/>
      <c r="AA62" s="301"/>
    </row>
    <row r="63" spans="1:27" x14ac:dyDescent="0.25">
      <c r="A63" s="298"/>
      <c r="B63" s="299" t="s">
        <v>36</v>
      </c>
      <c r="C63" s="383"/>
      <c r="D63" s="383"/>
      <c r="E63" s="301"/>
      <c r="F63" s="301"/>
      <c r="G63" s="301"/>
      <c r="H63" s="301"/>
      <c r="I63" s="301"/>
      <c r="J63" s="334"/>
      <c r="K63" s="301"/>
      <c r="L63" s="301"/>
      <c r="M63" s="365"/>
      <c r="N63" s="365"/>
      <c r="O63" s="365"/>
      <c r="P63" s="365"/>
      <c r="Q63" s="365"/>
      <c r="R63" s="365"/>
      <c r="S63" s="365"/>
      <c r="T63" s="607"/>
      <c r="U63" s="365"/>
      <c r="V63" s="365"/>
      <c r="W63" s="336"/>
      <c r="X63" s="336"/>
      <c r="Y63" s="336"/>
      <c r="Z63" s="325"/>
      <c r="AA63" s="337"/>
    </row>
    <row r="64" spans="1:27" x14ac:dyDescent="0.25">
      <c r="A64" s="385" t="s">
        <v>777</v>
      </c>
      <c r="B64" s="290"/>
      <c r="C64" s="291"/>
      <c r="D64" s="291"/>
      <c r="E64" s="386"/>
      <c r="F64" s="291"/>
      <c r="G64" s="291"/>
      <c r="H64" s="291"/>
      <c r="I64" s="291"/>
      <c r="J64" s="293"/>
      <c r="K64" s="291"/>
      <c r="L64" s="291"/>
      <c r="M64" s="294">
        <f>SUM(M20,M47,M54,M61)</f>
        <v>1749534.29</v>
      </c>
      <c r="N64" s="291"/>
      <c r="O64" s="291"/>
      <c r="P64" s="291"/>
      <c r="Q64" s="291"/>
      <c r="R64" s="294">
        <f>SUM(R20,R47,R54,R61)</f>
        <v>0</v>
      </c>
      <c r="S64" s="291"/>
      <c r="T64" s="609" t="e">
        <f>SUM(T20,T47,T54,T61)</f>
        <v>#REF!</v>
      </c>
      <c r="U64" s="388"/>
      <c r="V64" s="388"/>
      <c r="W64" s="389" t="e">
        <f>SUM(W20,W47,W54,W61)</f>
        <v>#REF!</v>
      </c>
      <c r="X64" s="297"/>
      <c r="Y64" s="297"/>
      <c r="Z64" s="377"/>
      <c r="AA64" s="289"/>
    </row>
    <row r="65" spans="1:27" x14ac:dyDescent="0.25">
      <c r="A65" s="363"/>
      <c r="B65" s="337"/>
      <c r="C65" s="301"/>
      <c r="D65" s="301"/>
      <c r="E65" s="333"/>
      <c r="F65" s="301"/>
      <c r="G65" s="301"/>
      <c r="H65" s="301"/>
      <c r="I65" s="301"/>
      <c r="J65" s="334"/>
      <c r="K65" s="305"/>
      <c r="L65" s="301"/>
      <c r="M65" s="371"/>
      <c r="N65" s="371"/>
      <c r="O65" s="371"/>
      <c r="P65" s="371"/>
      <c r="Q65" s="371"/>
      <c r="R65" s="371"/>
      <c r="S65" s="371"/>
      <c r="T65" s="607"/>
      <c r="U65" s="301"/>
      <c r="V65" s="301"/>
      <c r="W65" s="336"/>
      <c r="X65" s="336"/>
      <c r="Y65" s="336"/>
      <c r="Z65" s="325"/>
      <c r="AA65" s="337"/>
    </row>
    <row r="66" spans="1:27" x14ac:dyDescent="0.25">
      <c r="A66" s="390" t="s">
        <v>778</v>
      </c>
      <c r="B66" s="391"/>
      <c r="C66" s="392"/>
      <c r="D66" s="392"/>
      <c r="E66" s="393"/>
      <c r="F66" s="391"/>
      <c r="G66" s="391"/>
      <c r="H66" s="391"/>
      <c r="I66" s="391"/>
      <c r="J66" s="394"/>
      <c r="K66" s="395"/>
      <c r="L66" s="396"/>
      <c r="M66" s="397">
        <f>M18-M64</f>
        <v>41802405.210000001</v>
      </c>
      <c r="N66" s="397"/>
      <c r="O66" s="397"/>
      <c r="P66" s="398">
        <f t="shared" ref="P66:U66" si="4">P18-P64</f>
        <v>2950</v>
      </c>
      <c r="Q66" s="398">
        <f t="shared" si="4"/>
        <v>2167694.8586999997</v>
      </c>
      <c r="R66" s="398">
        <f t="shared" si="4"/>
        <v>2714233.8800000008</v>
      </c>
      <c r="S66" s="398">
        <f t="shared" si="4"/>
        <v>-55670.74</v>
      </c>
      <c r="T66" s="610" t="e">
        <f t="shared" si="4"/>
        <v>#REF!</v>
      </c>
      <c r="U66" s="398">
        <f t="shared" si="4"/>
        <v>0</v>
      </c>
      <c r="V66" s="398"/>
      <c r="W66" s="406" t="e">
        <f>W18-W64</f>
        <v>#REF!</v>
      </c>
      <c r="X66" s="406"/>
      <c r="Y66" s="406"/>
      <c r="Z66" s="412"/>
      <c r="AA66" s="348"/>
    </row>
  </sheetData>
  <mergeCells count="1">
    <mergeCell ref="A1:J1"/>
  </mergeCells>
  <pageMargins left="0.25" right="0.25" top="0.75" bottom="0.75" header="0.3" footer="0.3"/>
  <pageSetup orientation="landscape" r:id="rId1"/>
  <ignoredErrors>
    <ignoredError sqref="U3" formulaRange="1"/>
    <ignoredError sqref="M7 W7" formula="1"/>
  </ignoredErrors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6CAC7-21A4-428D-9C05-8B667ADAC06E}">
  <sheetPr>
    <tabColor rgb="FF93FF79"/>
  </sheetPr>
  <dimension ref="A1:Z137"/>
  <sheetViews>
    <sheetView topLeftCell="O4" zoomScale="110" zoomScaleNormal="110" workbookViewId="0">
      <selection activeCell="T13" sqref="T13"/>
    </sheetView>
  </sheetViews>
  <sheetFormatPr baseColWidth="10" defaultColWidth="11.42578125" defaultRowHeight="15" x14ac:dyDescent="0.25"/>
  <cols>
    <col min="1" max="1" width="10.28515625" customWidth="1"/>
    <col min="2" max="2" width="7.85546875" customWidth="1"/>
    <col min="3" max="3" width="8.7109375" customWidth="1"/>
    <col min="4" max="4" width="7.85546875" customWidth="1"/>
    <col min="5" max="5" width="6.28515625" customWidth="1"/>
    <col min="6" max="6" width="8.140625" customWidth="1"/>
    <col min="7" max="10" width="7.28515625" customWidth="1"/>
    <col min="11" max="11" width="14.140625" bestFit="1" customWidth="1"/>
    <col min="12" max="12" width="7" customWidth="1"/>
    <col min="13" max="13" width="18.140625" bestFit="1" customWidth="1"/>
    <col min="14" max="14" width="10.85546875" customWidth="1"/>
    <col min="15" max="17" width="13.7109375" customWidth="1"/>
    <col min="18" max="18" width="10" customWidth="1"/>
    <col min="19" max="19" width="13.7109375" customWidth="1"/>
    <col min="20" max="20" width="18.7109375" customWidth="1"/>
    <col min="21" max="21" width="12" customWidth="1"/>
    <col min="22" max="22" width="11.7109375" customWidth="1"/>
    <col min="23" max="23" width="10.85546875" bestFit="1" customWidth="1"/>
    <col min="24" max="24" width="16.42578125" customWidth="1"/>
    <col min="25" max="25" width="16" customWidth="1"/>
    <col min="26" max="26" width="17.42578125" customWidth="1"/>
  </cols>
  <sheetData>
    <row r="1" spans="1:26" ht="33" customHeight="1" x14ac:dyDescent="0.25">
      <c r="A1" s="1598" t="s">
        <v>47</v>
      </c>
      <c r="B1" s="1599"/>
      <c r="C1" s="1599"/>
      <c r="D1" s="1599"/>
      <c r="E1" s="1599"/>
      <c r="F1" s="1599"/>
      <c r="G1" s="1599"/>
      <c r="H1" s="1599"/>
      <c r="I1" s="1599"/>
      <c r="J1" s="1600"/>
    </row>
    <row r="2" spans="1:26" ht="33.75" x14ac:dyDescent="0.25">
      <c r="A2" s="984" t="s">
        <v>0</v>
      </c>
      <c r="B2" s="978" t="s">
        <v>14</v>
      </c>
      <c r="C2" s="978" t="s">
        <v>15</v>
      </c>
      <c r="D2" s="978" t="s">
        <v>744</v>
      </c>
      <c r="E2" s="978" t="s">
        <v>745</v>
      </c>
      <c r="F2" s="978" t="s">
        <v>354</v>
      </c>
      <c r="G2" s="978" t="s">
        <v>355</v>
      </c>
      <c r="H2" s="978" t="s">
        <v>746</v>
      </c>
      <c r="I2" s="978" t="s">
        <v>356</v>
      </c>
      <c r="J2" s="985" t="s">
        <v>747</v>
      </c>
      <c r="K2" s="978" t="s">
        <v>748</v>
      </c>
      <c r="L2" s="978" t="s">
        <v>749</v>
      </c>
      <c r="M2" s="978" t="s">
        <v>750</v>
      </c>
      <c r="N2" s="978" t="s">
        <v>60</v>
      </c>
      <c r="O2" s="978" t="s">
        <v>46</v>
      </c>
      <c r="P2" s="978" t="s">
        <v>779</v>
      </c>
      <c r="Q2" s="986" t="s">
        <v>361</v>
      </c>
      <c r="R2" s="986" t="s">
        <v>362</v>
      </c>
      <c r="S2" s="986" t="s">
        <v>780</v>
      </c>
      <c r="T2" s="987" t="s">
        <v>753</v>
      </c>
      <c r="U2" s="986" t="s">
        <v>781</v>
      </c>
      <c r="V2" s="978" t="s">
        <v>754</v>
      </c>
      <c r="W2" s="978" t="s">
        <v>711</v>
      </c>
      <c r="X2" s="988" t="s">
        <v>702</v>
      </c>
      <c r="Y2" s="987" t="s">
        <v>757</v>
      </c>
      <c r="Z2" s="987" t="s">
        <v>758</v>
      </c>
    </row>
    <row r="3" spans="1:26" x14ac:dyDescent="0.25">
      <c r="A3" s="1111" t="s">
        <v>759</v>
      </c>
      <c r="B3" s="1112"/>
      <c r="C3" s="1112"/>
      <c r="D3" s="1112"/>
      <c r="E3" s="1113"/>
      <c r="F3" s="1113"/>
      <c r="G3" s="1114"/>
      <c r="H3" s="1115"/>
      <c r="I3" s="1114"/>
      <c r="J3" s="1114"/>
      <c r="K3" s="1114"/>
      <c r="L3" s="1114"/>
      <c r="M3" s="1116">
        <f>SUM(M4)</f>
        <v>21741330</v>
      </c>
      <c r="N3" s="1116">
        <f t="shared" ref="N3:R3" si="0">SUM(N4)</f>
        <v>0</v>
      </c>
      <c r="O3" s="1116">
        <f t="shared" si="0"/>
        <v>652239.9</v>
      </c>
      <c r="P3" s="1116">
        <f t="shared" si="0"/>
        <v>0</v>
      </c>
      <c r="Q3" s="1116">
        <f t="shared" si="0"/>
        <v>2351324.8394999998</v>
      </c>
      <c r="R3" s="1116">
        <f t="shared" si="0"/>
        <v>0</v>
      </c>
      <c r="S3" s="1116">
        <f>SUM(S4)</f>
        <v>0</v>
      </c>
      <c r="T3" s="1117">
        <f>SUM(T4)</f>
        <v>24744894.739499997</v>
      </c>
      <c r="U3" s="1117"/>
      <c r="V3" s="1116">
        <v>235</v>
      </c>
      <c r="W3" s="1114"/>
      <c r="X3" s="1118">
        <f>X4</f>
        <v>105297.42442340424</v>
      </c>
      <c r="Y3" s="1114"/>
      <c r="Z3" s="1119"/>
    </row>
    <row r="4" spans="1:26" x14ac:dyDescent="0.25">
      <c r="A4" s="822">
        <v>45016</v>
      </c>
      <c r="B4" s="989" t="s">
        <v>782</v>
      </c>
      <c r="C4" s="989" t="s">
        <v>231</v>
      </c>
      <c r="D4" s="990"/>
      <c r="E4" s="302">
        <v>283</v>
      </c>
      <c r="F4" s="302"/>
      <c r="G4" s="302"/>
      <c r="H4" s="991">
        <v>147</v>
      </c>
      <c r="I4" s="302">
        <v>41730</v>
      </c>
      <c r="J4" s="992"/>
      <c r="K4" s="823">
        <v>521</v>
      </c>
      <c r="L4" s="302" t="s">
        <v>760</v>
      </c>
      <c r="M4" s="823">
        <f>+K4*I4</f>
        <v>21741330</v>
      </c>
      <c r="N4" s="823"/>
      <c r="O4" s="823">
        <f>326119.95*2</f>
        <v>652239.9</v>
      </c>
      <c r="P4" s="823"/>
      <c r="Q4" s="823">
        <f>(Tabla36[[#This Row],[TOTAL $]]+Tabla36[[#This Row],[COMISIONES]])*0.105</f>
        <v>2351324.8394999998</v>
      </c>
      <c r="R4" s="823"/>
      <c r="S4" s="823"/>
      <c r="T4" s="823">
        <f>SUM(Tabla36[[#This Row],[TOTAL $]:[TOTAL C/IVA EFEC]])</f>
        <v>24744894.739499997</v>
      </c>
      <c r="U4" s="823"/>
      <c r="V4" s="824">
        <v>235</v>
      </c>
      <c r="W4" s="825"/>
      <c r="X4" s="954">
        <f>Tabla36[[#This Row],[TOTAL C/IVA ]]/Tabla36[[#This Row],[TC $/U$s]]</f>
        <v>105297.42442340424</v>
      </c>
      <c r="Y4" s="823"/>
      <c r="Z4" s="949"/>
    </row>
    <row r="5" spans="1:26" x14ac:dyDescent="0.25">
      <c r="A5" s="1108" t="s">
        <v>761</v>
      </c>
      <c r="B5" s="1109"/>
      <c r="C5" s="1100"/>
      <c r="D5" s="1100"/>
      <c r="E5" s="1097">
        <f>SUM(E6:E12)</f>
        <v>276</v>
      </c>
      <c r="F5" s="1097"/>
      <c r="G5" s="1097"/>
      <c r="H5" s="1097"/>
      <c r="I5" s="1097"/>
      <c r="J5" s="1097"/>
      <c r="K5" s="1106"/>
      <c r="L5" s="1097"/>
      <c r="M5" s="1106">
        <f>SUM(M6:M12)</f>
        <v>236559350.90000001</v>
      </c>
      <c r="N5" s="1106">
        <f t="shared" ref="N5:S5" si="1">SUM(N6:N12)</f>
        <v>0</v>
      </c>
      <c r="O5" s="1106">
        <f t="shared" si="1"/>
        <v>0</v>
      </c>
      <c r="P5" s="1106">
        <f t="shared" si="1"/>
        <v>20391026</v>
      </c>
      <c r="Q5" s="1106">
        <f t="shared" si="1"/>
        <v>24460262.937866196</v>
      </c>
      <c r="R5" s="1106">
        <f t="shared" si="1"/>
        <v>0</v>
      </c>
      <c r="S5" s="1106">
        <f t="shared" si="1"/>
        <v>281410639.83786619</v>
      </c>
      <c r="T5" s="1095">
        <f>SUM(T6:T12)</f>
        <v>243563249.8709814</v>
      </c>
      <c r="U5" s="1103"/>
      <c r="V5" s="1094">
        <v>920</v>
      </c>
      <c r="W5" s="1110"/>
      <c r="X5" s="1096">
        <f>SUM(X6:X12)</f>
        <v>343183.70711934898</v>
      </c>
      <c r="Y5" s="1106"/>
      <c r="Z5" s="1107"/>
    </row>
    <row r="6" spans="1:26" x14ac:dyDescent="0.25">
      <c r="A6" s="822">
        <v>45322</v>
      </c>
      <c r="B6" s="989" t="s">
        <v>170</v>
      </c>
      <c r="C6" s="302" t="s">
        <v>762</v>
      </c>
      <c r="D6" s="302"/>
      <c r="E6" s="993">
        <v>20</v>
      </c>
      <c r="F6" s="993"/>
      <c r="G6" s="993">
        <v>8780</v>
      </c>
      <c r="H6" s="991">
        <f>Tabla36[[#This Row],[KG NETOS TOT]]/Tabla36[[#This Row],[cant]]</f>
        <v>408.25</v>
      </c>
      <c r="I6" s="993">
        <v>8165</v>
      </c>
      <c r="J6" s="994">
        <v>7.5321494182486237E-2</v>
      </c>
      <c r="K6" s="824">
        <v>1610</v>
      </c>
      <c r="L6" s="993"/>
      <c r="M6" s="824">
        <f>Tabla36[[#This Row],[cant]]*Tabla36[[#This Row],[KG P/ANIM]]*Tabla36[[#This Row],[ $  MERCADO]]</f>
        <v>13145650</v>
      </c>
      <c r="N6" s="824"/>
      <c r="O6" s="824"/>
      <c r="P6" s="824">
        <v>2531150</v>
      </c>
      <c r="Q6" s="824">
        <v>1106691.6443661971</v>
      </c>
      <c r="R6" s="824"/>
      <c r="S6" s="824">
        <f>SUM(Tabla36[[#This Row],[TOTAL $]:[IVA 21]])</f>
        <v>16783491.644366197</v>
      </c>
      <c r="T6" s="824">
        <v>11646612.066901401</v>
      </c>
      <c r="U6" s="995"/>
      <c r="V6" s="824">
        <v>820</v>
      </c>
      <c r="W6" s="824"/>
      <c r="X6" s="954">
        <f>Tabla36[[#This Row],[TOTAL C/IVA EFEC]]/Tabla36[[#This Row],[TC $/U$s]]</f>
        <v>20467.67273703195</v>
      </c>
      <c r="Y6" s="823"/>
      <c r="Z6" s="949"/>
    </row>
    <row r="7" spans="1:26" x14ac:dyDescent="0.25">
      <c r="A7" s="822">
        <v>45391</v>
      </c>
      <c r="B7" s="989" t="s">
        <v>170</v>
      </c>
      <c r="C7" s="302" t="s">
        <v>762</v>
      </c>
      <c r="D7" s="302"/>
      <c r="E7" s="993">
        <v>38</v>
      </c>
      <c r="F7" s="993"/>
      <c r="G7" s="993">
        <v>18640</v>
      </c>
      <c r="H7" s="991">
        <f>Tabla36[[#This Row],[KG NETOS TOT]]/Tabla36[[#This Row],[cant]]</f>
        <v>456.18421052631578</v>
      </c>
      <c r="I7" s="993">
        <v>17335</v>
      </c>
      <c r="J7" s="994">
        <v>7.5281222959330929E-2</v>
      </c>
      <c r="K7" s="824">
        <v>1520</v>
      </c>
      <c r="L7" s="993"/>
      <c r="M7" s="824">
        <v>26349200</v>
      </c>
      <c r="N7" s="824"/>
      <c r="O7" s="824"/>
      <c r="P7" s="824">
        <v>6587300</v>
      </c>
      <c r="Q7" s="824">
        <v>2766666</v>
      </c>
      <c r="R7" s="824"/>
      <c r="S7" s="824">
        <f>SUM(Tabla36[[#This Row],[TOTAL $]:[IVA 21]])</f>
        <v>35703166</v>
      </c>
      <c r="T7" s="824">
        <v>29115866</v>
      </c>
      <c r="U7" s="824">
        <v>522504</v>
      </c>
      <c r="V7" s="824">
        <v>820</v>
      </c>
      <c r="W7" s="824"/>
      <c r="X7" s="954">
        <f>Tabla36[[#This Row],[TOTAL C/IVA EFEC]]/Tabla36[[#This Row],[TC $/U$s]]</f>
        <v>43540.446341463416</v>
      </c>
      <c r="Y7" s="302"/>
      <c r="Z7" s="949"/>
    </row>
    <row r="8" spans="1:26" x14ac:dyDescent="0.25">
      <c r="A8" s="822">
        <v>45422</v>
      </c>
      <c r="B8" s="989" t="s">
        <v>170</v>
      </c>
      <c r="C8" s="302" t="s">
        <v>762</v>
      </c>
      <c r="D8" s="302"/>
      <c r="E8" s="993">
        <v>45</v>
      </c>
      <c r="F8" s="993"/>
      <c r="G8" s="993">
        <v>22400</v>
      </c>
      <c r="H8" s="991">
        <f>Tabla36[[#This Row],[KG NETOS TOT]]/Tabla36[[#This Row],[cant]]</f>
        <v>457.95555555555558</v>
      </c>
      <c r="I8" s="993">
        <v>20608</v>
      </c>
      <c r="J8" s="994">
        <v>8.6956521739130377E-2</v>
      </c>
      <c r="K8" s="824">
        <v>1353</v>
      </c>
      <c r="L8" s="993"/>
      <c r="M8" s="824">
        <v>27882624</v>
      </c>
      <c r="N8" s="824"/>
      <c r="O8" s="824"/>
      <c r="P8" s="824">
        <v>11272576</v>
      </c>
      <c r="Q8" s="824">
        <v>2927675.52</v>
      </c>
      <c r="R8" s="824"/>
      <c r="S8" s="824">
        <f>SUM(Tabla36[[#This Row],[TOTAL $]:[IVA 21]])</f>
        <v>42082875.520000003</v>
      </c>
      <c r="T8" s="824">
        <v>19537723.52</v>
      </c>
      <c r="U8" s="960"/>
      <c r="V8" s="824">
        <v>820</v>
      </c>
      <c r="W8" s="824"/>
      <c r="X8" s="954">
        <f>Tabla36[[#This Row],[TOTAL C/IVA EFEC]]/Tabla36[[#This Row],[TC $/U$s]]</f>
        <v>51320.579902439029</v>
      </c>
      <c r="Y8" s="302"/>
      <c r="Z8" s="949"/>
    </row>
    <row r="9" spans="1:26" x14ac:dyDescent="0.25">
      <c r="A9" s="822">
        <v>45439</v>
      </c>
      <c r="B9" s="989" t="s">
        <v>170</v>
      </c>
      <c r="C9" s="302" t="s">
        <v>762</v>
      </c>
      <c r="D9" s="997"/>
      <c r="E9" s="993">
        <v>55</v>
      </c>
      <c r="F9" s="998"/>
      <c r="G9" s="993">
        <v>27740</v>
      </c>
      <c r="H9" s="991">
        <f>Tabla36[[#This Row],[KG NETOS TOT]]/Tabla36[[#This Row],[cant]]</f>
        <v>489.45454545454544</v>
      </c>
      <c r="I9" s="993">
        <v>26920</v>
      </c>
      <c r="J9" s="994">
        <v>3.0460624071322329E-2</v>
      </c>
      <c r="K9" s="824">
        <v>2023.29</v>
      </c>
      <c r="L9" s="993" t="s">
        <v>760</v>
      </c>
      <c r="M9" s="824">
        <v>54466966.800000004</v>
      </c>
      <c r="N9" s="824"/>
      <c r="O9" s="824"/>
      <c r="P9" s="824"/>
      <c r="Q9" s="824">
        <v>5719031.5140000004</v>
      </c>
      <c r="R9" s="824"/>
      <c r="S9" s="824">
        <f>SUM(Tabla36[[#This Row],[TOTAL $]:[IVA 21]])</f>
        <v>60185998.314000003</v>
      </c>
      <c r="T9" s="824">
        <v>58380418.364580005</v>
      </c>
      <c r="U9" s="960"/>
      <c r="V9" s="824">
        <v>820</v>
      </c>
      <c r="W9" s="824"/>
      <c r="X9" s="954">
        <f>Tabla36[[#This Row],[TOTAL C/IVA EFEC]]/Tabla36[[#This Row],[TC $/U$s]]</f>
        <v>73397.558919512201</v>
      </c>
      <c r="Y9" s="997" t="s">
        <v>783</v>
      </c>
      <c r="Z9" s="1039" t="s">
        <v>784</v>
      </c>
    </row>
    <row r="10" spans="1:26" x14ac:dyDescent="0.25">
      <c r="A10" s="822">
        <v>45442</v>
      </c>
      <c r="B10" s="989" t="s">
        <v>170</v>
      </c>
      <c r="C10" s="302" t="s">
        <v>762</v>
      </c>
      <c r="D10" s="999"/>
      <c r="E10" s="993">
        <v>38</v>
      </c>
      <c r="F10" s="998"/>
      <c r="G10" s="993">
        <v>19300</v>
      </c>
      <c r="H10" s="991">
        <f>Tabla36[[#This Row],[KG NETOS TOT]]/Tabla36[[#This Row],[cant]]</f>
        <v>503.94736842105266</v>
      </c>
      <c r="I10" s="993">
        <v>19150</v>
      </c>
      <c r="J10" s="994">
        <v>7.8328981723236879E-3</v>
      </c>
      <c r="K10" s="824">
        <v>2066.7399999999998</v>
      </c>
      <c r="L10" s="993" t="s">
        <v>760</v>
      </c>
      <c r="M10" s="824">
        <v>39578070.999999993</v>
      </c>
      <c r="N10" s="824"/>
      <c r="O10" s="824"/>
      <c r="P10" s="824"/>
      <c r="Q10" s="824">
        <v>4155697.4549999991</v>
      </c>
      <c r="R10" s="824"/>
      <c r="S10" s="824">
        <f>SUM(Tabla36[[#This Row],[TOTAL $]:[IVA 21]])</f>
        <v>43733768.454999991</v>
      </c>
      <c r="T10" s="824">
        <v>43733768.454999991</v>
      </c>
      <c r="U10" s="960"/>
      <c r="V10" s="824">
        <v>820</v>
      </c>
      <c r="W10" s="824"/>
      <c r="X10" s="954">
        <f>Tabla36[[#This Row],[TOTAL C/IVA EFEC]]/Tabla36[[#This Row],[TC $/U$s]]</f>
        <v>53333.863969512182</v>
      </c>
      <c r="Y10" s="997" t="s">
        <v>785</v>
      </c>
      <c r="Z10" s="1039" t="s">
        <v>141</v>
      </c>
    </row>
    <row r="11" spans="1:26" x14ac:dyDescent="0.25">
      <c r="A11" s="822">
        <v>45447</v>
      </c>
      <c r="B11" s="989" t="s">
        <v>170</v>
      </c>
      <c r="C11" s="302" t="s">
        <v>762</v>
      </c>
      <c r="D11" s="999"/>
      <c r="E11" s="993">
        <v>38</v>
      </c>
      <c r="F11" s="998"/>
      <c r="G11" s="993">
        <v>17340</v>
      </c>
      <c r="H11" s="991">
        <f>Tabla36[[#This Row],[KG NETOS TOT]]/Tabla36[[#This Row],[cant]]</f>
        <v>448.15789473684208</v>
      </c>
      <c r="I11" s="993">
        <v>17030</v>
      </c>
      <c r="J11" s="994">
        <v>1.8203170874926622E-2</v>
      </c>
      <c r="K11" s="824">
        <v>2068.9699999999998</v>
      </c>
      <c r="L11" s="993" t="s">
        <v>760</v>
      </c>
      <c r="M11" s="824">
        <v>35234559.099999994</v>
      </c>
      <c r="N11" s="824"/>
      <c r="O11" s="824"/>
      <c r="P11" s="824"/>
      <c r="Q11" s="824">
        <v>3699628.7054999992</v>
      </c>
      <c r="R11" s="824"/>
      <c r="S11" s="824">
        <f>SUM(Tabla36[[#This Row],[TOTAL $]:[IVA 21]])</f>
        <v>38934187.805499993</v>
      </c>
      <c r="T11" s="824">
        <v>38934187.805499993</v>
      </c>
      <c r="U11" s="960"/>
      <c r="V11" s="824">
        <v>820</v>
      </c>
      <c r="W11" s="824"/>
      <c r="X11" s="954">
        <f>Tabla36[[#This Row],[TOTAL C/IVA EFEC]]/Tabla36[[#This Row],[TC $/U$s]]</f>
        <v>47480.716835975603</v>
      </c>
      <c r="Y11" s="997" t="s">
        <v>786</v>
      </c>
      <c r="Z11" s="1039" t="s">
        <v>141</v>
      </c>
    </row>
    <row r="12" spans="1:26" x14ac:dyDescent="0.25">
      <c r="A12" s="822">
        <v>45474</v>
      </c>
      <c r="B12" s="989" t="s">
        <v>170</v>
      </c>
      <c r="C12" s="302" t="s">
        <v>762</v>
      </c>
      <c r="D12" s="302"/>
      <c r="E12" s="993">
        <v>42</v>
      </c>
      <c r="F12" s="998"/>
      <c r="G12" s="993">
        <v>19260</v>
      </c>
      <c r="H12" s="991">
        <f>Tabla36[[#This Row],[KG NETOS TOT]]/Tabla36[[#This Row],[cant]]</f>
        <v>450.47619047619048</v>
      </c>
      <c r="I12" s="993">
        <v>18920</v>
      </c>
      <c r="J12" s="994">
        <v>1.7970401691332016E-2</v>
      </c>
      <c r="K12" s="824">
        <v>2109</v>
      </c>
      <c r="L12" s="993"/>
      <c r="M12" s="824">
        <v>39902280</v>
      </c>
      <c r="N12" s="824"/>
      <c r="O12" s="824"/>
      <c r="P12" s="1000"/>
      <c r="Q12" s="824">
        <v>4084872.0989999995</v>
      </c>
      <c r="R12" s="824"/>
      <c r="S12" s="824">
        <f>SUM(Tabla36[[#This Row],[TOTAL $]:[IVA 21]])</f>
        <v>43987152.098999999</v>
      </c>
      <c r="T12" s="824">
        <v>42214673.658999994</v>
      </c>
      <c r="U12" s="824">
        <v>773742.24</v>
      </c>
      <c r="V12" s="824">
        <v>820</v>
      </c>
      <c r="W12" s="824"/>
      <c r="X12" s="954">
        <f>Tabla36[[#This Row],[TOTAL C/IVA EFEC]]/Tabla36[[#This Row],[TC $/U$s]]</f>
        <v>53642.868413414632</v>
      </c>
      <c r="Y12" s="302"/>
      <c r="Z12" s="949"/>
    </row>
    <row r="13" spans="1:26" x14ac:dyDescent="0.25">
      <c r="A13" s="338" t="s">
        <v>770</v>
      </c>
      <c r="B13" s="339"/>
      <c r="C13" s="339"/>
      <c r="D13" s="339"/>
      <c r="E13" s="1001"/>
      <c r="F13" s="1002"/>
      <c r="G13" s="1002"/>
      <c r="H13" s="1002"/>
      <c r="I13" s="1002"/>
      <c r="J13" s="1002"/>
      <c r="K13" s="1002"/>
      <c r="L13" s="1002"/>
      <c r="M13" s="345">
        <f t="shared" ref="M13:V13" si="2">SUM(M5)-SUM(M3)</f>
        <v>214818020.90000001</v>
      </c>
      <c r="N13" s="345">
        <f t="shared" si="2"/>
        <v>0</v>
      </c>
      <c r="O13" s="345">
        <f t="shared" si="2"/>
        <v>-652239.9</v>
      </c>
      <c r="P13" s="345">
        <f t="shared" si="2"/>
        <v>20391026</v>
      </c>
      <c r="Q13" s="345">
        <f t="shared" si="2"/>
        <v>22108938.098366197</v>
      </c>
      <c r="R13" s="345">
        <f t="shared" si="2"/>
        <v>0</v>
      </c>
      <c r="S13" s="345">
        <f t="shared" si="2"/>
        <v>281410639.83786619</v>
      </c>
      <c r="T13" s="345">
        <f>SUM(T5)-SUM(T3)</f>
        <v>218818355.13148141</v>
      </c>
      <c r="U13" s="345">
        <f t="shared" si="2"/>
        <v>0</v>
      </c>
      <c r="V13" s="345">
        <f t="shared" si="2"/>
        <v>685</v>
      </c>
      <c r="W13" s="345">
        <f>SUM(W9:W12)-SUM(W4:W8)</f>
        <v>0</v>
      </c>
      <c r="X13" s="1003">
        <f>X5-X3</f>
        <v>237886.28269594474</v>
      </c>
      <c r="Y13" s="348"/>
      <c r="Z13" s="1037"/>
    </row>
    <row r="14" spans="1:26" x14ac:dyDescent="0.25">
      <c r="A14" s="951"/>
      <c r="B14" s="990"/>
      <c r="C14" s="990"/>
      <c r="D14" s="990"/>
      <c r="E14" s="374"/>
      <c r="F14" s="374"/>
      <c r="G14" s="374"/>
      <c r="H14" s="374"/>
      <c r="I14" s="374"/>
      <c r="J14" s="374"/>
      <c r="K14" s="374"/>
      <c r="L14" s="374"/>
      <c r="M14" s="950"/>
      <c r="N14" s="950"/>
      <c r="O14" s="950"/>
      <c r="P14" s="950"/>
      <c r="Q14" s="950"/>
      <c r="R14" s="950"/>
      <c r="S14" s="950"/>
      <c r="T14" s="950"/>
      <c r="U14" s="950"/>
      <c r="V14" s="950"/>
      <c r="W14" s="950"/>
      <c r="X14" s="1004"/>
      <c r="Y14" s="374"/>
      <c r="Z14" s="952"/>
    </row>
    <row r="15" spans="1:26" x14ac:dyDescent="0.25">
      <c r="A15" s="1105" t="s">
        <v>774</v>
      </c>
      <c r="B15" s="1101"/>
      <c r="C15" s="1097"/>
      <c r="D15" s="1097"/>
      <c r="E15" s="1097"/>
      <c r="F15" s="1097"/>
      <c r="G15" s="1097"/>
      <c r="H15" s="1097"/>
      <c r="I15" s="1097"/>
      <c r="J15" s="1097"/>
      <c r="K15" s="1106"/>
      <c r="L15" s="1097"/>
      <c r="M15" s="1103">
        <f>SUM(M16:M22)</f>
        <v>1979273.794</v>
      </c>
      <c r="N15" s="1103"/>
      <c r="O15" s="1103"/>
      <c r="P15" s="1106">
        <f>SUM(P16:P17)</f>
        <v>0</v>
      </c>
      <c r="Q15" s="1106">
        <f>SUM(Q16:Q17)</f>
        <v>0</v>
      </c>
      <c r="R15" s="1106"/>
      <c r="S15" s="1106">
        <f>SUM(S16:S17)</f>
        <v>0</v>
      </c>
      <c r="T15" s="1103">
        <f>SUM(T16:T22)</f>
        <v>5539674.1799999988</v>
      </c>
      <c r="U15" s="1106"/>
      <c r="V15" s="1106">
        <v>850</v>
      </c>
      <c r="W15" s="1097"/>
      <c r="X15" s="1104">
        <f>SUM(X16,X18)</f>
        <v>15651.540597560976</v>
      </c>
      <c r="Y15" s="1097"/>
      <c r="Z15" s="1107"/>
    </row>
    <row r="16" spans="1:26" x14ac:dyDescent="0.25">
      <c r="A16" s="957"/>
      <c r="B16" s="1006" t="s">
        <v>50</v>
      </c>
      <c r="C16" s="1007"/>
      <c r="D16" s="1007"/>
      <c r="E16" s="1007"/>
      <c r="F16" s="1007"/>
      <c r="G16" s="1007"/>
      <c r="H16" s="1007"/>
      <c r="I16" s="1007"/>
      <c r="J16" s="1007"/>
      <c r="K16" s="958"/>
      <c r="L16" s="1007"/>
      <c r="M16" s="958">
        <f>1319034.29+228000</f>
        <v>1547034.29</v>
      </c>
      <c r="N16" s="958"/>
      <c r="O16" s="958"/>
      <c r="P16" s="958"/>
      <c r="Q16" s="958"/>
      <c r="R16" s="958"/>
      <c r="S16" s="958"/>
      <c r="T16" s="1008">
        <f>Tabla36[[#This Row],[TOTAL $]]+Tabla36[[#This Row],[IVA 21]]+Tabla36[[#This Row],[PERCEPCION-RETENCIONES]]</f>
        <v>1547034.29</v>
      </c>
      <c r="U16" s="958"/>
      <c r="V16" s="958">
        <v>820</v>
      </c>
      <c r="W16" s="958"/>
      <c r="X16" s="1009">
        <f>X17</f>
        <v>15150.64</v>
      </c>
      <c r="Y16" s="1007"/>
      <c r="Z16" s="956"/>
    </row>
    <row r="17" spans="1:26" x14ac:dyDescent="0.25">
      <c r="A17" s="822"/>
      <c r="B17" s="302"/>
      <c r="C17" s="997" t="s">
        <v>71</v>
      </c>
      <c r="D17" s="302"/>
      <c r="E17" s="302"/>
      <c r="F17" s="302"/>
      <c r="G17" s="302"/>
      <c r="H17" s="302"/>
      <c r="I17" s="302"/>
      <c r="J17" s="302"/>
      <c r="K17" s="823"/>
      <c r="L17" s="302"/>
      <c r="M17" s="823"/>
      <c r="N17" s="823"/>
      <c r="O17" s="823"/>
      <c r="P17" s="823"/>
      <c r="Q17" s="823"/>
      <c r="R17" s="823"/>
      <c r="S17" s="823"/>
      <c r="T17" s="983">
        <v>3560400.4</v>
      </c>
      <c r="U17" s="823"/>
      <c r="V17" s="823">
        <v>235</v>
      </c>
      <c r="W17" s="823"/>
      <c r="X17" s="1010">
        <f>Tabla36[[#This Row],[TOTAL C/IVA ]]/Tabla36[[#This Row],[TC $/U$s]]</f>
        <v>15150.64</v>
      </c>
      <c r="Y17" s="302"/>
      <c r="Z17" s="949" t="s">
        <v>787</v>
      </c>
    </row>
    <row r="18" spans="1:26" x14ac:dyDescent="0.25">
      <c r="A18" s="957"/>
      <c r="B18" s="1006" t="s">
        <v>775</v>
      </c>
      <c r="C18" s="1007"/>
      <c r="D18" s="1007"/>
      <c r="E18" s="1007"/>
      <c r="F18" s="1007"/>
      <c r="G18" s="1007"/>
      <c r="H18" s="1007"/>
      <c r="I18" s="1007"/>
      <c r="J18" s="1007"/>
      <c r="K18" s="958"/>
      <c r="L18" s="1007"/>
      <c r="M18" s="958">
        <v>21501</v>
      </c>
      <c r="N18" s="958"/>
      <c r="O18" s="958"/>
      <c r="P18" s="958"/>
      <c r="Q18" s="958"/>
      <c r="R18" s="958"/>
      <c r="S18" s="958"/>
      <c r="T18" s="1008">
        <f>Tabla36[[#This Row],[TOTAL $]]+Tabla36[[#This Row],[IVA 21]]+Tabla36[[#This Row],[PERCEPCION-RETENCIONES]]</f>
        <v>21501</v>
      </c>
      <c r="U18" s="958"/>
      <c r="V18" s="958">
        <v>820</v>
      </c>
      <c r="W18" s="959"/>
      <c r="X18" s="1009">
        <f>SUM(X19:X22)</f>
        <v>500.9005975609756</v>
      </c>
      <c r="Y18" s="1007"/>
      <c r="Z18" s="956"/>
    </row>
    <row r="19" spans="1:26" x14ac:dyDescent="0.25">
      <c r="A19" s="822">
        <v>45442</v>
      </c>
      <c r="B19" s="302" t="s">
        <v>788</v>
      </c>
      <c r="C19" s="997" t="s">
        <v>789</v>
      </c>
      <c r="D19" s="302"/>
      <c r="E19" s="302"/>
      <c r="F19" s="302"/>
      <c r="G19" s="302"/>
      <c r="H19" s="302"/>
      <c r="I19" s="302"/>
      <c r="J19" s="302"/>
      <c r="K19" s="823"/>
      <c r="L19" s="302"/>
      <c r="M19" s="823">
        <v>53792.777000000002</v>
      </c>
      <c r="N19" s="823"/>
      <c r="O19" s="823"/>
      <c r="P19" s="823"/>
      <c r="Q19" s="823"/>
      <c r="R19" s="823"/>
      <c r="S19" s="823"/>
      <c r="T19" s="983">
        <v>53792.77</v>
      </c>
      <c r="U19" s="823"/>
      <c r="V19" s="823">
        <v>820</v>
      </c>
      <c r="W19" s="953"/>
      <c r="X19" s="954">
        <f>Tabla36[[#This Row],[TOTAL C/IVA ]]/Tabla36[[#This Row],[TC $/U$s]]</f>
        <v>65.600939024390243</v>
      </c>
      <c r="Y19" s="302" t="s">
        <v>790</v>
      </c>
      <c r="Z19" s="949" t="s">
        <v>134</v>
      </c>
    </row>
    <row r="20" spans="1:26" x14ac:dyDescent="0.25">
      <c r="A20" s="822">
        <v>45447</v>
      </c>
      <c r="B20" s="302" t="s">
        <v>788</v>
      </c>
      <c r="C20" s="997" t="s">
        <v>789</v>
      </c>
      <c r="D20" s="302"/>
      <c r="E20" s="302"/>
      <c r="F20" s="302"/>
      <c r="G20" s="302"/>
      <c r="H20" s="302"/>
      <c r="I20" s="302"/>
      <c r="J20" s="302"/>
      <c r="K20" s="823"/>
      <c r="L20" s="302"/>
      <c r="M20" s="823">
        <v>53792.777000000002</v>
      </c>
      <c r="N20" s="823"/>
      <c r="O20" s="823"/>
      <c r="P20" s="823"/>
      <c r="Q20" s="823"/>
      <c r="R20" s="823"/>
      <c r="S20" s="823"/>
      <c r="T20" s="983">
        <v>53792.77</v>
      </c>
      <c r="U20" s="823"/>
      <c r="V20" s="823">
        <v>820</v>
      </c>
      <c r="W20" s="953"/>
      <c r="X20" s="954">
        <f>Tabla36[[#This Row],[TOTAL C/IVA ]]/Tabla36[[#This Row],[TC $/U$s]]</f>
        <v>65.600939024390243</v>
      </c>
      <c r="Y20" s="302" t="s">
        <v>791</v>
      </c>
      <c r="Z20" s="949" t="s">
        <v>134</v>
      </c>
    </row>
    <row r="21" spans="1:26" x14ac:dyDescent="0.25">
      <c r="A21" s="822">
        <v>45438</v>
      </c>
      <c r="B21" s="302" t="s">
        <v>788</v>
      </c>
      <c r="C21" s="997" t="s">
        <v>792</v>
      </c>
      <c r="D21" s="302"/>
      <c r="E21" s="302"/>
      <c r="F21" s="302"/>
      <c r="G21" s="302"/>
      <c r="H21" s="302"/>
      <c r="I21" s="302"/>
      <c r="J21" s="302"/>
      <c r="K21" s="823"/>
      <c r="L21" s="302"/>
      <c r="M21" s="823">
        <v>77652.95</v>
      </c>
      <c r="N21" s="823"/>
      <c r="O21" s="823"/>
      <c r="P21" s="823"/>
      <c r="Q21" s="823"/>
      <c r="R21" s="823"/>
      <c r="S21" s="823"/>
      <c r="T21" s="983">
        <f>Tabla36[[#This Row],[TOTAL $]]</f>
        <v>77652.95</v>
      </c>
      <c r="U21" s="823"/>
      <c r="V21" s="823">
        <v>820</v>
      </c>
      <c r="W21" s="953"/>
      <c r="X21" s="954">
        <f>Tabla36[[#This Row],[TOTAL C/IVA ]]/Tabla36[[#This Row],[TC $/U$s]]</f>
        <v>94.698719512195112</v>
      </c>
      <c r="Y21" s="302" t="s">
        <v>793</v>
      </c>
      <c r="Z21" s="949" t="s">
        <v>134</v>
      </c>
    </row>
    <row r="22" spans="1:26" x14ac:dyDescent="0.25">
      <c r="A22" s="822">
        <v>45436</v>
      </c>
      <c r="B22" s="302" t="s">
        <v>794</v>
      </c>
      <c r="C22" s="997" t="s">
        <v>157</v>
      </c>
      <c r="D22" s="302"/>
      <c r="E22" s="302"/>
      <c r="F22" s="302"/>
      <c r="G22" s="302"/>
      <c r="H22" s="302"/>
      <c r="I22" s="302"/>
      <c r="J22" s="302"/>
      <c r="K22" s="823"/>
      <c r="L22" s="302"/>
      <c r="M22" s="823">
        <v>225500</v>
      </c>
      <c r="N22" s="823"/>
      <c r="O22" s="823"/>
      <c r="P22" s="823"/>
      <c r="Q22" s="823"/>
      <c r="R22" s="823"/>
      <c r="S22" s="823"/>
      <c r="T22" s="983">
        <f>Tabla36[[#This Row],[TOTAL $]]</f>
        <v>225500</v>
      </c>
      <c r="U22" s="823"/>
      <c r="V22" s="823">
        <v>820</v>
      </c>
      <c r="W22" s="953"/>
      <c r="X22" s="954">
        <f>Tabla36[[#This Row],[TOTAL C/IVA ]]/Tabla36[[#This Row],[TC $/U$s]]</f>
        <v>275</v>
      </c>
      <c r="Y22" s="302" t="s">
        <v>795</v>
      </c>
      <c r="Z22" s="949" t="s">
        <v>78</v>
      </c>
    </row>
    <row r="23" spans="1:26" x14ac:dyDescent="0.25">
      <c r="A23" s="951"/>
      <c r="B23" s="990"/>
      <c r="C23" s="990"/>
      <c r="D23" s="990"/>
      <c r="E23" s="374"/>
      <c r="F23" s="374"/>
      <c r="G23" s="374"/>
      <c r="H23" s="374"/>
      <c r="I23" s="374"/>
      <c r="J23" s="374"/>
      <c r="K23" s="374"/>
      <c r="L23" s="374"/>
      <c r="M23" s="950"/>
      <c r="N23" s="950"/>
      <c r="O23" s="950"/>
      <c r="P23" s="950"/>
      <c r="Q23" s="950"/>
      <c r="R23" s="950"/>
      <c r="S23" s="950"/>
      <c r="T23" s="950"/>
      <c r="U23" s="950"/>
      <c r="V23" s="950"/>
      <c r="W23" s="950"/>
      <c r="X23" s="1004"/>
      <c r="Y23" s="374"/>
      <c r="Z23" s="952"/>
    </row>
    <row r="24" spans="1:26" x14ac:dyDescent="0.25">
      <c r="A24" s="1099" t="s">
        <v>318</v>
      </c>
      <c r="B24" s="1100"/>
      <c r="C24" s="1100"/>
      <c r="D24" s="1100"/>
      <c r="E24" s="1101"/>
      <c r="F24" s="1101"/>
      <c r="G24" s="1102"/>
      <c r="H24" s="1101"/>
      <c r="I24" s="1101"/>
      <c r="J24" s="1101"/>
      <c r="K24" s="1101"/>
      <c r="L24" s="1101"/>
      <c r="M24" s="1103">
        <f>SUM(M26:M71)</f>
        <v>21154383.749999996</v>
      </c>
      <c r="N24" s="1103"/>
      <c r="O24" s="1103"/>
      <c r="P24" s="1103">
        <f>SUM(P26:P71)</f>
        <v>0</v>
      </c>
      <c r="Q24" s="1103">
        <f>SUM(Q26:Q71)</f>
        <v>0</v>
      </c>
      <c r="R24" s="1103">
        <f>SUM(R26:R71)</f>
        <v>2841505.5375000006</v>
      </c>
      <c r="S24" s="1103">
        <f>SUM(S25:S103)</f>
        <v>65398523.871599995</v>
      </c>
      <c r="T24" s="1103">
        <f>SUM(T25:T103)</f>
        <v>95212045.075000003</v>
      </c>
      <c r="U24" s="1103">
        <f>SUM(U25:U103)</f>
        <v>0</v>
      </c>
      <c r="V24" s="1103">
        <f>SUM(V25:V103)</f>
        <v>55523.076923076922</v>
      </c>
      <c r="W24" s="1103">
        <f>SUM(W25:W103)</f>
        <v>495.3417680379041</v>
      </c>
      <c r="X24" s="1104">
        <f>X25+X30+X34+X41+X44+X80+X101+X83</f>
        <v>111844.70872641039</v>
      </c>
      <c r="Y24" s="1101"/>
      <c r="Z24" s="1098"/>
    </row>
    <row r="25" spans="1:26" x14ac:dyDescent="0.25">
      <c r="A25" s="955"/>
      <c r="B25" s="355" t="s">
        <v>94</v>
      </c>
      <c r="C25" s="1007"/>
      <c r="D25" s="1007"/>
      <c r="E25" s="1007"/>
      <c r="F25" s="1007"/>
      <c r="G25" s="1007"/>
      <c r="H25" s="1007"/>
      <c r="I25" s="1007"/>
      <c r="J25" s="1007"/>
      <c r="K25" s="1007"/>
      <c r="L25" s="1007"/>
      <c r="M25" s="1007"/>
      <c r="N25" s="1007"/>
      <c r="O25" s="1007"/>
      <c r="P25" s="1007"/>
      <c r="Q25" s="1007"/>
      <c r="R25" s="1007"/>
      <c r="S25" s="1007"/>
      <c r="T25" s="979">
        <f>SUM(T26:T29)</f>
        <v>7875905.0040000007</v>
      </c>
      <c r="U25" s="979">
        <f t="shared" ref="U25:X25" si="3">SUM(U26:U29)</f>
        <v>0</v>
      </c>
      <c r="V25" s="979"/>
      <c r="W25" s="979">
        <f t="shared" si="3"/>
        <v>0</v>
      </c>
      <c r="X25" s="1012">
        <f t="shared" si="3"/>
        <v>9604.7621999999992</v>
      </c>
      <c r="Y25" s="1007"/>
      <c r="Z25" s="956"/>
    </row>
    <row r="26" spans="1:26" x14ac:dyDescent="0.25">
      <c r="A26" s="822"/>
      <c r="B26" s="989"/>
      <c r="C26" s="997" t="s">
        <v>796</v>
      </c>
      <c r="D26" s="989"/>
      <c r="E26" s="302">
        <v>585</v>
      </c>
      <c r="F26" s="302"/>
      <c r="G26" s="302"/>
      <c r="H26" s="302"/>
      <c r="I26" s="983"/>
      <c r="J26" s="302"/>
      <c r="K26" s="823">
        <v>3290.7863247863247</v>
      </c>
      <c r="L26" s="302" t="s">
        <v>797</v>
      </c>
      <c r="M26" s="823">
        <v>1840410</v>
      </c>
      <c r="N26" s="823">
        <v>84700</v>
      </c>
      <c r="O26" s="823"/>
      <c r="P26" s="823"/>
      <c r="Q26" s="823"/>
      <c r="R26" s="823"/>
      <c r="S26" s="823"/>
      <c r="T26" s="824">
        <f>Tabla36[[#This Row],[IVA 21]]+Tabla36[[#This Row],[TOTAL $]]+Tabla36[[#This Row],[SEGUROS]]</f>
        <v>1925110</v>
      </c>
      <c r="U26" s="823"/>
      <c r="V26" s="823">
        <v>820</v>
      </c>
      <c r="W26" s="302"/>
      <c r="X26" s="954">
        <f>Tabla36[[#This Row],[TOTAL C/IVA ]]/Tabla36[[#This Row],[TC $/U$s]]</f>
        <v>2347.6951219512193</v>
      </c>
      <c r="Y26" s="302"/>
      <c r="Z26" s="1039" t="s">
        <v>798</v>
      </c>
    </row>
    <row r="27" spans="1:26" x14ac:dyDescent="0.25">
      <c r="A27" s="822">
        <v>45322</v>
      </c>
      <c r="B27" s="989"/>
      <c r="C27" s="997" t="s">
        <v>799</v>
      </c>
      <c r="D27" s="989"/>
      <c r="E27" s="302">
        <v>670</v>
      </c>
      <c r="F27" s="302"/>
      <c r="G27" s="302"/>
      <c r="H27" s="302"/>
      <c r="I27" s="983"/>
      <c r="J27" s="302"/>
      <c r="K27" s="823">
        <v>3469.2910507462689</v>
      </c>
      <c r="L27" s="302" t="s">
        <v>797</v>
      </c>
      <c r="M27" s="823">
        <v>2229425</v>
      </c>
      <c r="N27" s="823">
        <v>95000.003999999986</v>
      </c>
      <c r="O27" s="823"/>
      <c r="P27" s="823"/>
      <c r="Q27" s="823"/>
      <c r="R27" s="823"/>
      <c r="S27" s="823"/>
      <c r="T27" s="824">
        <f>Tabla36[[#This Row],[IVA 21]]+Tabla36[[#This Row],[TOTAL $]]+Tabla36[[#This Row],[SEGUROS]]</f>
        <v>2324425.0040000002</v>
      </c>
      <c r="U27" s="823"/>
      <c r="V27" s="823">
        <v>820</v>
      </c>
      <c r="W27" s="302"/>
      <c r="X27" s="954">
        <f>Tabla36[[#This Row],[TOTAL C/IVA ]]/Tabla36[[#This Row],[TC $/U$s]]</f>
        <v>2834.6646390243905</v>
      </c>
      <c r="Y27" s="302"/>
      <c r="Z27" s="1039" t="s">
        <v>800</v>
      </c>
    </row>
    <row r="28" spans="1:26" x14ac:dyDescent="0.25">
      <c r="A28" s="822"/>
      <c r="B28" s="989"/>
      <c r="C28" s="997" t="s">
        <v>801</v>
      </c>
      <c r="D28" s="989"/>
      <c r="E28" s="302">
        <v>380</v>
      </c>
      <c r="F28" s="302"/>
      <c r="G28" s="302"/>
      <c r="H28" s="302"/>
      <c r="I28" s="983"/>
      <c r="J28" s="302"/>
      <c r="K28" s="823">
        <v>3582.2368421052633</v>
      </c>
      <c r="L28" s="302" t="s">
        <v>797</v>
      </c>
      <c r="M28" s="823">
        <v>1264450</v>
      </c>
      <c r="N28" s="823">
        <v>96800</v>
      </c>
      <c r="O28" s="823"/>
      <c r="P28" s="823"/>
      <c r="Q28" s="823"/>
      <c r="R28" s="823"/>
      <c r="S28" s="823"/>
      <c r="T28" s="824">
        <f>Tabla36[[#This Row],[IVA 21]]+Tabla36[[#This Row],[TOTAL $]]+Tabla36[[#This Row],[SEGUROS]]</f>
        <v>1361250</v>
      </c>
      <c r="U28" s="823"/>
      <c r="V28" s="823">
        <v>820</v>
      </c>
      <c r="W28" s="302"/>
      <c r="X28" s="954">
        <f>Tabla36[[#This Row],[TOTAL C/IVA ]]/Tabla36[[#This Row],[TC $/U$s]]</f>
        <v>1660.060975609756</v>
      </c>
      <c r="Y28" s="302"/>
      <c r="Z28" s="1039" t="s">
        <v>802</v>
      </c>
    </row>
    <row r="29" spans="1:26" x14ac:dyDescent="0.25">
      <c r="A29" s="822"/>
      <c r="B29" s="989"/>
      <c r="C29" s="997" t="s">
        <v>803</v>
      </c>
      <c r="D29" s="989"/>
      <c r="E29" s="302">
        <v>1</v>
      </c>
      <c r="F29" s="302"/>
      <c r="G29" s="302"/>
      <c r="H29" s="302"/>
      <c r="I29" s="302"/>
      <c r="J29" s="302"/>
      <c r="K29" s="823"/>
      <c r="L29" s="302" t="s">
        <v>797</v>
      </c>
      <c r="M29" s="823">
        <v>2265120</v>
      </c>
      <c r="N29" s="823"/>
      <c r="O29" s="823"/>
      <c r="P29" s="823"/>
      <c r="Q29" s="823"/>
      <c r="R29" s="823"/>
      <c r="S29" s="823"/>
      <c r="T29" s="824">
        <f>Tabla36[[#This Row],[IVA 21]]+Tabla36[[#This Row],[TOTAL $]]+Tabla36[[#This Row],[SEGUROS]]</f>
        <v>2265120</v>
      </c>
      <c r="U29" s="823"/>
      <c r="V29" s="823">
        <v>820</v>
      </c>
      <c r="W29" s="302"/>
      <c r="X29" s="954">
        <f>Tabla36[[#This Row],[TOTAL C/IVA ]]/Tabla36[[#This Row],[TC $/U$s]]</f>
        <v>2762.3414634146343</v>
      </c>
      <c r="Y29" s="302"/>
      <c r="Z29" s="1039" t="s">
        <v>207</v>
      </c>
    </row>
    <row r="30" spans="1:26" x14ac:dyDescent="0.25">
      <c r="A30" s="957">
        <v>45323</v>
      </c>
      <c r="B30" s="354" t="s">
        <v>804</v>
      </c>
      <c r="C30" s="1013"/>
      <c r="D30" s="1014"/>
      <c r="E30" s="1007"/>
      <c r="F30" s="1007"/>
      <c r="G30" s="1007"/>
      <c r="H30" s="1007"/>
      <c r="I30" s="1007"/>
      <c r="J30" s="1007"/>
      <c r="K30" s="958"/>
      <c r="L30" s="1007"/>
      <c r="M30" s="958"/>
      <c r="N30" s="958"/>
      <c r="O30" s="958"/>
      <c r="P30" s="958"/>
      <c r="Q30" s="958"/>
      <c r="R30" s="958"/>
      <c r="S30" s="958"/>
      <c r="T30" s="980">
        <f>SUM(T31:T33)</f>
        <v>24000</v>
      </c>
      <c r="U30" s="980">
        <f t="shared" ref="U30:W30" si="4">SUM(U31:U33)</f>
        <v>0</v>
      </c>
      <c r="V30" s="980"/>
      <c r="W30" s="980">
        <f t="shared" si="4"/>
        <v>0</v>
      </c>
      <c r="X30" s="1012">
        <f>SUM(X31:X33)</f>
        <v>29.268292682926827</v>
      </c>
      <c r="Y30" s="1007"/>
      <c r="Z30" s="357"/>
    </row>
    <row r="31" spans="1:26" x14ac:dyDescent="0.25">
      <c r="A31" s="1040">
        <v>45391</v>
      </c>
      <c r="B31" s="302"/>
      <c r="C31" s="997" t="s">
        <v>805</v>
      </c>
      <c r="D31" s="989"/>
      <c r="E31" s="302"/>
      <c r="F31" s="302"/>
      <c r="G31" s="302">
        <v>34300</v>
      </c>
      <c r="H31" s="302">
        <v>15660</v>
      </c>
      <c r="I31" s="302">
        <v>18640</v>
      </c>
      <c r="J31" s="302"/>
      <c r="K31" s="823">
        <f>80000/10</f>
        <v>8000</v>
      </c>
      <c r="L31" s="302" t="s">
        <v>806</v>
      </c>
      <c r="M31" s="823">
        <f>SUM(Tabla36[[#This Row],[ $  MERCADO]:[METRICA]])</f>
        <v>8000</v>
      </c>
      <c r="N31" s="823"/>
      <c r="O31" s="823"/>
      <c r="P31" s="823"/>
      <c r="Q31" s="823"/>
      <c r="R31" s="823"/>
      <c r="S31" s="823">
        <f>SUM(Tabla36[[#This Row],[TOTAL $]:[IVA 21]])</f>
        <v>8000</v>
      </c>
      <c r="T31" s="824">
        <f>Tabla36[[#This Row],[IVA 21]]+Tabla36[[#This Row],[TOTAL $]]+Tabla36[[#This Row],[SEGUROS]]</f>
        <v>8000</v>
      </c>
      <c r="U31" s="823"/>
      <c r="V31" s="823">
        <v>820</v>
      </c>
      <c r="W31" s="302"/>
      <c r="X31" s="1004">
        <f>Tabla36[[#This Row],[TOTAL C/IVA ]]/Tabla36[[#This Row],[TC $/U$s]]</f>
        <v>9.7560975609756095</v>
      </c>
      <c r="Y31" s="302"/>
      <c r="Z31" s="952" t="s">
        <v>807</v>
      </c>
    </row>
    <row r="32" spans="1:26" x14ac:dyDescent="0.25">
      <c r="A32" s="822">
        <v>45434</v>
      </c>
      <c r="B32" s="989"/>
      <c r="C32" s="997" t="s">
        <v>808</v>
      </c>
      <c r="D32" s="989"/>
      <c r="E32" s="302"/>
      <c r="F32" s="302"/>
      <c r="G32" s="302">
        <v>47060</v>
      </c>
      <c r="H32" s="302">
        <v>24540</v>
      </c>
      <c r="I32" s="302">
        <v>22520</v>
      </c>
      <c r="J32" s="302"/>
      <c r="K32" s="823">
        <f>80000/10</f>
        <v>8000</v>
      </c>
      <c r="L32" s="302" t="s">
        <v>806</v>
      </c>
      <c r="M32" s="823">
        <f>SUM(Tabla36[[#This Row],[ $  MERCADO]:[METRICA]])</f>
        <v>8000</v>
      </c>
      <c r="N32" s="823"/>
      <c r="O32" s="823"/>
      <c r="P32" s="823"/>
      <c r="Q32" s="823"/>
      <c r="R32" s="823"/>
      <c r="S32" s="823">
        <f>SUM(Tabla36[[#This Row],[TOTAL $]:[IVA 21]])</f>
        <v>8000</v>
      </c>
      <c r="T32" s="824">
        <f>Tabla36[[#This Row],[IVA 21]]+Tabla36[[#This Row],[TOTAL $]]+Tabla36[[#This Row],[SEGUROS]]</f>
        <v>8000</v>
      </c>
      <c r="U32" s="823"/>
      <c r="V32" s="823">
        <v>820</v>
      </c>
      <c r="W32" s="302"/>
      <c r="X32" s="1004">
        <f>Tabla36[[#This Row],[TOTAL C/IVA ]]/Tabla36[[#This Row],[TC $/U$s]]</f>
        <v>9.7560975609756095</v>
      </c>
      <c r="Y32" s="302"/>
      <c r="Z32" s="952"/>
    </row>
    <row r="33" spans="1:26" x14ac:dyDescent="0.25">
      <c r="A33" s="822">
        <v>45474</v>
      </c>
      <c r="B33" s="989"/>
      <c r="C33" s="997" t="s">
        <v>809</v>
      </c>
      <c r="D33" s="989"/>
      <c r="E33" s="302"/>
      <c r="F33" s="302"/>
      <c r="G33" s="302">
        <v>40720</v>
      </c>
      <c r="H33" s="302">
        <v>21460</v>
      </c>
      <c r="I33" s="302">
        <v>19260</v>
      </c>
      <c r="J33" s="302"/>
      <c r="K33" s="823">
        <f>80000/10</f>
        <v>8000</v>
      </c>
      <c r="L33" s="302" t="s">
        <v>806</v>
      </c>
      <c r="M33" s="823">
        <f>SUM(Tabla36[[#This Row],[ $  MERCADO]:[METRICA]])</f>
        <v>8000</v>
      </c>
      <c r="N33" s="823"/>
      <c r="O33" s="823"/>
      <c r="P33" s="823"/>
      <c r="Q33" s="823"/>
      <c r="R33" s="823"/>
      <c r="S33" s="823">
        <f>SUM(Tabla36[[#This Row],[TOTAL $]:[IVA 21]])</f>
        <v>8000</v>
      </c>
      <c r="T33" s="824">
        <f>Tabla36[[#This Row],[IVA 21]]+Tabla36[[#This Row],[TOTAL $]]+Tabla36[[#This Row],[SEGUROS]]</f>
        <v>8000</v>
      </c>
      <c r="U33" s="823"/>
      <c r="V33" s="823">
        <v>820</v>
      </c>
      <c r="W33" s="302"/>
      <c r="X33" s="1004">
        <f>Tabla36[[#This Row],[TOTAL C/IVA ]]/Tabla36[[#This Row],[TC $/U$s]]</f>
        <v>9.7560975609756095</v>
      </c>
      <c r="Y33" s="302"/>
      <c r="Z33" s="952"/>
    </row>
    <row r="34" spans="1:26" x14ac:dyDescent="0.25">
      <c r="A34" s="957"/>
      <c r="B34" s="354" t="s">
        <v>771</v>
      </c>
      <c r="C34" s="1007"/>
      <c r="D34" s="1014"/>
      <c r="E34" s="1007"/>
      <c r="F34" s="1007"/>
      <c r="G34" s="1007"/>
      <c r="H34" s="1007"/>
      <c r="I34" s="1007"/>
      <c r="J34" s="1007"/>
      <c r="K34" s="958"/>
      <c r="L34" s="1007"/>
      <c r="M34" s="958"/>
      <c r="N34" s="958"/>
      <c r="O34" s="958"/>
      <c r="P34" s="958"/>
      <c r="Q34" s="958"/>
      <c r="R34" s="958"/>
      <c r="S34" s="958"/>
      <c r="T34" s="980">
        <f>SUM(T35:T40)</f>
        <v>12358642.206899997</v>
      </c>
      <c r="U34" s="981">
        <f t="shared" ref="U34:W34" si="5">SUM(U35:U40)</f>
        <v>0</v>
      </c>
      <c r="V34" s="981"/>
      <c r="W34" s="981">
        <f t="shared" si="5"/>
        <v>0</v>
      </c>
      <c r="X34" s="1012">
        <f>SUM(X35:X40)</f>
        <v>15071.514886463414</v>
      </c>
      <c r="Y34" s="1007"/>
      <c r="Z34" s="357"/>
    </row>
    <row r="35" spans="1:26" x14ac:dyDescent="0.25">
      <c r="A35" s="822"/>
      <c r="B35" s="989"/>
      <c r="C35" s="1015" t="s">
        <v>810</v>
      </c>
      <c r="D35" s="302"/>
      <c r="E35" s="302">
        <f>1412+4790</f>
        <v>6202</v>
      </c>
      <c r="F35" s="302"/>
      <c r="G35" s="302"/>
      <c r="H35" s="302"/>
      <c r="I35" s="302"/>
      <c r="J35" s="302"/>
      <c r="K35" s="823">
        <v>670</v>
      </c>
      <c r="L35" s="302" t="s">
        <v>811</v>
      </c>
      <c r="M35" s="823">
        <f>Tabla36[[#This Row],[cant]]*Tabla36[[#This Row],[ $  MERCADO]]</f>
        <v>4155340</v>
      </c>
      <c r="N35" s="823"/>
      <c r="O35" s="823"/>
      <c r="P35" s="823"/>
      <c r="Q35" s="823"/>
      <c r="R35" s="823">
        <f>Tabla36[[#This Row],[TOTAL $]]*0.21</f>
        <v>872621.4</v>
      </c>
      <c r="S35" s="823">
        <f>SUM(Tabla36[[#This Row],[TOTAL $]:[IVA 21]])</f>
        <v>5027961.4000000004</v>
      </c>
      <c r="T35" s="824">
        <f>Tabla36[[#This Row],[IVA 21]]+Tabla36[[#This Row],[TOTAL $]]+Tabla36[[#This Row],[SEGUROS]]</f>
        <v>5027961.4000000004</v>
      </c>
      <c r="U35" s="823"/>
      <c r="V35" s="823">
        <v>820</v>
      </c>
      <c r="W35" s="302"/>
      <c r="X35" s="1004">
        <f>Tabla36[[#This Row],[TOTAL C/IVA ]]/Tabla36[[#This Row],[TC $/U$s]]</f>
        <v>6131.6602439024391</v>
      </c>
      <c r="Y35" s="302"/>
      <c r="Z35" s="949"/>
    </row>
    <row r="36" spans="1:26" x14ac:dyDescent="0.25">
      <c r="A36" s="822"/>
      <c r="B36" s="989"/>
      <c r="C36" s="1015" t="s">
        <v>812</v>
      </c>
      <c r="D36" s="302"/>
      <c r="E36" s="302">
        <v>679.7</v>
      </c>
      <c r="F36" s="302"/>
      <c r="G36" s="302"/>
      <c r="H36" s="302"/>
      <c r="I36" s="302"/>
      <c r="J36" s="302"/>
      <c r="K36" s="823">
        <v>600.9</v>
      </c>
      <c r="L36" s="302" t="s">
        <v>811</v>
      </c>
      <c r="M36" s="823">
        <f>Tabla36[[#This Row],[cant]]*Tabla36[[#This Row],[ $  MERCADO]]</f>
        <v>408431.73000000004</v>
      </c>
      <c r="N36" s="823"/>
      <c r="O36" s="823"/>
      <c r="P36" s="823"/>
      <c r="Q36" s="823"/>
      <c r="R36" s="823">
        <f>Tabla36[[#This Row],[TOTAL $]]*0.21</f>
        <v>85770.6633</v>
      </c>
      <c r="S36" s="823">
        <f>SUM(Tabla36[[#This Row],[TOTAL $]:[IVA 21]])</f>
        <v>494202.39330000005</v>
      </c>
      <c r="T36" s="824">
        <f>Tabla36[[#This Row],[IVA 21]]+Tabla36[[#This Row],[TOTAL $]]+Tabla36[[#This Row],[SEGUROS]]</f>
        <v>494202.39330000005</v>
      </c>
      <c r="U36" s="823"/>
      <c r="V36" s="823">
        <v>820</v>
      </c>
      <c r="W36" s="302"/>
      <c r="X36" s="1004">
        <f>Tabla36[[#This Row],[TOTAL C/IVA ]]/Tabla36[[#This Row],[TC $/U$s]]</f>
        <v>602.68584548780495</v>
      </c>
      <c r="Y36" s="302"/>
      <c r="Z36" s="949"/>
    </row>
    <row r="37" spans="1:26" x14ac:dyDescent="0.25">
      <c r="A37" s="822"/>
      <c r="B37" s="989"/>
      <c r="C37" s="1015" t="s">
        <v>813</v>
      </c>
      <c r="D37" s="302"/>
      <c r="E37" s="302">
        <v>5118</v>
      </c>
      <c r="F37" s="302"/>
      <c r="G37" s="302"/>
      <c r="H37" s="302"/>
      <c r="I37" s="302"/>
      <c r="J37" s="302"/>
      <c r="K37" s="823">
        <v>700.66</v>
      </c>
      <c r="L37" s="302" t="s">
        <v>811</v>
      </c>
      <c r="M37" s="823">
        <f>Tabla36[[#This Row],[cant]]*Tabla36[[#This Row],[ $  MERCADO]]</f>
        <v>3585977.88</v>
      </c>
      <c r="N37" s="823"/>
      <c r="O37" s="823"/>
      <c r="P37" s="823"/>
      <c r="Q37" s="823"/>
      <c r="R37" s="823">
        <f>Tabla36[[#This Row],[TOTAL $]]*0.21</f>
        <v>753055.35479999997</v>
      </c>
      <c r="S37" s="823">
        <f>SUM(Tabla36[[#This Row],[TOTAL $]:[IVA 21]])</f>
        <v>4339033.2347999997</v>
      </c>
      <c r="T37" s="824">
        <f>Tabla36[[#This Row],[IVA 21]]+Tabla36[[#This Row],[TOTAL $]]+Tabla36[[#This Row],[SEGUROS]]</f>
        <v>4339033.2347999997</v>
      </c>
      <c r="U37" s="823"/>
      <c r="V37" s="823">
        <v>820</v>
      </c>
      <c r="W37" s="302"/>
      <c r="X37" s="1004">
        <f>Tabla36[[#This Row],[TOTAL C/IVA ]]/Tabla36[[#This Row],[TC $/U$s]]</f>
        <v>5291.5039448780481</v>
      </c>
      <c r="Y37" s="302"/>
      <c r="Z37" s="949"/>
    </row>
    <row r="38" spans="1:26" x14ac:dyDescent="0.25">
      <c r="A38" s="822"/>
      <c r="B38" s="989"/>
      <c r="C38" s="1015" t="s">
        <v>814</v>
      </c>
      <c r="D38" s="302"/>
      <c r="E38" s="302">
        <v>224</v>
      </c>
      <c r="F38" s="302"/>
      <c r="G38" s="302"/>
      <c r="H38" s="302"/>
      <c r="I38" s="302"/>
      <c r="J38" s="302"/>
      <c r="K38" s="823">
        <v>936</v>
      </c>
      <c r="L38" s="302" t="s">
        <v>811</v>
      </c>
      <c r="M38" s="823">
        <f>Tabla36[[#This Row],[cant]]*Tabla36[[#This Row],[ $  MERCADO]]</f>
        <v>209664</v>
      </c>
      <c r="N38" s="823"/>
      <c r="O38" s="823"/>
      <c r="P38" s="823"/>
      <c r="Q38" s="823"/>
      <c r="R38" s="823">
        <f>Tabla36[[#This Row],[TOTAL $]]*0.21</f>
        <v>44029.439999999995</v>
      </c>
      <c r="S38" s="823">
        <f>SUM(Tabla36[[#This Row],[TOTAL $]:[IVA 21]])</f>
        <v>253693.44</v>
      </c>
      <c r="T38" s="824">
        <f>Tabla36[[#This Row],[IVA 21]]+Tabla36[[#This Row],[TOTAL $]]+Tabla36[[#This Row],[SEGUROS]]</f>
        <v>253693.44</v>
      </c>
      <c r="U38" s="823"/>
      <c r="V38" s="823">
        <v>820</v>
      </c>
      <c r="W38" s="302"/>
      <c r="X38" s="1004">
        <f>Tabla36[[#This Row],[TOTAL C/IVA ]]/Tabla36[[#This Row],[TC $/U$s]]</f>
        <v>309.38224390243903</v>
      </c>
      <c r="Y38" s="302"/>
      <c r="Z38" s="949"/>
    </row>
    <row r="39" spans="1:26" x14ac:dyDescent="0.25">
      <c r="A39" s="822"/>
      <c r="B39" s="989"/>
      <c r="C39" s="1015" t="s">
        <v>815</v>
      </c>
      <c r="D39" s="302"/>
      <c r="E39" s="302">
        <v>211</v>
      </c>
      <c r="F39" s="302"/>
      <c r="G39" s="302"/>
      <c r="H39" s="302"/>
      <c r="I39" s="302"/>
      <c r="J39" s="302"/>
      <c r="K39" s="823">
        <v>547.78</v>
      </c>
      <c r="L39" s="302" t="s">
        <v>811</v>
      </c>
      <c r="M39" s="823">
        <f>Tabla36[[#This Row],[cant]]*Tabla36[[#This Row],[ $  MERCADO]]</f>
        <v>115581.57999999999</v>
      </c>
      <c r="N39" s="823"/>
      <c r="O39" s="823"/>
      <c r="P39" s="823"/>
      <c r="Q39" s="823"/>
      <c r="R39" s="823">
        <f>Tabla36[[#This Row],[TOTAL $]]*0.21</f>
        <v>24272.131799999996</v>
      </c>
      <c r="S39" s="823">
        <f>SUM(Tabla36[[#This Row],[TOTAL $]:[IVA 21]])</f>
        <v>139853.71179999999</v>
      </c>
      <c r="T39" s="824">
        <f>Tabla36[[#This Row],[IVA 21]]+Tabla36[[#This Row],[TOTAL $]]+Tabla36[[#This Row],[SEGUROS]]</f>
        <v>139853.71179999999</v>
      </c>
      <c r="U39" s="823"/>
      <c r="V39" s="823">
        <v>820</v>
      </c>
      <c r="W39" s="302"/>
      <c r="X39" s="1004">
        <f>Tabla36[[#This Row],[TOTAL C/IVA ]]/Tabla36[[#This Row],[TC $/U$s]]</f>
        <v>170.55330707317071</v>
      </c>
      <c r="Y39" s="302"/>
      <c r="Z39" s="949"/>
    </row>
    <row r="40" spans="1:26" x14ac:dyDescent="0.25">
      <c r="A40" s="822"/>
      <c r="B40" s="989"/>
      <c r="C40" s="1015" t="s">
        <v>816</v>
      </c>
      <c r="D40" s="302"/>
      <c r="E40" s="302">
        <v>2992.7</v>
      </c>
      <c r="F40" s="302"/>
      <c r="G40" s="302"/>
      <c r="H40" s="302"/>
      <c r="I40" s="302"/>
      <c r="J40" s="302"/>
      <c r="K40" s="823">
        <v>581</v>
      </c>
      <c r="L40" s="302" t="s">
        <v>811</v>
      </c>
      <c r="M40" s="823">
        <f>Tabla36[[#This Row],[cant]]*Tabla36[[#This Row],[ $  MERCADO]]</f>
        <v>1738758.7</v>
      </c>
      <c r="N40" s="823"/>
      <c r="O40" s="823"/>
      <c r="P40" s="823"/>
      <c r="Q40" s="823"/>
      <c r="R40" s="823">
        <f>Tabla36[[#This Row],[TOTAL $]]*0.21</f>
        <v>365139.32699999999</v>
      </c>
      <c r="S40" s="823">
        <f>SUM(Tabla36[[#This Row],[TOTAL $]:[IVA 21]])</f>
        <v>2103898.0269999998</v>
      </c>
      <c r="T40" s="824">
        <f>Tabla36[[#This Row],[IVA 21]]+Tabla36[[#This Row],[TOTAL $]]+Tabla36[[#This Row],[SEGUROS]]</f>
        <v>2103898.0269999998</v>
      </c>
      <c r="U40" s="823"/>
      <c r="V40" s="823">
        <v>820</v>
      </c>
      <c r="W40" s="302"/>
      <c r="X40" s="1004">
        <f>Tabla36[[#This Row],[TOTAL C/IVA ]]/Tabla36[[#This Row],[TC $/U$s]]</f>
        <v>2565.7293012195119</v>
      </c>
      <c r="Y40" s="302"/>
      <c r="Z40" s="949"/>
    </row>
    <row r="41" spans="1:26" x14ac:dyDescent="0.25">
      <c r="A41" s="957"/>
      <c r="B41" s="354" t="s">
        <v>28</v>
      </c>
      <c r="C41" s="1016"/>
      <c r="D41" s="1007"/>
      <c r="E41" s="1007"/>
      <c r="F41" s="1007"/>
      <c r="G41" s="1007"/>
      <c r="H41" s="1007"/>
      <c r="I41" s="1007"/>
      <c r="J41" s="1007"/>
      <c r="K41" s="958"/>
      <c r="L41" s="1007"/>
      <c r="M41" s="958"/>
      <c r="N41" s="958"/>
      <c r="O41" s="958"/>
      <c r="P41" s="958"/>
      <c r="Q41" s="958"/>
      <c r="R41" s="958"/>
      <c r="S41" s="958"/>
      <c r="T41" s="980">
        <f>SUM(T42:T43)</f>
        <v>838316.11</v>
      </c>
      <c r="U41" s="980">
        <f t="shared" ref="U41:W41" si="6">SUM(U42:U43)</f>
        <v>0</v>
      </c>
      <c r="V41" s="980"/>
      <c r="W41" s="980">
        <f t="shared" si="6"/>
        <v>0</v>
      </c>
      <c r="X41" s="1012">
        <f>SUM(X42:X43)</f>
        <v>1022.336719512195</v>
      </c>
      <c r="Y41" s="1007"/>
      <c r="Z41" s="956"/>
    </row>
    <row r="42" spans="1:26" x14ac:dyDescent="0.25">
      <c r="A42" s="822"/>
      <c r="B42" s="989"/>
      <c r="C42" s="1015" t="s">
        <v>817</v>
      </c>
      <c r="D42" s="302"/>
      <c r="E42" s="302">
        <v>37</v>
      </c>
      <c r="F42" s="302"/>
      <c r="G42" s="302"/>
      <c r="H42" s="302"/>
      <c r="I42" s="302"/>
      <c r="J42" s="302"/>
      <c r="K42" s="823">
        <v>9843</v>
      </c>
      <c r="L42" s="302" t="s">
        <v>811</v>
      </c>
      <c r="M42" s="823">
        <f>Tabla36[[#This Row],[cant]]*Tabla36[[#This Row],[ $  MERCADO]]</f>
        <v>364191</v>
      </c>
      <c r="N42" s="823"/>
      <c r="O42" s="823"/>
      <c r="P42" s="823"/>
      <c r="Q42" s="823"/>
      <c r="R42" s="823">
        <f>Tabla36[[#This Row],[TOTAL $]]*0.21</f>
        <v>76480.11</v>
      </c>
      <c r="S42" s="823">
        <f>SUM(Tabla36[[#This Row],[TOTAL $]:[IVA 21]])</f>
        <v>440671.11</v>
      </c>
      <c r="T42" s="824">
        <f>Tabla36[[#This Row],[IVA 21]]+Tabla36[[#This Row],[TOTAL $]]+Tabla36[[#This Row],[SEGUROS]]</f>
        <v>440671.11</v>
      </c>
      <c r="U42" s="823"/>
      <c r="V42" s="823">
        <v>820</v>
      </c>
      <c r="W42" s="302"/>
      <c r="X42" s="1004">
        <f>Tabla36[[#This Row],[TOTAL C/IVA ]]/Tabla36[[#This Row],[TC $/U$s]]</f>
        <v>537.40379268292679</v>
      </c>
      <c r="Y42" s="302"/>
      <c r="Z42" s="949"/>
    </row>
    <row r="43" spans="1:26" x14ac:dyDescent="0.25">
      <c r="A43" s="822"/>
      <c r="B43" s="989"/>
      <c r="C43" s="997" t="s">
        <v>98</v>
      </c>
      <c r="D43" s="302"/>
      <c r="E43" s="302"/>
      <c r="F43" s="302"/>
      <c r="G43" s="302"/>
      <c r="H43" s="302"/>
      <c r="I43" s="302"/>
      <c r="J43" s="302"/>
      <c r="K43" s="302"/>
      <c r="L43" s="302"/>
      <c r="M43" s="823"/>
      <c r="N43" s="823"/>
      <c r="O43" s="823"/>
      <c r="P43" s="823"/>
      <c r="Q43" s="823"/>
      <c r="R43" s="823"/>
      <c r="S43" s="823">
        <v>397645</v>
      </c>
      <c r="T43" s="824">
        <f>Tabla36[[#This Row],[TOTAL C/IVA EFEC]]</f>
        <v>397645</v>
      </c>
      <c r="U43" s="823"/>
      <c r="V43" s="823">
        <v>820</v>
      </c>
      <c r="W43" s="302"/>
      <c r="X43" s="1004">
        <f>Tabla36[[#This Row],[TOTAL C/IVA ]]/Tabla36[[#This Row],[TC $/U$s]]</f>
        <v>484.9329268292683</v>
      </c>
      <c r="Y43" s="302"/>
      <c r="Z43" s="949"/>
    </row>
    <row r="44" spans="1:26" x14ac:dyDescent="0.25">
      <c r="A44" s="957"/>
      <c r="B44" s="355" t="s">
        <v>82</v>
      </c>
      <c r="C44" s="1007"/>
      <c r="D44" s="1007"/>
      <c r="E44" s="1007"/>
      <c r="F44" s="1007"/>
      <c r="G44" s="1007"/>
      <c r="H44" s="1007"/>
      <c r="I44" s="1007"/>
      <c r="J44" s="1007"/>
      <c r="K44" s="958"/>
      <c r="L44" s="1007"/>
      <c r="M44" s="958">
        <f>Tabla36[[#This Row],[cant]]*Tabla36[[#This Row],[ $  MERCADO]]</f>
        <v>0</v>
      </c>
      <c r="N44" s="958"/>
      <c r="O44" s="958"/>
      <c r="P44" s="958"/>
      <c r="Q44" s="958"/>
      <c r="R44" s="958">
        <f>Tabla36[[#This Row],[TOTAL $]]*0.21</f>
        <v>0</v>
      </c>
      <c r="S44" s="958"/>
      <c r="T44" s="358">
        <f>SUM(T45:T79)</f>
        <v>3679379.3740000012</v>
      </c>
      <c r="U44" s="358">
        <f>SUM(U45:U79)</f>
        <v>0</v>
      </c>
      <c r="V44" s="358">
        <f>AVERAGE(V45:V79)</f>
        <v>820</v>
      </c>
      <c r="W44" s="358">
        <f>SUM(W45:W79)</f>
        <v>0</v>
      </c>
      <c r="X44" s="1017">
        <f>SUM(X45:X79)</f>
        <v>4487.0480170731689</v>
      </c>
      <c r="Y44" s="1007"/>
      <c r="Z44" s="956"/>
    </row>
    <row r="45" spans="1:26" x14ac:dyDescent="0.25">
      <c r="A45" s="822"/>
      <c r="B45" s="374"/>
      <c r="C45" s="302" t="s">
        <v>818</v>
      </c>
      <c r="D45" s="302"/>
      <c r="E45" s="302">
        <v>3</v>
      </c>
      <c r="F45" s="302"/>
      <c r="G45" s="302"/>
      <c r="H45" s="302"/>
      <c r="I45" s="302"/>
      <c r="J45" s="302"/>
      <c r="K45" s="823">
        <v>9132.24</v>
      </c>
      <c r="L45" s="302" t="s">
        <v>819</v>
      </c>
      <c r="M45" s="823">
        <f>Tabla36[[#This Row],[cant]]*Tabla36[[#This Row],[ $  MERCADO]]</f>
        <v>27396.720000000001</v>
      </c>
      <c r="N45" s="823"/>
      <c r="O45" s="823"/>
      <c r="P45" s="823"/>
      <c r="Q45" s="823"/>
      <c r="R45" s="823">
        <f>Tabla36[[#This Row],[TOTAL $]]*0.21</f>
        <v>5753.3112000000001</v>
      </c>
      <c r="S45" s="823"/>
      <c r="T45" s="823">
        <f>SUM(Tabla36[[#This Row],[TOTAL $]:[IVA 21]])</f>
        <v>33150.031199999998</v>
      </c>
      <c r="U45" s="823"/>
      <c r="V45" s="823">
        <v>820</v>
      </c>
      <c r="W45" s="823"/>
      <c r="X45" s="954">
        <f>Tabla36[[#This Row],[TOTAL C/IVA ]]/Tabla36[[#This Row],[TC $/U$s]]</f>
        <v>40.426867317073167</v>
      </c>
      <c r="Y45" s="302"/>
      <c r="Z45" s="949"/>
    </row>
    <row r="46" spans="1:26" x14ac:dyDescent="0.25">
      <c r="A46" s="822"/>
      <c r="B46" s="374"/>
      <c r="C46" s="302" t="s">
        <v>820</v>
      </c>
      <c r="D46" s="302"/>
      <c r="E46" s="302">
        <v>1</v>
      </c>
      <c r="F46" s="302"/>
      <c r="G46" s="302"/>
      <c r="H46" s="302"/>
      <c r="I46" s="302"/>
      <c r="J46" s="302"/>
      <c r="K46" s="823">
        <v>57425.62</v>
      </c>
      <c r="L46" s="302" t="s">
        <v>819</v>
      </c>
      <c r="M46" s="823">
        <f>Tabla36[[#This Row],[cant]]*Tabla36[[#This Row],[ $  MERCADO]]</f>
        <v>57425.62</v>
      </c>
      <c r="N46" s="823"/>
      <c r="O46" s="823"/>
      <c r="P46" s="823"/>
      <c r="Q46" s="823"/>
      <c r="R46" s="823">
        <f>Tabla36[[#This Row],[TOTAL $]]*0.21</f>
        <v>12059.3802</v>
      </c>
      <c r="S46" s="823"/>
      <c r="T46" s="823">
        <f>SUM(Tabla36[[#This Row],[TOTAL $]:[IVA 21]])</f>
        <v>69485.000200000009</v>
      </c>
      <c r="U46" s="823"/>
      <c r="V46" s="823">
        <v>820</v>
      </c>
      <c r="W46" s="823"/>
      <c r="X46" s="954">
        <f>Tabla36[[#This Row],[TOTAL C/IVA ]]/Tabla36[[#This Row],[TC $/U$s]]</f>
        <v>84.737805121951226</v>
      </c>
      <c r="Y46" s="302"/>
      <c r="Z46" s="949"/>
    </row>
    <row r="47" spans="1:26" x14ac:dyDescent="0.25">
      <c r="A47" s="822"/>
      <c r="B47" s="374"/>
      <c r="C47" s="302" t="s">
        <v>820</v>
      </c>
      <c r="D47" s="302"/>
      <c r="E47" s="302">
        <v>1</v>
      </c>
      <c r="F47" s="302"/>
      <c r="G47" s="302"/>
      <c r="H47" s="302"/>
      <c r="I47" s="302"/>
      <c r="J47" s="302"/>
      <c r="K47" s="823">
        <v>57425.62</v>
      </c>
      <c r="L47" s="302" t="s">
        <v>819</v>
      </c>
      <c r="M47" s="823">
        <f>Tabla36[[#This Row],[cant]]*Tabla36[[#This Row],[ $  MERCADO]]</f>
        <v>57425.62</v>
      </c>
      <c r="N47" s="823"/>
      <c r="O47" s="823"/>
      <c r="P47" s="823"/>
      <c r="Q47" s="823"/>
      <c r="R47" s="823">
        <f>Tabla36[[#This Row],[TOTAL $]]*0.21</f>
        <v>12059.3802</v>
      </c>
      <c r="S47" s="823"/>
      <c r="T47" s="823">
        <f>SUM(Tabla36[[#This Row],[TOTAL $]:[IVA 21]])</f>
        <v>69485.000200000009</v>
      </c>
      <c r="U47" s="823"/>
      <c r="V47" s="823">
        <v>820</v>
      </c>
      <c r="W47" s="823"/>
      <c r="X47" s="954">
        <f>Tabla36[[#This Row],[TOTAL C/IVA ]]/Tabla36[[#This Row],[TC $/U$s]]</f>
        <v>84.737805121951226</v>
      </c>
      <c r="Y47" s="302"/>
      <c r="Z47" s="949"/>
    </row>
    <row r="48" spans="1:26" x14ac:dyDescent="0.25">
      <c r="A48" s="822"/>
      <c r="B48" s="374"/>
      <c r="C48" s="302" t="s">
        <v>820</v>
      </c>
      <c r="D48" s="302"/>
      <c r="E48" s="302">
        <v>1</v>
      </c>
      <c r="F48" s="302"/>
      <c r="G48" s="302"/>
      <c r="H48" s="302"/>
      <c r="I48" s="302"/>
      <c r="J48" s="302"/>
      <c r="K48" s="823">
        <v>57424</v>
      </c>
      <c r="L48" s="302" t="s">
        <v>819</v>
      </c>
      <c r="M48" s="823">
        <f>Tabla36[[#This Row],[cant]]*Tabla36[[#This Row],[ $  MERCADO]]</f>
        <v>57424</v>
      </c>
      <c r="N48" s="823"/>
      <c r="O48" s="823"/>
      <c r="P48" s="823"/>
      <c r="Q48" s="823"/>
      <c r="R48" s="823">
        <f>Tabla36[[#This Row],[TOTAL $]]*0.21</f>
        <v>12059.039999999999</v>
      </c>
      <c r="S48" s="823"/>
      <c r="T48" s="823">
        <f>SUM(Tabla36[[#This Row],[TOTAL $]:[IVA 21]])</f>
        <v>69483.039999999994</v>
      </c>
      <c r="U48" s="823"/>
      <c r="V48" s="823">
        <v>820</v>
      </c>
      <c r="W48" s="823"/>
      <c r="X48" s="954">
        <f>Tabla36[[#This Row],[TOTAL C/IVA ]]/Tabla36[[#This Row],[TC $/U$s]]</f>
        <v>84.735414634146338</v>
      </c>
      <c r="Y48" s="302"/>
      <c r="Z48" s="949"/>
    </row>
    <row r="49" spans="1:26" x14ac:dyDescent="0.25">
      <c r="A49" s="822"/>
      <c r="B49" s="374"/>
      <c r="C49" s="302" t="s">
        <v>821</v>
      </c>
      <c r="D49" s="302"/>
      <c r="E49" s="302">
        <v>1</v>
      </c>
      <c r="F49" s="302"/>
      <c r="G49" s="302"/>
      <c r="H49" s="302"/>
      <c r="I49" s="302"/>
      <c r="J49" s="302"/>
      <c r="K49" s="823">
        <v>47000</v>
      </c>
      <c r="L49" s="302" t="s">
        <v>819</v>
      </c>
      <c r="M49" s="823">
        <f>Tabla36[[#This Row],[cant]]*Tabla36[[#This Row],[ $  MERCADO]]</f>
        <v>47000</v>
      </c>
      <c r="N49" s="823"/>
      <c r="O49" s="823"/>
      <c r="P49" s="823"/>
      <c r="Q49" s="823"/>
      <c r="R49" s="823">
        <f>Tabla36[[#This Row],[TOTAL $]]*0.21</f>
        <v>9870</v>
      </c>
      <c r="S49" s="823"/>
      <c r="T49" s="823">
        <f>SUM(Tabla36[[#This Row],[TOTAL $]:[IVA 21]])</f>
        <v>56870</v>
      </c>
      <c r="U49" s="823"/>
      <c r="V49" s="823">
        <v>820</v>
      </c>
      <c r="W49" s="823"/>
      <c r="X49" s="954">
        <f>Tabla36[[#This Row],[TOTAL C/IVA ]]/Tabla36[[#This Row],[TC $/U$s]]</f>
        <v>69.353658536585371</v>
      </c>
      <c r="Y49" s="302"/>
      <c r="Z49" s="949"/>
    </row>
    <row r="50" spans="1:26" x14ac:dyDescent="0.25">
      <c r="A50" s="822"/>
      <c r="B50" s="374"/>
      <c r="C50" s="302" t="s">
        <v>822</v>
      </c>
      <c r="D50" s="302"/>
      <c r="E50" s="302">
        <v>16</v>
      </c>
      <c r="F50" s="302"/>
      <c r="G50" s="302"/>
      <c r="H50" s="302"/>
      <c r="I50" s="302"/>
      <c r="J50" s="302"/>
      <c r="K50" s="823">
        <v>22758</v>
      </c>
      <c r="L50" s="302" t="s">
        <v>819</v>
      </c>
      <c r="M50" s="823">
        <f>Tabla36[[#This Row],[cant]]*Tabla36[[#This Row],[ $  MERCADO]]</f>
        <v>364128</v>
      </c>
      <c r="N50" s="823"/>
      <c r="O50" s="823"/>
      <c r="P50" s="823"/>
      <c r="Q50" s="823"/>
      <c r="R50" s="823">
        <f>Tabla36[[#This Row],[TOTAL $]]*0.21</f>
        <v>76466.87999999999</v>
      </c>
      <c r="S50" s="823"/>
      <c r="T50" s="823">
        <f>SUM(Tabla36[[#This Row],[TOTAL $]:[IVA 21]])</f>
        <v>440594.88</v>
      </c>
      <c r="U50" s="823"/>
      <c r="V50" s="823">
        <v>820</v>
      </c>
      <c r="W50" s="823"/>
      <c r="X50" s="954">
        <f>Tabla36[[#This Row],[TOTAL C/IVA ]]/Tabla36[[#This Row],[TC $/U$s]]</f>
        <v>537.31082926829265</v>
      </c>
      <c r="Y50" s="302"/>
      <c r="Z50" s="949"/>
    </row>
    <row r="51" spans="1:26" x14ac:dyDescent="0.25">
      <c r="A51" s="822"/>
      <c r="B51" s="374"/>
      <c r="C51" s="302" t="s">
        <v>823</v>
      </c>
      <c r="D51" s="302"/>
      <c r="E51" s="302">
        <v>16</v>
      </c>
      <c r="F51" s="302"/>
      <c r="G51" s="302"/>
      <c r="H51" s="302"/>
      <c r="I51" s="302"/>
      <c r="J51" s="302"/>
      <c r="K51" s="823">
        <v>60622.5</v>
      </c>
      <c r="L51" s="302" t="s">
        <v>819</v>
      </c>
      <c r="M51" s="823">
        <f>Tabla36[[#This Row],[cant]]*Tabla36[[#This Row],[ $  MERCADO]]</f>
        <v>969960</v>
      </c>
      <c r="N51" s="823"/>
      <c r="O51" s="823"/>
      <c r="P51" s="823"/>
      <c r="Q51" s="823"/>
      <c r="R51" s="823">
        <f>Tabla36[[#This Row],[TOTAL $]]*0.21</f>
        <v>203691.6</v>
      </c>
      <c r="S51" s="823"/>
      <c r="T51" s="823">
        <f>SUM(Tabla36[[#This Row],[TOTAL $]:[IVA 21]])</f>
        <v>1173651.6000000001</v>
      </c>
      <c r="U51" s="823"/>
      <c r="V51" s="823">
        <v>820</v>
      </c>
      <c r="W51" s="823"/>
      <c r="X51" s="954">
        <f>Tabla36[[#This Row],[TOTAL C/IVA ]]/Tabla36[[#This Row],[TC $/U$s]]</f>
        <v>1431.2824390243904</v>
      </c>
      <c r="Y51" s="302"/>
      <c r="Z51" s="949"/>
    </row>
    <row r="52" spans="1:26" x14ac:dyDescent="0.25">
      <c r="A52" s="822"/>
      <c r="B52" s="374"/>
      <c r="C52" s="302" t="s">
        <v>824</v>
      </c>
      <c r="D52" s="302"/>
      <c r="E52" s="302">
        <v>300</v>
      </c>
      <c r="F52" s="302"/>
      <c r="G52" s="302"/>
      <c r="H52" s="302"/>
      <c r="I52" s="302"/>
      <c r="J52" s="302"/>
      <c r="K52" s="823">
        <v>162.22999999999999</v>
      </c>
      <c r="L52" s="302" t="s">
        <v>819</v>
      </c>
      <c r="M52" s="823">
        <f>Tabla36[[#This Row],[cant]]*Tabla36[[#This Row],[ $  MERCADO]]</f>
        <v>48669</v>
      </c>
      <c r="N52" s="823"/>
      <c r="O52" s="823"/>
      <c r="P52" s="823"/>
      <c r="Q52" s="823"/>
      <c r="R52" s="823">
        <f>Tabla36[[#This Row],[TOTAL $]]*0.21</f>
        <v>10220.49</v>
      </c>
      <c r="S52" s="823"/>
      <c r="T52" s="823">
        <f>SUM(Tabla36[[#This Row],[TOTAL $]:[IVA 21]])</f>
        <v>58889.49</v>
      </c>
      <c r="U52" s="823"/>
      <c r="V52" s="823">
        <v>820</v>
      </c>
      <c r="W52" s="823"/>
      <c r="X52" s="954">
        <f>Tabla36[[#This Row],[TOTAL C/IVA ]]/Tabla36[[#This Row],[TC $/U$s]]</f>
        <v>71.816451219512189</v>
      </c>
      <c r="Y52" s="302"/>
      <c r="Z52" s="949"/>
    </row>
    <row r="53" spans="1:26" x14ac:dyDescent="0.25">
      <c r="A53" s="822"/>
      <c r="B53" s="374"/>
      <c r="C53" s="302" t="s">
        <v>825</v>
      </c>
      <c r="D53" s="302"/>
      <c r="E53" s="302">
        <v>1</v>
      </c>
      <c r="F53" s="302"/>
      <c r="G53" s="302"/>
      <c r="H53" s="302"/>
      <c r="I53" s="302"/>
      <c r="J53" s="302"/>
      <c r="K53" s="823">
        <v>36867.769999999997</v>
      </c>
      <c r="L53" s="302" t="s">
        <v>819</v>
      </c>
      <c r="M53" s="823">
        <f>Tabla36[[#This Row],[cant]]*Tabla36[[#This Row],[ $  MERCADO]]</f>
        <v>36867.769999999997</v>
      </c>
      <c r="N53" s="823"/>
      <c r="O53" s="823"/>
      <c r="P53" s="823"/>
      <c r="Q53" s="823"/>
      <c r="R53" s="823">
        <f>Tabla36[[#This Row],[TOTAL $]]*0.21</f>
        <v>7742.2316999999994</v>
      </c>
      <c r="S53" s="823"/>
      <c r="T53" s="823">
        <f>SUM(Tabla36[[#This Row],[TOTAL $]:[IVA 21]])</f>
        <v>44610.001699999993</v>
      </c>
      <c r="U53" s="823"/>
      <c r="V53" s="823">
        <v>820</v>
      </c>
      <c r="W53" s="823"/>
      <c r="X53" s="954">
        <f>Tabla36[[#This Row],[TOTAL C/IVA ]]/Tabla36[[#This Row],[TC $/U$s]]</f>
        <v>54.402441097560967</v>
      </c>
      <c r="Y53" s="302"/>
      <c r="Z53" s="949"/>
    </row>
    <row r="54" spans="1:26" x14ac:dyDescent="0.25">
      <c r="A54" s="822"/>
      <c r="B54" s="374"/>
      <c r="C54" s="302" t="s">
        <v>824</v>
      </c>
      <c r="D54" s="302"/>
      <c r="E54" s="302">
        <v>175</v>
      </c>
      <c r="F54" s="302"/>
      <c r="G54" s="302"/>
      <c r="H54" s="302"/>
      <c r="I54" s="302"/>
      <c r="J54" s="302"/>
      <c r="K54" s="823">
        <v>192.56</v>
      </c>
      <c r="L54" s="302" t="s">
        <v>819</v>
      </c>
      <c r="M54" s="823">
        <f>Tabla36[[#This Row],[cant]]*Tabla36[[#This Row],[ $  MERCADO]]</f>
        <v>33698</v>
      </c>
      <c r="N54" s="823"/>
      <c r="O54" s="823"/>
      <c r="P54" s="823"/>
      <c r="Q54" s="823"/>
      <c r="R54" s="823">
        <f>Tabla36[[#This Row],[TOTAL $]]*0.21</f>
        <v>7076.58</v>
      </c>
      <c r="S54" s="823"/>
      <c r="T54" s="823">
        <f>SUM(Tabla36[[#This Row],[TOTAL $]:[IVA 21]])</f>
        <v>40774.58</v>
      </c>
      <c r="U54" s="823"/>
      <c r="V54" s="823">
        <v>820</v>
      </c>
      <c r="W54" s="823"/>
      <c r="X54" s="954">
        <f>Tabla36[[#This Row],[TOTAL C/IVA ]]/Tabla36[[#This Row],[TC $/U$s]]</f>
        <v>49.725097560975613</v>
      </c>
      <c r="Y54" s="302"/>
      <c r="Z54" s="949"/>
    </row>
    <row r="55" spans="1:26" x14ac:dyDescent="0.25">
      <c r="A55" s="822"/>
      <c r="B55" s="374"/>
      <c r="C55" s="302" t="s">
        <v>826</v>
      </c>
      <c r="D55" s="302"/>
      <c r="E55" s="302">
        <v>3</v>
      </c>
      <c r="F55" s="302"/>
      <c r="G55" s="302"/>
      <c r="H55" s="302"/>
      <c r="I55" s="302"/>
      <c r="J55" s="302"/>
      <c r="K55" s="823">
        <v>53826.45</v>
      </c>
      <c r="L55" s="302" t="s">
        <v>819</v>
      </c>
      <c r="M55" s="823">
        <f>Tabla36[[#This Row],[cant]]*Tabla36[[#This Row],[ $  MERCADO]]</f>
        <v>161479.34999999998</v>
      </c>
      <c r="N55" s="823"/>
      <c r="O55" s="823"/>
      <c r="P55" s="823"/>
      <c r="Q55" s="823"/>
      <c r="R55" s="823">
        <f>Tabla36[[#This Row],[TOTAL $]]*0.21</f>
        <v>33910.663499999995</v>
      </c>
      <c r="S55" s="823"/>
      <c r="T55" s="823">
        <f>SUM(Tabla36[[#This Row],[TOTAL $]:[IVA 21]])</f>
        <v>195390.01349999997</v>
      </c>
      <c r="U55" s="823"/>
      <c r="V55" s="823">
        <v>820</v>
      </c>
      <c r="W55" s="823"/>
      <c r="X55" s="954">
        <f>Tabla36[[#This Row],[TOTAL C/IVA ]]/Tabla36[[#This Row],[TC $/U$s]]</f>
        <v>238.28050426829265</v>
      </c>
      <c r="Y55" s="302"/>
      <c r="Z55" s="949"/>
    </row>
    <row r="56" spans="1:26" x14ac:dyDescent="0.25">
      <c r="A56" s="822"/>
      <c r="B56" s="374"/>
      <c r="C56" s="302" t="s">
        <v>827</v>
      </c>
      <c r="D56" s="302"/>
      <c r="E56" s="302">
        <v>3</v>
      </c>
      <c r="F56" s="302"/>
      <c r="G56" s="302"/>
      <c r="H56" s="302"/>
      <c r="I56" s="302"/>
      <c r="J56" s="302"/>
      <c r="K56" s="823">
        <v>89415.3</v>
      </c>
      <c r="L56" s="302" t="s">
        <v>819</v>
      </c>
      <c r="M56" s="823">
        <f>Tabla36[[#This Row],[cant]]*Tabla36[[#This Row],[ $  MERCADO]]</f>
        <v>268245.90000000002</v>
      </c>
      <c r="N56" s="823"/>
      <c r="O56" s="823"/>
      <c r="P56" s="823"/>
      <c r="Q56" s="823"/>
      <c r="R56" s="823">
        <f>Tabla36[[#This Row],[TOTAL $]]*0.21</f>
        <v>56331.639000000003</v>
      </c>
      <c r="S56" s="823"/>
      <c r="T56" s="823">
        <f>SUM(Tabla36[[#This Row],[TOTAL $]:[IVA 21]])</f>
        <v>324577.53900000005</v>
      </c>
      <c r="U56" s="823"/>
      <c r="V56" s="823">
        <v>820</v>
      </c>
      <c r="W56" s="823"/>
      <c r="X56" s="954">
        <f>Tabla36[[#This Row],[TOTAL C/IVA ]]/Tabla36[[#This Row],[TC $/U$s]]</f>
        <v>395.82626707317081</v>
      </c>
      <c r="Y56" s="302"/>
      <c r="Z56" s="949"/>
    </row>
    <row r="57" spans="1:26" x14ac:dyDescent="0.25">
      <c r="A57" s="822"/>
      <c r="B57" s="374"/>
      <c r="C57" s="302" t="s">
        <v>828</v>
      </c>
      <c r="D57" s="302"/>
      <c r="E57" s="302">
        <v>3</v>
      </c>
      <c r="F57" s="302"/>
      <c r="G57" s="302"/>
      <c r="H57" s="302"/>
      <c r="I57" s="302"/>
      <c r="J57" s="302"/>
      <c r="K57" s="823">
        <v>72902.7</v>
      </c>
      <c r="L57" s="302" t="s">
        <v>819</v>
      </c>
      <c r="M57" s="823">
        <f>Tabla36[[#This Row],[cant]]*Tabla36[[#This Row],[ $  MERCADO]]</f>
        <v>218708.09999999998</v>
      </c>
      <c r="N57" s="823"/>
      <c r="O57" s="823"/>
      <c r="P57" s="823"/>
      <c r="Q57" s="823"/>
      <c r="R57" s="823">
        <f>Tabla36[[#This Row],[TOTAL $]]*0.21</f>
        <v>45928.700999999994</v>
      </c>
      <c r="S57" s="823"/>
      <c r="T57" s="823">
        <f>SUM(Tabla36[[#This Row],[TOTAL $]:[IVA 21]])</f>
        <v>264636.80099999998</v>
      </c>
      <c r="U57" s="823"/>
      <c r="V57" s="823">
        <v>820</v>
      </c>
      <c r="W57" s="823"/>
      <c r="X57" s="954">
        <f>Tabla36[[#This Row],[TOTAL C/IVA ]]/Tabla36[[#This Row],[TC $/U$s]]</f>
        <v>322.72780609756097</v>
      </c>
      <c r="Y57" s="302"/>
      <c r="Z57" s="949"/>
    </row>
    <row r="58" spans="1:26" x14ac:dyDescent="0.25">
      <c r="A58" s="822"/>
      <c r="B58" s="374"/>
      <c r="C58" s="302" t="s">
        <v>829</v>
      </c>
      <c r="D58" s="302"/>
      <c r="E58" s="302">
        <v>1</v>
      </c>
      <c r="F58" s="302"/>
      <c r="G58" s="302"/>
      <c r="H58" s="302"/>
      <c r="I58" s="302"/>
      <c r="J58" s="302"/>
      <c r="K58" s="823">
        <v>8863.4</v>
      </c>
      <c r="L58" s="302" t="s">
        <v>819</v>
      </c>
      <c r="M58" s="823">
        <f>Tabla36[[#This Row],[cant]]*Tabla36[[#This Row],[ $  MERCADO]]</f>
        <v>8863.4</v>
      </c>
      <c r="N58" s="823"/>
      <c r="O58" s="823"/>
      <c r="P58" s="823"/>
      <c r="Q58" s="823"/>
      <c r="R58" s="823">
        <f>Tabla36[[#This Row],[TOTAL $]]*0.21</f>
        <v>1861.3139999999999</v>
      </c>
      <c r="S58" s="823"/>
      <c r="T58" s="823">
        <f>SUM(Tabla36[[#This Row],[TOTAL $]:[IVA 21]])</f>
        <v>10724.714</v>
      </c>
      <c r="U58" s="823"/>
      <c r="V58" s="823">
        <v>820</v>
      </c>
      <c r="W58" s="823"/>
      <c r="X58" s="954">
        <f>Tabla36[[#This Row],[TOTAL C/IVA ]]/Tabla36[[#This Row],[TC $/U$s]]</f>
        <v>13.078919512195123</v>
      </c>
      <c r="Y58" s="302"/>
      <c r="Z58" s="949"/>
    </row>
    <row r="59" spans="1:26" x14ac:dyDescent="0.25">
      <c r="A59" s="822"/>
      <c r="B59" s="374"/>
      <c r="C59" s="302" t="s">
        <v>821</v>
      </c>
      <c r="D59" s="302"/>
      <c r="E59" s="302">
        <v>1</v>
      </c>
      <c r="F59" s="302"/>
      <c r="G59" s="302"/>
      <c r="H59" s="302"/>
      <c r="I59" s="302"/>
      <c r="J59" s="302"/>
      <c r="K59" s="823">
        <v>36699</v>
      </c>
      <c r="L59" s="302" t="s">
        <v>819</v>
      </c>
      <c r="M59" s="823">
        <f>Tabla36[[#This Row],[cant]]*Tabla36[[#This Row],[ $  MERCADO]]</f>
        <v>36699</v>
      </c>
      <c r="N59" s="823"/>
      <c r="O59" s="823"/>
      <c r="P59" s="823"/>
      <c r="Q59" s="823"/>
      <c r="R59" s="823">
        <f>Tabla36[[#This Row],[TOTAL $]]*0.21</f>
        <v>7706.79</v>
      </c>
      <c r="S59" s="823"/>
      <c r="T59" s="823">
        <f>SUM(Tabla36[[#This Row],[TOTAL $]:[IVA 21]])</f>
        <v>44405.79</v>
      </c>
      <c r="U59" s="823"/>
      <c r="V59" s="823">
        <v>820</v>
      </c>
      <c r="W59" s="823"/>
      <c r="X59" s="954">
        <f>Tabla36[[#This Row],[TOTAL C/IVA ]]/Tabla36[[#This Row],[TC $/U$s]]</f>
        <v>54.15340243902439</v>
      </c>
      <c r="Y59" s="302"/>
      <c r="Z59" s="949"/>
    </row>
    <row r="60" spans="1:26" x14ac:dyDescent="0.25">
      <c r="A60" s="822"/>
      <c r="B60" s="374"/>
      <c r="C60" s="302" t="s">
        <v>830</v>
      </c>
      <c r="D60" s="302"/>
      <c r="E60" s="302">
        <v>2</v>
      </c>
      <c r="F60" s="302"/>
      <c r="G60" s="302"/>
      <c r="H60" s="302"/>
      <c r="I60" s="302"/>
      <c r="J60" s="302"/>
      <c r="K60" s="823">
        <v>7480</v>
      </c>
      <c r="L60" s="302" t="s">
        <v>819</v>
      </c>
      <c r="M60" s="823">
        <f>Tabla36[[#This Row],[cant]]*Tabla36[[#This Row],[ $  MERCADO]]</f>
        <v>14960</v>
      </c>
      <c r="N60" s="823"/>
      <c r="O60" s="823"/>
      <c r="P60" s="823"/>
      <c r="Q60" s="823"/>
      <c r="R60" s="823">
        <f>Tabla36[[#This Row],[TOTAL $]]*0.21</f>
        <v>3141.6</v>
      </c>
      <c r="S60" s="823"/>
      <c r="T60" s="823">
        <f>SUM(Tabla36[[#This Row],[TOTAL $]:[IVA 21]])</f>
        <v>18101.599999999999</v>
      </c>
      <c r="U60" s="823"/>
      <c r="V60" s="823">
        <v>820</v>
      </c>
      <c r="W60" s="823"/>
      <c r="X60" s="954">
        <f>Tabla36[[#This Row],[TOTAL C/IVA ]]/Tabla36[[#This Row],[TC $/U$s]]</f>
        <v>22.075121951219511</v>
      </c>
      <c r="Y60" s="302"/>
      <c r="Z60" s="949"/>
    </row>
    <row r="61" spans="1:26" x14ac:dyDescent="0.25">
      <c r="A61" s="822"/>
      <c r="B61" s="374"/>
      <c r="C61" s="302" t="s">
        <v>831</v>
      </c>
      <c r="D61" s="302"/>
      <c r="E61" s="302">
        <v>1</v>
      </c>
      <c r="F61" s="302"/>
      <c r="G61" s="302"/>
      <c r="H61" s="302"/>
      <c r="I61" s="302"/>
      <c r="J61" s="302"/>
      <c r="K61" s="823">
        <v>36859.5</v>
      </c>
      <c r="L61" s="302" t="s">
        <v>819</v>
      </c>
      <c r="M61" s="823">
        <f>Tabla36[[#This Row],[cant]]*Tabla36[[#This Row],[ $  MERCADO]]</f>
        <v>36859.5</v>
      </c>
      <c r="N61" s="823"/>
      <c r="O61" s="823"/>
      <c r="P61" s="823"/>
      <c r="Q61" s="823"/>
      <c r="R61" s="823">
        <f>Tabla36[[#This Row],[TOTAL $]]*0.21</f>
        <v>7740.4949999999999</v>
      </c>
      <c r="S61" s="823"/>
      <c r="T61" s="823">
        <f>SUM(Tabla36[[#This Row],[TOTAL $]:[IVA 21]])</f>
        <v>44599.995000000003</v>
      </c>
      <c r="U61" s="823"/>
      <c r="V61" s="823">
        <v>820</v>
      </c>
      <c r="W61" s="823"/>
      <c r="X61" s="954">
        <f>Tabla36[[#This Row],[TOTAL C/IVA ]]/Tabla36[[#This Row],[TC $/U$s]]</f>
        <v>54.390237804878055</v>
      </c>
      <c r="Y61" s="302"/>
      <c r="Z61" s="949"/>
    </row>
    <row r="62" spans="1:26" x14ac:dyDescent="0.25">
      <c r="A62" s="822"/>
      <c r="B62" s="374"/>
      <c r="C62" s="302" t="s">
        <v>818</v>
      </c>
      <c r="D62" s="302"/>
      <c r="E62" s="302">
        <v>2</v>
      </c>
      <c r="F62" s="302"/>
      <c r="G62" s="302"/>
      <c r="H62" s="302"/>
      <c r="I62" s="302"/>
      <c r="J62" s="302"/>
      <c r="K62" s="823">
        <v>13786</v>
      </c>
      <c r="L62" s="302" t="s">
        <v>819</v>
      </c>
      <c r="M62" s="823">
        <f>Tabla36[[#This Row],[cant]]*Tabla36[[#This Row],[ $  MERCADO]]</f>
        <v>27572</v>
      </c>
      <c r="N62" s="823"/>
      <c r="O62" s="823"/>
      <c r="P62" s="823"/>
      <c r="Q62" s="823"/>
      <c r="R62" s="823">
        <f>Tabla36[[#This Row],[TOTAL $]]*0.21</f>
        <v>5790.12</v>
      </c>
      <c r="S62" s="823"/>
      <c r="T62" s="823">
        <f>SUM(Tabla36[[#This Row],[TOTAL $]:[IVA 21]])</f>
        <v>33362.120000000003</v>
      </c>
      <c r="U62" s="823"/>
      <c r="V62" s="823">
        <v>820</v>
      </c>
      <c r="W62" s="823"/>
      <c r="X62" s="954">
        <f>Tabla36[[#This Row],[TOTAL C/IVA ]]/Tabla36[[#This Row],[TC $/U$s]]</f>
        <v>40.685512195121952</v>
      </c>
      <c r="Y62" s="302"/>
      <c r="Z62" s="949"/>
    </row>
    <row r="63" spans="1:26" x14ac:dyDescent="0.25">
      <c r="A63" s="822"/>
      <c r="B63" s="374"/>
      <c r="C63" s="302" t="s">
        <v>827</v>
      </c>
      <c r="D63" s="302"/>
      <c r="E63" s="302">
        <v>1</v>
      </c>
      <c r="F63" s="302"/>
      <c r="G63" s="302"/>
      <c r="H63" s="302"/>
      <c r="I63" s="302"/>
      <c r="J63" s="302"/>
      <c r="K63" s="823">
        <v>85838.84</v>
      </c>
      <c r="L63" s="302" t="s">
        <v>819</v>
      </c>
      <c r="M63" s="823">
        <f>Tabla36[[#This Row],[cant]]*Tabla36[[#This Row],[ $  MERCADO]]</f>
        <v>85838.84</v>
      </c>
      <c r="N63" s="823"/>
      <c r="O63" s="823"/>
      <c r="P63" s="823"/>
      <c r="Q63" s="823"/>
      <c r="R63" s="823">
        <f>Tabla36[[#This Row],[TOTAL $]]*0.21</f>
        <v>18026.1564</v>
      </c>
      <c r="S63" s="823"/>
      <c r="T63" s="823">
        <f>SUM(Tabla36[[#This Row],[TOTAL $]:[IVA 21]])</f>
        <v>103864.9964</v>
      </c>
      <c r="U63" s="823"/>
      <c r="V63" s="823">
        <v>820</v>
      </c>
      <c r="W63" s="823"/>
      <c r="X63" s="954">
        <f>Tabla36[[#This Row],[TOTAL C/IVA ]]/Tabla36[[#This Row],[TC $/U$s]]</f>
        <v>126.66462975609757</v>
      </c>
      <c r="Y63" s="302"/>
      <c r="Z63" s="949"/>
    </row>
    <row r="64" spans="1:26" x14ac:dyDescent="0.25">
      <c r="A64" s="822"/>
      <c r="B64" s="374"/>
      <c r="C64" s="302" t="s">
        <v>826</v>
      </c>
      <c r="D64" s="302"/>
      <c r="E64" s="302">
        <v>1</v>
      </c>
      <c r="F64" s="302"/>
      <c r="G64" s="302"/>
      <c r="H64" s="302"/>
      <c r="I64" s="302"/>
      <c r="J64" s="302"/>
      <c r="K64" s="823">
        <v>53826.45</v>
      </c>
      <c r="L64" s="302" t="s">
        <v>819</v>
      </c>
      <c r="M64" s="823">
        <f>Tabla36[[#This Row],[cant]]*Tabla36[[#This Row],[ $  MERCADO]]</f>
        <v>53826.45</v>
      </c>
      <c r="N64" s="823"/>
      <c r="O64" s="823"/>
      <c r="P64" s="823"/>
      <c r="Q64" s="823"/>
      <c r="R64" s="823">
        <f>Tabla36[[#This Row],[TOTAL $]]*0.21</f>
        <v>11303.554499999998</v>
      </c>
      <c r="S64" s="823"/>
      <c r="T64" s="823">
        <f>SUM(Tabla36[[#This Row],[TOTAL $]:[IVA 21]])</f>
        <v>65130.004499999995</v>
      </c>
      <c r="U64" s="823"/>
      <c r="V64" s="823">
        <v>820</v>
      </c>
      <c r="W64" s="823"/>
      <c r="X64" s="954">
        <f>Tabla36[[#This Row],[TOTAL C/IVA ]]/Tabla36[[#This Row],[TC $/U$s]]</f>
        <v>79.426834756097549</v>
      </c>
      <c r="Y64" s="302"/>
      <c r="Z64" s="949"/>
    </row>
    <row r="65" spans="1:26" x14ac:dyDescent="0.25">
      <c r="A65" s="822"/>
      <c r="B65" s="374"/>
      <c r="C65" s="302" t="s">
        <v>832</v>
      </c>
      <c r="D65" s="302"/>
      <c r="E65" s="302">
        <v>1</v>
      </c>
      <c r="F65" s="302"/>
      <c r="G65" s="302"/>
      <c r="H65" s="302"/>
      <c r="I65" s="302"/>
      <c r="J65" s="302"/>
      <c r="K65" s="823">
        <v>132760.32999999999</v>
      </c>
      <c r="L65" s="302" t="s">
        <v>819</v>
      </c>
      <c r="M65" s="823">
        <f>Tabla36[[#This Row],[cant]]*Tabla36[[#This Row],[ $  MERCADO]]</f>
        <v>132760.32999999999</v>
      </c>
      <c r="N65" s="823"/>
      <c r="O65" s="823"/>
      <c r="P65" s="823"/>
      <c r="Q65" s="823"/>
      <c r="R65" s="823">
        <f>Tabla36[[#This Row],[TOTAL $]]*0.21</f>
        <v>27879.669299999998</v>
      </c>
      <c r="S65" s="823"/>
      <c r="T65" s="823">
        <f>SUM(Tabla36[[#This Row],[TOTAL $]:[IVA 21]])</f>
        <v>160639.9993</v>
      </c>
      <c r="U65" s="823"/>
      <c r="V65" s="823">
        <v>820</v>
      </c>
      <c r="W65" s="823"/>
      <c r="X65" s="954">
        <f>Tabla36[[#This Row],[TOTAL C/IVA ]]/Tabla36[[#This Row],[TC $/U$s]]</f>
        <v>195.9024381707317</v>
      </c>
      <c r="Y65" s="302"/>
      <c r="Z65" s="949"/>
    </row>
    <row r="66" spans="1:26" x14ac:dyDescent="0.25">
      <c r="A66" s="822"/>
      <c r="B66" s="374"/>
      <c r="C66" s="302" t="s">
        <v>820</v>
      </c>
      <c r="D66" s="302"/>
      <c r="E66" s="302">
        <v>1</v>
      </c>
      <c r="F66" s="302"/>
      <c r="G66" s="302"/>
      <c r="H66" s="302"/>
      <c r="I66" s="302"/>
      <c r="J66" s="302"/>
      <c r="K66" s="823">
        <v>71976.03</v>
      </c>
      <c r="L66" s="302" t="s">
        <v>819</v>
      </c>
      <c r="M66" s="823">
        <f>Tabla36[[#This Row],[cant]]*Tabla36[[#This Row],[ $  MERCADO]]</f>
        <v>71976.03</v>
      </c>
      <c r="N66" s="823"/>
      <c r="O66" s="823"/>
      <c r="P66" s="823"/>
      <c r="Q66" s="823"/>
      <c r="R66" s="823">
        <f>Tabla36[[#This Row],[TOTAL $]]*0.21</f>
        <v>15114.9663</v>
      </c>
      <c r="S66" s="823"/>
      <c r="T66" s="823">
        <f>SUM(Tabla36[[#This Row],[TOTAL $]:[IVA 21]])</f>
        <v>87090.996299999999</v>
      </c>
      <c r="U66" s="823"/>
      <c r="V66" s="823">
        <v>820</v>
      </c>
      <c r="W66" s="823"/>
      <c r="X66" s="954">
        <f>Tabla36[[#This Row],[TOTAL C/IVA ]]/Tabla36[[#This Row],[TC $/U$s]]</f>
        <v>106.20853207317073</v>
      </c>
      <c r="Y66" s="302"/>
      <c r="Z66" s="949"/>
    </row>
    <row r="67" spans="1:26" x14ac:dyDescent="0.25">
      <c r="A67" s="822"/>
      <c r="B67" s="374"/>
      <c r="C67" s="302" t="s">
        <v>827</v>
      </c>
      <c r="D67" s="302"/>
      <c r="E67" s="302">
        <v>1</v>
      </c>
      <c r="F67" s="302"/>
      <c r="G67" s="302"/>
      <c r="H67" s="302"/>
      <c r="I67" s="302"/>
      <c r="J67" s="302"/>
      <c r="K67" s="823">
        <v>85838.84</v>
      </c>
      <c r="L67" s="302" t="s">
        <v>819</v>
      </c>
      <c r="M67" s="823">
        <f>Tabla36[[#This Row],[cant]]*Tabla36[[#This Row],[ $  MERCADO]]</f>
        <v>85838.84</v>
      </c>
      <c r="N67" s="823"/>
      <c r="O67" s="823"/>
      <c r="P67" s="823"/>
      <c r="Q67" s="823"/>
      <c r="R67" s="823">
        <f>Tabla36[[#This Row],[TOTAL $]]*0.21</f>
        <v>18026.1564</v>
      </c>
      <c r="S67" s="823"/>
      <c r="T67" s="823">
        <f>SUM(Tabla36[[#This Row],[TOTAL $]:[IVA 21]])</f>
        <v>103864.9964</v>
      </c>
      <c r="U67" s="823"/>
      <c r="V67" s="823">
        <v>820</v>
      </c>
      <c r="W67" s="823"/>
      <c r="X67" s="954">
        <f>Tabla36[[#This Row],[TOTAL C/IVA ]]/Tabla36[[#This Row],[TC $/U$s]]</f>
        <v>126.66462975609757</v>
      </c>
      <c r="Y67" s="302"/>
      <c r="Z67" s="949"/>
    </row>
    <row r="68" spans="1:26" x14ac:dyDescent="0.25">
      <c r="A68" s="822"/>
      <c r="B68" s="374"/>
      <c r="C68" s="302" t="s">
        <v>833</v>
      </c>
      <c r="D68" s="302"/>
      <c r="E68" s="302">
        <v>2</v>
      </c>
      <c r="F68" s="302"/>
      <c r="G68" s="302"/>
      <c r="H68" s="302"/>
      <c r="I68" s="302"/>
      <c r="J68" s="302"/>
      <c r="K68" s="823">
        <v>5139.12</v>
      </c>
      <c r="L68" s="302" t="s">
        <v>819</v>
      </c>
      <c r="M68" s="823">
        <f>Tabla36[[#This Row],[cant]]*Tabla36[[#This Row],[ $  MERCADO]]</f>
        <v>10278.24</v>
      </c>
      <c r="N68" s="823"/>
      <c r="O68" s="823"/>
      <c r="P68" s="823"/>
      <c r="Q68" s="823"/>
      <c r="R68" s="823">
        <f>Tabla36[[#This Row],[TOTAL $]]*0.21</f>
        <v>2158.4303999999997</v>
      </c>
      <c r="S68" s="823"/>
      <c r="T68" s="823">
        <f>SUM(Tabla36[[#This Row],[TOTAL $]:[IVA 21]])</f>
        <v>12436.670399999999</v>
      </c>
      <c r="U68" s="823"/>
      <c r="V68" s="823">
        <v>820</v>
      </c>
      <c r="W68" s="823"/>
      <c r="X68" s="954">
        <f>Tabla36[[#This Row],[TOTAL C/IVA ]]/Tabla36[[#This Row],[TC $/U$s]]</f>
        <v>15.166671219512194</v>
      </c>
      <c r="Y68" s="302"/>
      <c r="Z68" s="949"/>
    </row>
    <row r="69" spans="1:26" x14ac:dyDescent="0.25">
      <c r="A69" s="822"/>
      <c r="B69" s="374"/>
      <c r="C69" s="302" t="s">
        <v>834</v>
      </c>
      <c r="D69" s="302"/>
      <c r="E69" s="302">
        <v>1</v>
      </c>
      <c r="F69" s="302"/>
      <c r="G69" s="302"/>
      <c r="H69" s="302"/>
      <c r="I69" s="302"/>
      <c r="J69" s="302"/>
      <c r="K69" s="823">
        <v>13231.4</v>
      </c>
      <c r="L69" s="302" t="s">
        <v>819</v>
      </c>
      <c r="M69" s="823">
        <f>Tabla36[[#This Row],[cant]]*Tabla36[[#This Row],[ $  MERCADO]]</f>
        <v>13231.4</v>
      </c>
      <c r="N69" s="823"/>
      <c r="O69" s="823"/>
      <c r="P69" s="823"/>
      <c r="Q69" s="823"/>
      <c r="R69" s="823">
        <f>Tabla36[[#This Row],[TOTAL $]]*0.21</f>
        <v>2778.5939999999996</v>
      </c>
      <c r="S69" s="823"/>
      <c r="T69" s="823">
        <f>SUM(Tabla36[[#This Row],[TOTAL $]:[IVA 21]])</f>
        <v>16009.993999999999</v>
      </c>
      <c r="U69" s="823"/>
      <c r="V69" s="823">
        <v>820</v>
      </c>
      <c r="W69" s="823"/>
      <c r="X69" s="954">
        <f>Tabla36[[#This Row],[TOTAL C/IVA ]]/Tabla36[[#This Row],[TC $/U$s]]</f>
        <v>19.524382926829269</v>
      </c>
      <c r="Y69" s="302"/>
      <c r="Z69" s="949"/>
    </row>
    <row r="70" spans="1:26" x14ac:dyDescent="0.25">
      <c r="A70" s="822"/>
      <c r="B70" s="374"/>
      <c r="C70" s="302" t="s">
        <v>835</v>
      </c>
      <c r="D70" s="302"/>
      <c r="E70" s="302">
        <v>100</v>
      </c>
      <c r="F70" s="302"/>
      <c r="G70" s="302"/>
      <c r="H70" s="302"/>
      <c r="I70" s="302"/>
      <c r="J70" s="302"/>
      <c r="K70" s="823">
        <v>152.96</v>
      </c>
      <c r="L70" s="302" t="s">
        <v>819</v>
      </c>
      <c r="M70" s="823">
        <f>Tabla36[[#This Row],[cant]]*Tabla36[[#This Row],[ $  MERCADO]]</f>
        <v>15296</v>
      </c>
      <c r="N70" s="823"/>
      <c r="O70" s="823"/>
      <c r="P70" s="823"/>
      <c r="Q70" s="823"/>
      <c r="R70" s="823">
        <f>Tabla36[[#This Row],[TOTAL $]]*0.21</f>
        <v>3212.16</v>
      </c>
      <c r="S70" s="823"/>
      <c r="T70" s="823">
        <f>SUM(Tabla36[[#This Row],[TOTAL $]:[IVA 21]])</f>
        <v>18508.16</v>
      </c>
      <c r="U70" s="823"/>
      <c r="V70" s="823">
        <v>820</v>
      </c>
      <c r="W70" s="823"/>
      <c r="X70" s="954">
        <f>Tabla36[[#This Row],[TOTAL C/IVA ]]/Tabla36[[#This Row],[TC $/U$s]]</f>
        <v>22.570926829268291</v>
      </c>
      <c r="Y70" s="302"/>
      <c r="Z70" s="949"/>
    </row>
    <row r="71" spans="1:26" x14ac:dyDescent="0.25">
      <c r="A71" s="822"/>
      <c r="B71" s="374"/>
      <c r="C71" s="302" t="s">
        <v>836</v>
      </c>
      <c r="D71" s="302"/>
      <c r="E71" s="302">
        <v>15</v>
      </c>
      <c r="F71" s="302"/>
      <c r="G71" s="302"/>
      <c r="H71" s="302"/>
      <c r="I71" s="302"/>
      <c r="J71" s="302"/>
      <c r="K71" s="823">
        <v>707.05</v>
      </c>
      <c r="L71" s="302" t="s">
        <v>819</v>
      </c>
      <c r="M71" s="823">
        <f>Tabla36[[#This Row],[cant]]*Tabla36[[#This Row],[ $  MERCADO]]</f>
        <v>10605.75</v>
      </c>
      <c r="N71" s="823"/>
      <c r="O71" s="823"/>
      <c r="P71" s="823"/>
      <c r="Q71" s="823"/>
      <c r="R71" s="823">
        <f>Tabla36[[#This Row],[TOTAL $]]*0.21</f>
        <v>2227.2075</v>
      </c>
      <c r="S71" s="823"/>
      <c r="T71" s="823">
        <f>SUM(Tabla36[[#This Row],[TOTAL $]:[IVA 21]])</f>
        <v>12832.9575</v>
      </c>
      <c r="U71" s="823"/>
      <c r="V71" s="823">
        <v>820</v>
      </c>
      <c r="W71" s="823"/>
      <c r="X71" s="954">
        <f>Tabla36[[#This Row],[TOTAL C/IVA ]]/Tabla36[[#This Row],[TC $/U$s]]</f>
        <v>15.649948170731708</v>
      </c>
      <c r="Y71" s="302"/>
      <c r="Z71" s="949"/>
    </row>
    <row r="72" spans="1:26" x14ac:dyDescent="0.25">
      <c r="A72" s="822"/>
      <c r="B72" s="302"/>
      <c r="C72" s="997" t="s">
        <v>837</v>
      </c>
      <c r="D72" s="302"/>
      <c r="E72" s="302">
        <v>2</v>
      </c>
      <c r="F72" s="302"/>
      <c r="G72" s="302"/>
      <c r="H72" s="302"/>
      <c r="I72" s="302"/>
      <c r="J72" s="302"/>
      <c r="K72" s="823">
        <v>5409.09</v>
      </c>
      <c r="L72" s="302" t="s">
        <v>819</v>
      </c>
      <c r="M72" s="823">
        <f>Tabla36[[#This Row],[cant]]*Tabla36[[#This Row],[ $  MERCADO]]</f>
        <v>10818.18</v>
      </c>
      <c r="N72" s="823"/>
      <c r="O72" s="823"/>
      <c r="P72" s="823"/>
      <c r="Q72" s="823"/>
      <c r="R72" s="823">
        <f>Tabla36[[#This Row],[TOTAL $]]*0.21</f>
        <v>2271.8177999999998</v>
      </c>
      <c r="S72" s="823"/>
      <c r="T72" s="823">
        <f>SUM(Tabla36[[#This Row],[TOTAL $]:[IVA 21]])</f>
        <v>13089.997800000001</v>
      </c>
      <c r="U72" s="823"/>
      <c r="V72" s="823">
        <v>820</v>
      </c>
      <c r="W72" s="823"/>
      <c r="X72" s="954">
        <f>Tabla36[[#This Row],[TOTAL C/IVA ]]/Tabla36[[#This Row],[TC $/U$s]]</f>
        <v>15.963411951219513</v>
      </c>
      <c r="Y72" s="302"/>
      <c r="Z72" s="949"/>
    </row>
    <row r="73" spans="1:26" x14ac:dyDescent="0.25">
      <c r="A73" s="822"/>
      <c r="B73" s="302"/>
      <c r="C73" s="302" t="s">
        <v>838</v>
      </c>
      <c r="D73" s="302"/>
      <c r="E73" s="302">
        <v>4</v>
      </c>
      <c r="F73" s="302"/>
      <c r="G73" s="302"/>
      <c r="H73" s="302"/>
      <c r="I73" s="302"/>
      <c r="J73" s="302"/>
      <c r="K73" s="823">
        <v>8520.66</v>
      </c>
      <c r="L73" s="302" t="s">
        <v>819</v>
      </c>
      <c r="M73" s="823">
        <f>Tabla36[[#This Row],[cant]]*Tabla36[[#This Row],[ $  MERCADO]]</f>
        <v>34082.639999999999</v>
      </c>
      <c r="N73" s="823"/>
      <c r="O73" s="823"/>
      <c r="P73" s="823"/>
      <c r="Q73" s="823"/>
      <c r="R73" s="823">
        <f>Tabla36[[#This Row],[TOTAL $]]*0.21</f>
        <v>7157.3543999999993</v>
      </c>
      <c r="S73" s="823"/>
      <c r="T73" s="823">
        <f>SUM(Tabla36[[#This Row],[TOTAL $]:[IVA 21]])</f>
        <v>41239.994399999996</v>
      </c>
      <c r="U73" s="823"/>
      <c r="V73" s="823">
        <v>820</v>
      </c>
      <c r="W73" s="823"/>
      <c r="X73" s="954">
        <f>Tabla36[[#This Row],[TOTAL C/IVA ]]/Tabla36[[#This Row],[TC $/U$s]]</f>
        <v>50.292676097560971</v>
      </c>
      <c r="Y73" s="302"/>
      <c r="Z73" s="949"/>
    </row>
    <row r="74" spans="1:26" x14ac:dyDescent="0.25">
      <c r="A74" s="822"/>
      <c r="B74" s="302"/>
      <c r="C74" s="302" t="s">
        <v>839</v>
      </c>
      <c r="D74" s="302"/>
      <c r="E74" s="302">
        <v>1</v>
      </c>
      <c r="F74" s="302"/>
      <c r="G74" s="302"/>
      <c r="H74" s="302"/>
      <c r="I74" s="302"/>
      <c r="J74" s="302"/>
      <c r="K74" s="823">
        <v>6063.63</v>
      </c>
      <c r="L74" s="302" t="s">
        <v>819</v>
      </c>
      <c r="M74" s="823">
        <f>Tabla36[[#This Row],[cant]]*Tabla36[[#This Row],[ $  MERCADO]]</f>
        <v>6063.63</v>
      </c>
      <c r="N74" s="823"/>
      <c r="O74" s="823"/>
      <c r="P74" s="823"/>
      <c r="Q74" s="823"/>
      <c r="R74" s="823">
        <f>Tabla36[[#This Row],[TOTAL $]]*0.21</f>
        <v>1273.3623</v>
      </c>
      <c r="S74" s="823"/>
      <c r="T74" s="823">
        <f>SUM(Tabla36[[#This Row],[TOTAL $]:[IVA 21]])</f>
        <v>7336.9922999999999</v>
      </c>
      <c r="U74" s="823"/>
      <c r="V74" s="823">
        <v>820</v>
      </c>
      <c r="W74" s="823"/>
      <c r="X74" s="954">
        <f>Tabla36[[#This Row],[TOTAL C/IVA ]]/Tabla36[[#This Row],[TC $/U$s]]</f>
        <v>8.9475515853658543</v>
      </c>
      <c r="Y74" s="302"/>
      <c r="Z74" s="949"/>
    </row>
    <row r="75" spans="1:26" x14ac:dyDescent="0.25">
      <c r="A75" s="822"/>
      <c r="B75" s="302"/>
      <c r="C75" s="302" t="s">
        <v>830</v>
      </c>
      <c r="D75" s="302"/>
      <c r="E75" s="302">
        <v>1</v>
      </c>
      <c r="F75" s="302"/>
      <c r="G75" s="302"/>
      <c r="H75" s="302"/>
      <c r="I75" s="302"/>
      <c r="J75" s="302"/>
      <c r="K75" s="823">
        <v>6992.1</v>
      </c>
      <c r="L75" s="302" t="s">
        <v>819</v>
      </c>
      <c r="M75" s="823">
        <f>Tabla36[[#This Row],[cant]]*Tabla36[[#This Row],[ $  MERCADO]]</f>
        <v>6992.1</v>
      </c>
      <c r="N75" s="823"/>
      <c r="O75" s="823"/>
      <c r="P75" s="823"/>
      <c r="Q75" s="823"/>
      <c r="R75" s="823">
        <f>Tabla36[[#This Row],[TOTAL $]]*0.21</f>
        <v>1468.3410000000001</v>
      </c>
      <c r="S75" s="823"/>
      <c r="T75" s="823">
        <f>SUM(Tabla36[[#This Row],[TOTAL $]:[IVA 21]])</f>
        <v>8460.4410000000007</v>
      </c>
      <c r="U75" s="823"/>
      <c r="V75" s="823">
        <v>820</v>
      </c>
      <c r="W75" s="823"/>
      <c r="X75" s="954">
        <f>Tabla36[[#This Row],[TOTAL C/IVA ]]/Tabla36[[#This Row],[TC $/U$s]]</f>
        <v>10.317610975609757</v>
      </c>
      <c r="Y75" s="302"/>
      <c r="Z75" s="949"/>
    </row>
    <row r="76" spans="1:26" x14ac:dyDescent="0.25">
      <c r="A76" s="822"/>
      <c r="B76" s="302"/>
      <c r="C76" s="302" t="s">
        <v>840</v>
      </c>
      <c r="D76" s="302"/>
      <c r="E76" s="302">
        <v>1</v>
      </c>
      <c r="F76" s="302"/>
      <c r="G76" s="302"/>
      <c r="H76" s="302"/>
      <c r="I76" s="302"/>
      <c r="J76" s="302"/>
      <c r="K76" s="823">
        <v>4628.1000000000004</v>
      </c>
      <c r="L76" s="302" t="s">
        <v>819</v>
      </c>
      <c r="M76" s="823">
        <f>Tabla36[[#This Row],[cant]]*Tabla36[[#This Row],[ $  MERCADO]]</f>
        <v>4628.1000000000004</v>
      </c>
      <c r="N76" s="823"/>
      <c r="O76" s="823"/>
      <c r="P76" s="823"/>
      <c r="Q76" s="823"/>
      <c r="R76" s="823">
        <f>Tabla36[[#This Row],[TOTAL $]]*0.21</f>
        <v>971.90100000000007</v>
      </c>
      <c r="S76" s="823"/>
      <c r="T76" s="823">
        <f>SUM(Tabla36[[#This Row],[TOTAL $]:[IVA 21]])</f>
        <v>5600.0010000000002</v>
      </c>
      <c r="U76" s="823"/>
      <c r="V76" s="823">
        <v>820</v>
      </c>
      <c r="W76" s="823"/>
      <c r="X76" s="954">
        <f>Tabla36[[#This Row],[TOTAL C/IVA ]]/Tabla36[[#This Row],[TC $/U$s]]</f>
        <v>6.8292695121951219</v>
      </c>
      <c r="Y76" s="302"/>
      <c r="Z76" s="949"/>
    </row>
    <row r="77" spans="1:26" x14ac:dyDescent="0.25">
      <c r="A77" s="822"/>
      <c r="B77" s="302"/>
      <c r="C77" s="302" t="s">
        <v>841</v>
      </c>
      <c r="D77" s="302"/>
      <c r="E77" s="302">
        <v>10</v>
      </c>
      <c r="F77" s="302"/>
      <c r="G77" s="302"/>
      <c r="H77" s="302"/>
      <c r="I77" s="302"/>
      <c r="J77" s="302"/>
      <c r="K77" s="823">
        <v>421.49</v>
      </c>
      <c r="L77" s="302" t="s">
        <v>819</v>
      </c>
      <c r="M77" s="823">
        <f>Tabla36[[#This Row],[cant]]*Tabla36[[#This Row],[ $  MERCADO]]</f>
        <v>4214.8999999999996</v>
      </c>
      <c r="N77" s="823"/>
      <c r="O77" s="823"/>
      <c r="P77" s="823"/>
      <c r="Q77" s="823"/>
      <c r="R77" s="823">
        <f>Tabla36[[#This Row],[TOTAL $]]*0.21</f>
        <v>885.12899999999991</v>
      </c>
      <c r="S77" s="823"/>
      <c r="T77" s="823">
        <f>SUM(Tabla36[[#This Row],[TOTAL $]:[IVA 21]])</f>
        <v>5100.0289999999995</v>
      </c>
      <c r="U77" s="823"/>
      <c r="V77" s="823">
        <v>820</v>
      </c>
      <c r="W77" s="823"/>
      <c r="X77" s="954">
        <f>Tabla36[[#This Row],[TOTAL C/IVA ]]/Tabla36[[#This Row],[TC $/U$s]]</f>
        <v>6.2195475609756095</v>
      </c>
      <c r="Y77" s="302"/>
      <c r="Z77" s="949"/>
    </row>
    <row r="78" spans="1:26" x14ac:dyDescent="0.25">
      <c r="A78" s="822"/>
      <c r="B78" s="302"/>
      <c r="C78" s="302" t="s">
        <v>842</v>
      </c>
      <c r="D78" s="302"/>
      <c r="E78" s="1018">
        <v>1</v>
      </c>
      <c r="F78" s="302"/>
      <c r="G78" s="302"/>
      <c r="H78" s="302"/>
      <c r="I78" s="302"/>
      <c r="J78" s="302"/>
      <c r="K78" s="823">
        <v>20975.99</v>
      </c>
      <c r="L78" s="302" t="s">
        <v>819</v>
      </c>
      <c r="M78" s="823">
        <f>Tabla36[[#This Row],[cant]]*Tabla36[[#This Row],[ $  MERCADO]]</f>
        <v>20975.99</v>
      </c>
      <c r="N78" s="950"/>
      <c r="O78" s="950"/>
      <c r="P78" s="823"/>
      <c r="Q78" s="823"/>
      <c r="R78" s="823">
        <f>Tabla36[[#This Row],[TOTAL $]]*0.21</f>
        <v>4404.9579000000003</v>
      </c>
      <c r="S78" s="823"/>
      <c r="T78" s="823">
        <f>SUM(Tabla36[[#This Row],[TOTAL $]:[IVA 21]])</f>
        <v>25380.947900000003</v>
      </c>
      <c r="U78" s="823"/>
      <c r="V78" s="823">
        <v>820</v>
      </c>
      <c r="W78" s="302"/>
      <c r="X78" s="954">
        <f>Tabla36[[#This Row],[TOTAL C/IVA ]]/Tabla36[[#This Row],[TC $/U$s]]</f>
        <v>30.952375487804883</v>
      </c>
      <c r="Y78" s="302"/>
      <c r="Z78" s="949"/>
    </row>
    <row r="79" spans="1:26" x14ac:dyDescent="0.25">
      <c r="A79" s="822"/>
      <c r="B79" s="302"/>
      <c r="C79" s="302"/>
      <c r="D79" s="302"/>
      <c r="E79" s="302"/>
      <c r="F79" s="302"/>
      <c r="G79" s="302"/>
      <c r="H79" s="302"/>
      <c r="I79" s="302"/>
      <c r="J79" s="302"/>
      <c r="K79" s="823"/>
      <c r="L79" s="302"/>
      <c r="M79" s="823"/>
      <c r="N79" s="823"/>
      <c r="O79" s="823"/>
      <c r="P79" s="823"/>
      <c r="Q79" s="823"/>
      <c r="R79" s="823"/>
      <c r="S79" s="823"/>
      <c r="T79" s="1019"/>
      <c r="U79" s="823"/>
      <c r="V79" s="823"/>
      <c r="W79" s="823"/>
      <c r="X79" s="954"/>
      <c r="Y79" s="302"/>
      <c r="Z79" s="949"/>
    </row>
    <row r="80" spans="1:26" x14ac:dyDescent="0.25">
      <c r="A80" s="957"/>
      <c r="B80" s="355" t="s">
        <v>62</v>
      </c>
      <c r="C80" s="1007"/>
      <c r="D80" s="1007"/>
      <c r="E80" s="1007"/>
      <c r="F80" s="1007"/>
      <c r="G80" s="1007"/>
      <c r="H80" s="1007"/>
      <c r="I80" s="1007"/>
      <c r="J80" s="1007"/>
      <c r="K80" s="958"/>
      <c r="L80" s="1007"/>
      <c r="M80" s="958"/>
      <c r="N80" s="958"/>
      <c r="O80" s="958"/>
      <c r="P80" s="958"/>
      <c r="Q80" s="958"/>
      <c r="R80" s="958"/>
      <c r="S80" s="958"/>
      <c r="T80" s="979">
        <f>SUM(T81)</f>
        <v>42900</v>
      </c>
      <c r="U80" s="958"/>
      <c r="V80" s="958">
        <v>820</v>
      </c>
      <c r="W80" s="958"/>
      <c r="X80" s="1020">
        <f>SUM(X81)</f>
        <v>52.31707317073171</v>
      </c>
      <c r="Y80" s="1007"/>
      <c r="Z80" s="956"/>
    </row>
    <row r="81" spans="1:26" x14ac:dyDescent="0.25">
      <c r="A81" s="822"/>
      <c r="B81" s="302"/>
      <c r="C81" s="997" t="s">
        <v>843</v>
      </c>
      <c r="D81" s="302"/>
      <c r="E81" s="302"/>
      <c r="F81" s="302"/>
      <c r="G81" s="302"/>
      <c r="H81" s="302"/>
      <c r="I81" s="302"/>
      <c r="J81" s="302"/>
      <c r="K81" s="823"/>
      <c r="L81" s="302"/>
      <c r="M81" s="823"/>
      <c r="N81" s="823"/>
      <c r="O81" s="823"/>
      <c r="P81" s="823"/>
      <c r="Q81" s="823"/>
      <c r="R81" s="823"/>
      <c r="S81" s="823"/>
      <c r="T81" s="1019">
        <v>42900</v>
      </c>
      <c r="U81" s="823"/>
      <c r="V81" s="823">
        <v>820</v>
      </c>
      <c r="W81" s="823"/>
      <c r="X81" s="954">
        <f>Tabla36[[#This Row],[TOTAL C/IVA ]]/Tabla36[[#This Row],[TC $/U$s]]</f>
        <v>52.31707317073171</v>
      </c>
      <c r="Y81" s="302"/>
      <c r="Z81" s="949"/>
    </row>
    <row r="82" spans="1:26" x14ac:dyDescent="0.25">
      <c r="A82" s="822"/>
      <c r="B82" s="302"/>
      <c r="C82" s="997"/>
      <c r="D82" s="302"/>
      <c r="E82" s="302"/>
      <c r="F82" s="302"/>
      <c r="G82" s="302"/>
      <c r="H82" s="302"/>
      <c r="I82" s="302"/>
      <c r="J82" s="302"/>
      <c r="K82" s="823"/>
      <c r="L82" s="302"/>
      <c r="M82" s="823"/>
      <c r="N82" s="823"/>
      <c r="O82" s="823"/>
      <c r="P82" s="823"/>
      <c r="Q82" s="823"/>
      <c r="R82" s="823"/>
      <c r="S82" s="823"/>
      <c r="T82" s="1019"/>
      <c r="U82" s="823"/>
      <c r="V82" s="823"/>
      <c r="W82" s="823"/>
      <c r="X82" s="954"/>
      <c r="Y82" s="302"/>
      <c r="Z82" s="949"/>
    </row>
    <row r="83" spans="1:26" x14ac:dyDescent="0.25">
      <c r="A83" s="957"/>
      <c r="B83" s="355" t="s">
        <v>333</v>
      </c>
      <c r="C83" s="1007"/>
      <c r="D83" s="1007"/>
      <c r="E83" s="1007"/>
      <c r="F83" s="1007"/>
      <c r="G83" s="1007"/>
      <c r="H83" s="1007"/>
      <c r="I83" s="1007"/>
      <c r="J83" s="1007"/>
      <c r="K83" s="958"/>
      <c r="L83" s="1007"/>
      <c r="M83" s="958"/>
      <c r="N83" s="958"/>
      <c r="O83" s="958"/>
      <c r="P83" s="958"/>
      <c r="Q83" s="958"/>
      <c r="R83" s="958"/>
      <c r="S83" s="958"/>
      <c r="T83" s="979"/>
      <c r="U83" s="958"/>
      <c r="V83" s="958">
        <f>AVERAGE(V84:V100)</f>
        <v>803.07692307692309</v>
      </c>
      <c r="W83" s="958"/>
      <c r="X83" s="1020">
        <f>SUM(X84:X103)</f>
        <v>81577.461537507959</v>
      </c>
      <c r="Y83" s="1007"/>
      <c r="Z83" s="956"/>
    </row>
    <row r="84" spans="1:26" x14ac:dyDescent="0.25">
      <c r="A84" s="974"/>
      <c r="B84" s="996"/>
      <c r="C84" s="1021" t="s">
        <v>844</v>
      </c>
      <c r="D84" s="1022"/>
      <c r="E84" s="996"/>
      <c r="F84" s="996"/>
      <c r="G84" s="996"/>
      <c r="H84" s="996"/>
      <c r="I84" s="996"/>
      <c r="J84" s="996"/>
      <c r="K84" s="976"/>
      <c r="L84" s="996"/>
      <c r="M84" s="976"/>
      <c r="N84" s="976"/>
      <c r="O84" s="976"/>
      <c r="P84" s="976"/>
      <c r="Q84" s="976">
        <f>M84*0.105</f>
        <v>0</v>
      </c>
      <c r="R84" s="976"/>
      <c r="S84" s="976"/>
      <c r="T84" s="1023"/>
      <c r="U84" s="1024"/>
      <c r="V84" s="982">
        <v>820</v>
      </c>
      <c r="W84" s="1025">
        <f>SUM(W85:W91)/5+W92</f>
        <v>71.909807692307695</v>
      </c>
      <c r="X84" s="1046">
        <v>4680</v>
      </c>
      <c r="Y84" s="996"/>
      <c r="Z84" s="975"/>
    </row>
    <row r="85" spans="1:26" x14ac:dyDescent="0.25">
      <c r="A85" s="974"/>
      <c r="B85" s="996"/>
      <c r="C85" s="1027" t="s">
        <v>40</v>
      </c>
      <c r="D85" s="996">
        <v>65</v>
      </c>
      <c r="E85" s="996"/>
      <c r="F85" s="996"/>
      <c r="G85" s="996"/>
      <c r="H85" s="996"/>
      <c r="I85" s="996"/>
      <c r="J85" s="996"/>
      <c r="K85" s="976"/>
      <c r="L85" s="996"/>
      <c r="M85" s="976"/>
      <c r="N85" s="976"/>
      <c r="O85" s="976"/>
      <c r="P85" s="976"/>
      <c r="Q85" s="976"/>
      <c r="R85" s="976"/>
      <c r="S85" s="976"/>
      <c r="T85" s="1023"/>
      <c r="U85" s="1024"/>
      <c r="V85" s="976">
        <v>820</v>
      </c>
      <c r="W85" s="1028">
        <v>40</v>
      </c>
      <c r="X85" s="1046"/>
      <c r="Y85" s="996"/>
      <c r="Z85" s="975"/>
    </row>
    <row r="86" spans="1:26" x14ac:dyDescent="0.25">
      <c r="A86" s="974"/>
      <c r="B86" s="996"/>
      <c r="C86" s="1029" t="s">
        <v>845</v>
      </c>
      <c r="D86" s="996"/>
      <c r="E86" s="996"/>
      <c r="F86" s="996"/>
      <c r="G86" s="996"/>
      <c r="H86" s="996"/>
      <c r="I86" s="996"/>
      <c r="J86" s="996"/>
      <c r="K86" s="976"/>
      <c r="L86" s="996"/>
      <c r="M86" s="976"/>
      <c r="N86" s="976"/>
      <c r="O86" s="976"/>
      <c r="P86" s="976"/>
      <c r="Q86" s="976"/>
      <c r="R86" s="976"/>
      <c r="S86" s="976"/>
      <c r="T86" s="1023"/>
      <c r="U86" s="1024"/>
      <c r="V86" s="976">
        <v>820</v>
      </c>
      <c r="W86" s="1028">
        <v>100</v>
      </c>
      <c r="X86" s="1046"/>
      <c r="Y86" s="996"/>
      <c r="Z86" s="975"/>
    </row>
    <row r="87" spans="1:26" x14ac:dyDescent="0.25">
      <c r="A87" s="1047"/>
      <c r="B87" s="1059"/>
      <c r="C87" s="1061" t="s">
        <v>600</v>
      </c>
      <c r="D87" s="1048"/>
      <c r="E87" s="1048"/>
      <c r="F87" s="1048"/>
      <c r="G87" s="1048"/>
      <c r="H87" s="1048"/>
      <c r="I87" s="1048"/>
      <c r="J87" s="1048"/>
      <c r="K87" s="1049"/>
      <c r="L87" s="1048"/>
      <c r="M87" s="1049"/>
      <c r="N87" s="1049"/>
      <c r="O87" s="1049"/>
      <c r="P87" s="1049"/>
      <c r="Q87" s="1049"/>
      <c r="R87" s="1049"/>
      <c r="S87" s="1049"/>
      <c r="T87" s="1060"/>
      <c r="U87" s="1062"/>
      <c r="V87" s="1049"/>
      <c r="W87" s="1057"/>
      <c r="X87" s="1056"/>
      <c r="Y87" s="1048"/>
      <c r="Z87" s="1053"/>
    </row>
    <row r="88" spans="1:26" x14ac:dyDescent="0.25">
      <c r="A88" s="1047"/>
      <c r="B88" s="1048"/>
      <c r="C88" s="1063" t="s">
        <v>531</v>
      </c>
      <c r="D88" s="1048">
        <v>65</v>
      </c>
      <c r="E88" s="1048"/>
      <c r="F88" s="1048"/>
      <c r="G88" s="1048"/>
      <c r="H88" s="1048"/>
      <c r="I88" s="1048">
        <v>125</v>
      </c>
      <c r="J88" s="1048"/>
      <c r="K88" s="1064">
        <v>10.55</v>
      </c>
      <c r="L88" s="1048"/>
      <c r="M88" s="1049">
        <f>Tabla36[[#This Row],[ $  MERCADO]]*Tabla36[[#This Row],[KG NETOS TOT]]*920</f>
        <v>1213250</v>
      </c>
      <c r="N88" s="1049"/>
      <c r="O88" s="1049"/>
      <c r="P88" s="1049"/>
      <c r="Q88" s="1049"/>
      <c r="R88" s="1049">
        <f>Tabla36[[#This Row],[TOTAL $]]*0.21</f>
        <v>254782.5</v>
      </c>
      <c r="S88" s="1049">
        <f>SUM(Tabla36[[#This Row],[TOTAL $]:[IVA 21]])</f>
        <v>1468032.5</v>
      </c>
      <c r="T88" s="1062">
        <f>Tabla36[[#This Row],[TOTAL C/IVA EFEC]]</f>
        <v>1468032.5</v>
      </c>
      <c r="U88" s="1062"/>
      <c r="V88" s="1062">
        <v>920</v>
      </c>
      <c r="W88" s="1058">
        <f>Tabla36[[#This Row],[TOTAL U$S]]/Tabla36[[#This Row],[HAS destinadas]]</f>
        <v>24.549038461538462</v>
      </c>
      <c r="X88" s="1056">
        <f>Tabla36[[#This Row],[TOTAL C/IVA ]]/Tabla36[[#This Row],[TC $/U$s]]</f>
        <v>1595.6875</v>
      </c>
      <c r="Y88" s="1048" t="s">
        <v>532</v>
      </c>
      <c r="Z88" s="1053" t="s">
        <v>104</v>
      </c>
    </row>
    <row r="89" spans="1:26" x14ac:dyDescent="0.25">
      <c r="A89" s="974"/>
      <c r="B89" s="996"/>
      <c r="C89" s="1029" t="s">
        <v>846</v>
      </c>
      <c r="D89" s="996"/>
      <c r="E89" s="996"/>
      <c r="F89" s="996"/>
      <c r="G89" s="996"/>
      <c r="H89" s="996"/>
      <c r="I89" s="996"/>
      <c r="J89" s="996"/>
      <c r="K89" s="976"/>
      <c r="L89" s="996"/>
      <c r="M89" s="976"/>
      <c r="N89" s="976"/>
      <c r="O89" s="976"/>
      <c r="P89" s="976"/>
      <c r="Q89" s="976"/>
      <c r="R89" s="976"/>
      <c r="S89" s="976"/>
      <c r="T89" s="1023"/>
      <c r="U89" s="1024"/>
      <c r="V89" s="976">
        <v>920</v>
      </c>
      <c r="W89" s="1028">
        <v>14</v>
      </c>
      <c r="X89" s="1046"/>
      <c r="Y89" s="996"/>
      <c r="Z89" s="975"/>
    </row>
    <row r="90" spans="1:26" x14ac:dyDescent="0.25">
      <c r="A90" s="974"/>
      <c r="B90" s="996"/>
      <c r="C90" s="1031" t="s">
        <v>847</v>
      </c>
      <c r="D90" s="996"/>
      <c r="E90" s="996"/>
      <c r="F90" s="996"/>
      <c r="G90" s="996"/>
      <c r="H90" s="996"/>
      <c r="I90" s="996"/>
      <c r="J90" s="996"/>
      <c r="K90" s="976"/>
      <c r="L90" s="996"/>
      <c r="M90" s="976"/>
      <c r="N90" s="976"/>
      <c r="O90" s="976"/>
      <c r="P90" s="976"/>
      <c r="Q90" s="976"/>
      <c r="R90" s="976"/>
      <c r="S90" s="976"/>
      <c r="T90" s="1023"/>
      <c r="U90" s="1024"/>
      <c r="V90" s="976">
        <v>820</v>
      </c>
      <c r="W90" s="1028">
        <v>16</v>
      </c>
      <c r="X90" s="1046"/>
      <c r="Y90" s="996"/>
      <c r="Z90" s="975"/>
    </row>
    <row r="91" spans="1:26" x14ac:dyDescent="0.25">
      <c r="A91" s="974"/>
      <c r="B91" s="996"/>
      <c r="C91" s="1031" t="s">
        <v>848</v>
      </c>
      <c r="D91" s="996"/>
      <c r="E91" s="996"/>
      <c r="F91" s="996"/>
      <c r="G91" s="996"/>
      <c r="H91" s="996"/>
      <c r="I91" s="996"/>
      <c r="J91" s="996"/>
      <c r="K91" s="976"/>
      <c r="L91" s="996"/>
      <c r="M91" s="976"/>
      <c r="N91" s="976"/>
      <c r="O91" s="976"/>
      <c r="P91" s="976"/>
      <c r="Q91" s="976"/>
      <c r="R91" s="976"/>
      <c r="S91" s="976"/>
      <c r="T91" s="1023"/>
      <c r="U91" s="1024"/>
      <c r="V91" s="976">
        <v>820</v>
      </c>
      <c r="W91" s="1028">
        <v>15</v>
      </c>
      <c r="X91" s="1026"/>
      <c r="Y91" s="996"/>
      <c r="Z91" s="975"/>
    </row>
    <row r="92" spans="1:26" x14ac:dyDescent="0.25">
      <c r="A92" s="974"/>
      <c r="B92" s="996"/>
      <c r="C92" s="1031" t="s">
        <v>849</v>
      </c>
      <c r="D92" s="996"/>
      <c r="E92" s="996"/>
      <c r="F92" s="996"/>
      <c r="G92" s="996"/>
      <c r="H92" s="996"/>
      <c r="I92" s="996"/>
      <c r="J92" s="996"/>
      <c r="K92" s="976"/>
      <c r="L92" s="996"/>
      <c r="M92" s="976"/>
      <c r="N92" s="976"/>
      <c r="O92" s="976"/>
      <c r="P92" s="976"/>
      <c r="Q92" s="976"/>
      <c r="R92" s="976"/>
      <c r="S92" s="976"/>
      <c r="T92" s="1023"/>
      <c r="U92" s="1024"/>
      <c r="V92" s="976">
        <v>820</v>
      </c>
      <c r="W92" s="1028">
        <v>30</v>
      </c>
      <c r="X92" s="1046"/>
      <c r="Y92" s="996"/>
      <c r="Z92" s="975"/>
    </row>
    <row r="93" spans="1:26" x14ac:dyDescent="0.25">
      <c r="A93" s="974"/>
      <c r="B93" s="996"/>
      <c r="C93" s="1031" t="s">
        <v>850</v>
      </c>
      <c r="D93" s="996"/>
      <c r="E93" s="996"/>
      <c r="F93" s="996"/>
      <c r="G93" s="996"/>
      <c r="H93" s="996"/>
      <c r="I93" s="996"/>
      <c r="J93" s="996"/>
      <c r="K93" s="976"/>
      <c r="L93" s="996"/>
      <c r="M93" s="976"/>
      <c r="N93" s="976"/>
      <c r="O93" s="976"/>
      <c r="P93" s="976"/>
      <c r="Q93" s="976"/>
      <c r="R93" s="976"/>
      <c r="S93" s="976"/>
      <c r="T93" s="982"/>
      <c r="U93" s="976"/>
      <c r="V93" s="976">
        <v>820</v>
      </c>
      <c r="W93" s="996"/>
      <c r="X93" s="1046"/>
      <c r="Y93" s="996"/>
      <c r="Z93" s="975"/>
    </row>
    <row r="94" spans="1:26" x14ac:dyDescent="0.25">
      <c r="A94" s="1047"/>
      <c r="B94" s="1048"/>
      <c r="C94" s="1060" t="s">
        <v>539</v>
      </c>
      <c r="D94" s="1048"/>
      <c r="E94" s="1048"/>
      <c r="F94" s="1048"/>
      <c r="G94" s="1048"/>
      <c r="H94" s="1048"/>
      <c r="I94" s="1048"/>
      <c r="J94" s="1048"/>
      <c r="K94" s="1049"/>
      <c r="L94" s="1048"/>
      <c r="M94" s="1049"/>
      <c r="N94" s="1049"/>
      <c r="O94" s="1049"/>
      <c r="P94" s="1049"/>
      <c r="Q94" s="1049"/>
      <c r="R94" s="1049"/>
      <c r="S94" s="1049"/>
      <c r="T94" s="1050"/>
      <c r="U94" s="1049"/>
      <c r="V94" s="1049"/>
      <c r="W94" s="1051"/>
      <c r="X94" s="1052"/>
      <c r="Y94" s="1048"/>
      <c r="Z94" s="1053"/>
    </row>
    <row r="95" spans="1:26" x14ac:dyDescent="0.25">
      <c r="A95" s="1047"/>
      <c r="B95" s="1048"/>
      <c r="C95" s="1054" t="s">
        <v>103</v>
      </c>
      <c r="D95" s="1048"/>
      <c r="E95" s="1048"/>
      <c r="F95" s="1048"/>
      <c r="G95" s="1048"/>
      <c r="H95" s="1048"/>
      <c r="I95" s="1048"/>
      <c r="J95" s="1048"/>
      <c r="K95" s="1049"/>
      <c r="L95" s="1048"/>
      <c r="M95" s="1049"/>
      <c r="N95" s="1049"/>
      <c r="O95" s="1049"/>
      <c r="P95" s="1049"/>
      <c r="Q95" s="1049"/>
      <c r="R95" s="1049"/>
      <c r="S95" s="1049"/>
      <c r="T95" s="1050"/>
      <c r="U95" s="1049"/>
      <c r="V95" s="1049"/>
      <c r="W95" s="1055">
        <f>SUM(W96:W97)</f>
        <v>91.941460942028982</v>
      </c>
      <c r="X95" s="1078">
        <f>SUM(X96:X97)</f>
        <v>10757.150930217391</v>
      </c>
      <c r="Y95" s="1048"/>
      <c r="Z95" s="1053"/>
    </row>
    <row r="96" spans="1:26" x14ac:dyDescent="0.25">
      <c r="A96" s="1047">
        <v>45154</v>
      </c>
      <c r="B96" s="1048"/>
      <c r="C96" s="1048" t="s">
        <v>536</v>
      </c>
      <c r="D96" s="1048">
        <v>117</v>
      </c>
      <c r="E96" s="1048"/>
      <c r="F96" s="1048"/>
      <c r="G96" s="1048"/>
      <c r="H96" s="1048"/>
      <c r="I96" s="1048">
        <v>3654.3</v>
      </c>
      <c r="J96" s="1048"/>
      <c r="K96" s="1049">
        <v>273</v>
      </c>
      <c r="L96" s="1048"/>
      <c r="M96" s="1049">
        <f>Tabla36[[#This Row],[ $  MERCADO]]*Tabla36[[#This Row],[KG NETOS TOT]]</f>
        <v>997623.9</v>
      </c>
      <c r="N96" s="1049"/>
      <c r="O96" s="1049"/>
      <c r="P96" s="1049"/>
      <c r="Q96" s="1049">
        <f>Tabla36[[#This Row],[TOTAL $]]*0.105</f>
        <v>104750.5095</v>
      </c>
      <c r="R96" s="1049"/>
      <c r="S96" s="1049">
        <f>SUM(Tabla36[[#This Row],[TOTAL $]:[IVA 21]])</f>
        <v>1102374.4095000001</v>
      </c>
      <c r="T96" s="1049"/>
      <c r="U96" s="1049"/>
      <c r="V96" s="1051">
        <v>300</v>
      </c>
      <c r="W96" s="1057">
        <f>Tabla36[[#This Row],[TOTAL U$S]]/Tabla36[[#This Row],[HAS destinadas]]</f>
        <v>31.406678333333332</v>
      </c>
      <c r="X96" s="1079">
        <f>Tabla36[[#This Row],[TOTAL C/IVA EFEC]]/Tabla36[[#This Row],[TC $/U$s]]</f>
        <v>3674.581365</v>
      </c>
      <c r="Y96" s="1048"/>
      <c r="Z96" s="1053" t="s">
        <v>537</v>
      </c>
    </row>
    <row r="97" spans="1:26" x14ac:dyDescent="0.25">
      <c r="A97" s="1047">
        <v>45282</v>
      </c>
      <c r="B97" s="1048"/>
      <c r="C97" s="1054" t="s">
        <v>56</v>
      </c>
      <c r="D97" s="1048">
        <v>117</v>
      </c>
      <c r="E97" s="1048"/>
      <c r="F97" s="1048"/>
      <c r="G97" s="1048"/>
      <c r="H97" s="1048"/>
      <c r="I97" s="1048">
        <v>1</v>
      </c>
      <c r="J97" s="1048"/>
      <c r="K97" s="1049">
        <v>50400</v>
      </c>
      <c r="L97" s="1048"/>
      <c r="M97" s="1049">
        <f>Tabla36[[#This Row],[ $  MERCADO]]*Tabla36[[#This Row],[HAS destinadas]]</f>
        <v>5896800</v>
      </c>
      <c r="N97" s="1049"/>
      <c r="O97" s="1049"/>
      <c r="P97" s="1049"/>
      <c r="Q97" s="1049">
        <f>Tabla36[[#This Row],[TOTAL $]]*0.105</f>
        <v>619164</v>
      </c>
      <c r="R97" s="1049"/>
      <c r="S97" s="1049">
        <f>SUM(Tabla36[[#This Row],[TOTAL $]:[IVA 21]])</f>
        <v>6515964</v>
      </c>
      <c r="T97" s="1049"/>
      <c r="U97" s="1049"/>
      <c r="V97" s="1051">
        <v>920</v>
      </c>
      <c r="W97" s="1057">
        <f>Tabla36[[#This Row],[TOTAL U$S]]/Tabla36[[#This Row],[HAS destinadas]]</f>
        <v>60.534782608695657</v>
      </c>
      <c r="X97" s="1079">
        <f>Tabla36[[#This Row],[TOTAL C/IVA EFEC]]/Tabla36[[#This Row],[TC $/U$s]]</f>
        <v>7082.5695652173918</v>
      </c>
      <c r="Y97" s="1048"/>
      <c r="Z97" s="1053" t="s">
        <v>851</v>
      </c>
    </row>
    <row r="98" spans="1:26" x14ac:dyDescent="0.25">
      <c r="A98" s="974"/>
      <c r="B98" s="996"/>
      <c r="C98" s="1030"/>
      <c r="D98" s="996"/>
      <c r="E98" s="996"/>
      <c r="F98" s="996"/>
      <c r="G98" s="996"/>
      <c r="H98" s="996"/>
      <c r="I98" s="996"/>
      <c r="J98" s="996"/>
      <c r="K98" s="976"/>
      <c r="L98" s="996"/>
      <c r="M98" s="976"/>
      <c r="N98" s="976"/>
      <c r="O98" s="976"/>
      <c r="P98" s="976"/>
      <c r="Q98" s="976"/>
      <c r="R98" s="976"/>
      <c r="S98" s="976"/>
      <c r="T98" s="982"/>
      <c r="U98" s="976"/>
      <c r="V98" s="976"/>
      <c r="W98" s="977"/>
      <c r="X98" s="1026"/>
      <c r="Y98" s="996"/>
      <c r="Z98" s="975"/>
    </row>
    <row r="99" spans="1:26" x14ac:dyDescent="0.25">
      <c r="A99" s="1047"/>
      <c r="B99" s="1048"/>
      <c r="C99" s="1080" t="s">
        <v>852</v>
      </c>
      <c r="D99" s="1048"/>
      <c r="E99" s="1048"/>
      <c r="F99" s="1048"/>
      <c r="G99" s="1048"/>
      <c r="H99" s="1048"/>
      <c r="I99" s="1048">
        <v>245808.22</v>
      </c>
      <c r="J99" s="1048"/>
      <c r="K99" s="1049">
        <v>92</v>
      </c>
      <c r="L99" s="1048"/>
      <c r="M99" s="1049">
        <f>Tabla36[[#This Row],[KG NETOS TOT]]*Tabla36[[#This Row],[ $  MERCADO]]</f>
        <v>22614356.239999998</v>
      </c>
      <c r="N99" s="1049"/>
      <c r="O99" s="1049"/>
      <c r="P99" s="1049"/>
      <c r="Q99" s="1049">
        <f>Tabla36[[#This Row],[TOTAL $]]*0.105</f>
        <v>2374507.4051999999</v>
      </c>
      <c r="R99" s="1049"/>
      <c r="S99" s="1049">
        <f>SUM(Tabla36[[#This Row],[TOTAL $]:[IVA 21]])</f>
        <v>24988863.645199999</v>
      </c>
      <c r="T99" s="1050">
        <f>Tabla36[[#This Row],[TOTAL C/IVA EFEC]]</f>
        <v>24988863.645199999</v>
      </c>
      <c r="U99" s="1049"/>
      <c r="V99" s="1049">
        <v>820</v>
      </c>
      <c r="W99" s="1057"/>
      <c r="X99" s="1052">
        <f>Tabla36[[#This Row],[TOTAL C/IVA ]]/Tabla36[[#This Row],[TC $/U$s]]</f>
        <v>30474.223957560975</v>
      </c>
      <c r="Y99" s="1048"/>
      <c r="Z99" s="1053"/>
    </row>
    <row r="100" spans="1:26" x14ac:dyDescent="0.25">
      <c r="A100" s="1047"/>
      <c r="B100" s="1048"/>
      <c r="C100" s="1080" t="s">
        <v>853</v>
      </c>
      <c r="D100" s="1048"/>
      <c r="E100" s="1048">
        <v>1</v>
      </c>
      <c r="F100" s="1048"/>
      <c r="G100" s="1048"/>
      <c r="H100" s="1048"/>
      <c r="I100" s="1048">
        <v>280000</v>
      </c>
      <c r="J100" s="1048"/>
      <c r="K100" s="1049">
        <v>16382200</v>
      </c>
      <c r="L100" s="1048" t="s">
        <v>591</v>
      </c>
      <c r="M100" s="1049">
        <f>Tabla36[[#This Row],[cant]]*Tabla36[[#This Row],[ $  MERCADO]]</f>
        <v>16382200</v>
      </c>
      <c r="N100" s="1049"/>
      <c r="O100" s="1049"/>
      <c r="P100" s="1049"/>
      <c r="Q100" s="1049">
        <f>Tabla36[[#This Row],[TOTAL $]]*0.105</f>
        <v>1720131</v>
      </c>
      <c r="R100" s="1049"/>
      <c r="S100" s="1049">
        <f>SUM(Tabla36[[#This Row],[TOTAL $]:[IVA 21]])</f>
        <v>18102331</v>
      </c>
      <c r="T100" s="1049">
        <f>Tabla36[[#This Row],[TOTAL C/IVA EFEC]]</f>
        <v>18102331</v>
      </c>
      <c r="U100" s="1049"/>
      <c r="V100" s="1049">
        <v>820</v>
      </c>
      <c r="W100" s="1048"/>
      <c r="X100" s="1052">
        <f>Tabla36[[#This Row],[TOTAL C/IVA ]]/Tabla36[[#This Row],[TC $/U$s]]</f>
        <v>22076.013414634148</v>
      </c>
      <c r="Y100" s="1048" t="s">
        <v>854</v>
      </c>
      <c r="Z100" s="1053" t="s">
        <v>855</v>
      </c>
    </row>
    <row r="101" spans="1:26" x14ac:dyDescent="0.25">
      <c r="A101" s="957"/>
      <c r="B101" s="355" t="s">
        <v>773</v>
      </c>
      <c r="C101" s="1032"/>
      <c r="D101" s="1007"/>
      <c r="E101" s="1007"/>
      <c r="F101" s="1007"/>
      <c r="G101" s="1007"/>
      <c r="H101" s="1007"/>
      <c r="I101" s="1007"/>
      <c r="J101" s="1007"/>
      <c r="K101" s="958"/>
      <c r="L101" s="1007"/>
      <c r="M101" s="958"/>
      <c r="N101" s="958"/>
      <c r="O101" s="958"/>
      <c r="P101" s="958"/>
      <c r="Q101" s="958"/>
      <c r="R101" s="958"/>
      <c r="S101" s="958"/>
      <c r="T101" s="958"/>
      <c r="U101" s="958"/>
      <c r="V101" s="958">
        <v>820</v>
      </c>
      <c r="W101" s="1007"/>
      <c r="X101" s="1085"/>
      <c r="Y101" s="1007"/>
      <c r="Z101" s="956"/>
    </row>
    <row r="102" spans="1:26" x14ac:dyDescent="0.25">
      <c r="A102" s="822">
        <v>45386</v>
      </c>
      <c r="B102" s="302"/>
      <c r="C102" s="1033" t="s">
        <v>856</v>
      </c>
      <c r="D102" s="302"/>
      <c r="E102" s="302"/>
      <c r="F102" s="302"/>
      <c r="G102" s="302"/>
      <c r="H102" s="302"/>
      <c r="I102" s="302"/>
      <c r="J102" s="302"/>
      <c r="K102" s="302"/>
      <c r="L102" s="302"/>
      <c r="M102" s="823">
        <v>838474</v>
      </c>
      <c r="N102" s="823"/>
      <c r="O102" s="823"/>
      <c r="P102" s="823"/>
      <c r="Q102" s="823"/>
      <c r="R102" s="823">
        <v>176058.54</v>
      </c>
      <c r="S102" s="823"/>
      <c r="T102" s="823">
        <f>+Tabla36[[#This Row],[TOTAL $]]+Tabla36[[#This Row],[IVA 21]]</f>
        <v>1014532.54</v>
      </c>
      <c r="U102" s="823"/>
      <c r="V102" s="823">
        <v>820</v>
      </c>
      <c r="W102" s="302"/>
      <c r="X102" s="1034">
        <f>Tabla36[[#This Row],[TOTAL C/IVA ]]/Tabla36[[#This Row],[TC $/U$s]]</f>
        <v>1237.2348048780489</v>
      </c>
      <c r="Y102" s="302" t="s">
        <v>857</v>
      </c>
      <c r="Z102" s="949" t="s">
        <v>137</v>
      </c>
    </row>
    <row r="103" spans="1:26" x14ac:dyDescent="0.25">
      <c r="A103" s="822"/>
      <c r="B103" s="302"/>
      <c r="C103" s="989"/>
      <c r="D103" s="989"/>
      <c r="E103" s="302"/>
      <c r="F103" s="302"/>
      <c r="G103" s="302"/>
      <c r="H103" s="302"/>
      <c r="I103" s="302"/>
      <c r="J103" s="302"/>
      <c r="K103" s="823"/>
      <c r="L103" s="302"/>
      <c r="M103" s="823"/>
      <c r="N103" s="823"/>
      <c r="O103" s="823"/>
      <c r="P103" s="302"/>
      <c r="Q103" s="302"/>
      <c r="R103" s="983"/>
      <c r="S103" s="302"/>
      <c r="T103" s="1019"/>
      <c r="U103" s="983"/>
      <c r="V103" s="823"/>
      <c r="W103" s="823"/>
      <c r="X103" s="1004"/>
      <c r="Y103" s="302"/>
      <c r="Z103" s="949"/>
    </row>
    <row r="104" spans="1:26" x14ac:dyDescent="0.25">
      <c r="A104" s="390" t="s">
        <v>778</v>
      </c>
      <c r="B104" s="391"/>
      <c r="C104" s="392"/>
      <c r="D104" s="392"/>
      <c r="E104" s="393"/>
      <c r="F104" s="391"/>
      <c r="G104" s="391"/>
      <c r="H104" s="391"/>
      <c r="I104" s="391"/>
      <c r="J104" s="391"/>
      <c r="K104" s="1041"/>
      <c r="L104" s="391"/>
      <c r="M104" s="1042">
        <f>M13-M107</f>
        <v>191249536.75600001</v>
      </c>
      <c r="N104" s="1042"/>
      <c r="O104" s="1042"/>
      <c r="P104" s="1043">
        <f t="shared" ref="P104:V104" si="7">P13-P107</f>
        <v>20391026</v>
      </c>
      <c r="Q104" s="1043">
        <f t="shared" si="7"/>
        <v>22108938.098366197</v>
      </c>
      <c r="R104" s="1043">
        <f t="shared" si="7"/>
        <v>-2841505.5375000006</v>
      </c>
      <c r="S104" s="1043">
        <f t="shared" si="7"/>
        <v>281410639.83786619</v>
      </c>
      <c r="T104" s="1042">
        <f t="shared" si="7"/>
        <v>114594484.41788141</v>
      </c>
      <c r="U104" s="1043">
        <f t="shared" si="7"/>
        <v>0</v>
      </c>
      <c r="V104" s="1043">
        <f t="shared" si="7"/>
        <v>685</v>
      </c>
      <c r="W104" s="1043"/>
      <c r="X104" s="1044">
        <f>X13-X15-X24-X108</f>
        <v>106155.70232490022</v>
      </c>
      <c r="Y104" s="391"/>
      <c r="Z104" s="1045"/>
    </row>
    <row r="105" spans="1:26" x14ac:dyDescent="0.25">
      <c r="A105" s="1081"/>
      <c r="B105" s="302"/>
      <c r="C105" s="374"/>
      <c r="D105" s="374"/>
      <c r="E105" s="1018"/>
      <c r="F105" s="302"/>
      <c r="G105" s="302"/>
      <c r="H105" s="302"/>
      <c r="I105" s="302"/>
      <c r="J105" s="302"/>
      <c r="K105" s="823"/>
      <c r="L105" s="302"/>
      <c r="M105" s="1082"/>
      <c r="N105" s="1082"/>
      <c r="O105" s="1082"/>
      <c r="P105" s="1083"/>
      <c r="Q105" s="1083"/>
      <c r="R105" s="1083"/>
      <c r="S105" s="1083"/>
      <c r="T105" s="1082"/>
      <c r="U105" s="1083"/>
      <c r="V105" s="1083"/>
      <c r="W105" s="1083"/>
      <c r="X105" s="1084"/>
      <c r="Y105" s="302"/>
      <c r="Z105" s="952"/>
    </row>
    <row r="106" spans="1:26" x14ac:dyDescent="0.25">
      <c r="A106" s="1081"/>
      <c r="B106" s="302"/>
      <c r="C106" s="374"/>
      <c r="D106" s="374"/>
      <c r="E106" s="1018"/>
      <c r="F106" s="302"/>
      <c r="G106" s="302"/>
      <c r="H106" s="302"/>
      <c r="I106" s="302"/>
      <c r="J106" s="302"/>
      <c r="K106" s="823"/>
      <c r="L106" s="302"/>
      <c r="M106" s="1082"/>
      <c r="N106" s="1082"/>
      <c r="O106" s="1082"/>
      <c r="P106" s="1083"/>
      <c r="Q106" s="1083"/>
      <c r="R106" s="1083"/>
      <c r="S106" s="1083"/>
      <c r="T106" s="1082"/>
      <c r="U106" s="1083"/>
      <c r="V106" s="1083"/>
      <c r="W106" s="1083"/>
      <c r="X106" s="1084"/>
      <c r="Y106" s="302"/>
      <c r="Z106" s="952"/>
    </row>
    <row r="107" spans="1:26" x14ac:dyDescent="0.25">
      <c r="A107" s="1090" t="s">
        <v>777</v>
      </c>
      <c r="B107" s="1091"/>
      <c r="C107" s="1092"/>
      <c r="D107" s="1092"/>
      <c r="E107" s="1093"/>
      <c r="F107" s="1092"/>
      <c r="G107" s="1092"/>
      <c r="H107" s="1092"/>
      <c r="I107" s="1092"/>
      <c r="J107" s="1092"/>
      <c r="K107" s="1092"/>
      <c r="L107" s="1092"/>
      <c r="M107" s="1094">
        <f>SUM(M24,M15,M108,M129)</f>
        <v>23568484.143999998</v>
      </c>
      <c r="N107" s="1092"/>
      <c r="O107" s="1092"/>
      <c r="P107" s="1092"/>
      <c r="Q107" s="1092"/>
      <c r="R107" s="1094">
        <f>SUM(R24,R15,R108,R129)</f>
        <v>2841505.5375000006</v>
      </c>
      <c r="S107" s="1092"/>
      <c r="T107" s="1095">
        <f>SUM(T24,T15,T108,T129)</f>
        <v>104223870.71359999</v>
      </c>
      <c r="U107" s="1095"/>
      <c r="V107" s="1095"/>
      <c r="W107" s="1095"/>
      <c r="X107" s="1096">
        <f>X108+X129</f>
        <v>4234.3310470731703</v>
      </c>
      <c r="Y107" s="1097"/>
      <c r="Z107" s="1098"/>
    </row>
    <row r="108" spans="1:26" x14ac:dyDescent="0.25">
      <c r="A108" s="1086" t="s">
        <v>776</v>
      </c>
      <c r="B108" s="1011"/>
      <c r="C108" s="1005"/>
      <c r="D108" s="1005"/>
      <c r="E108" s="1005"/>
      <c r="F108" s="1005"/>
      <c r="G108" s="1005"/>
      <c r="H108" s="1005"/>
      <c r="I108" s="1005"/>
      <c r="J108" s="1005"/>
      <c r="K108" s="1087"/>
      <c r="L108" s="1005"/>
      <c r="M108" s="1088"/>
      <c r="N108" s="1088"/>
      <c r="O108" s="1088"/>
      <c r="P108" s="1087"/>
      <c r="Q108" s="1087"/>
      <c r="R108" s="1087"/>
      <c r="S108" s="1087"/>
      <c r="T108" s="1089">
        <f>SUM(T109:T128)</f>
        <v>3472151.4586</v>
      </c>
      <c r="U108" s="1089">
        <f>SUM(U109:U128)</f>
        <v>0</v>
      </c>
      <c r="V108" s="1089">
        <f>AVERAGE(V109:V127)</f>
        <v>820</v>
      </c>
      <c r="W108" s="1089">
        <f>SUM(W109:W128)</f>
        <v>0</v>
      </c>
      <c r="X108" s="1089">
        <f>SUM(X109:X128)</f>
        <v>4234.3310470731703</v>
      </c>
      <c r="Y108" s="1005"/>
      <c r="Z108" s="1038"/>
    </row>
    <row r="109" spans="1:26" x14ac:dyDescent="0.25">
      <c r="A109" s="822"/>
      <c r="B109" s="302"/>
      <c r="C109" s="997" t="s">
        <v>858</v>
      </c>
      <c r="D109" s="302"/>
      <c r="E109" s="1018">
        <v>8</v>
      </c>
      <c r="F109" s="302"/>
      <c r="G109" s="302"/>
      <c r="H109" s="302"/>
      <c r="I109" s="302"/>
      <c r="J109" s="302"/>
      <c r="K109" s="823">
        <v>4049.59</v>
      </c>
      <c r="L109" s="302" t="s">
        <v>819</v>
      </c>
      <c r="M109" s="823">
        <f>Tabla36[[#This Row],[cant]]*Tabla36[[#This Row],[ $  MERCADO]]</f>
        <v>32396.720000000001</v>
      </c>
      <c r="N109" s="950"/>
      <c r="O109" s="950"/>
      <c r="P109" s="823"/>
      <c r="Q109" s="823"/>
      <c r="R109" s="823">
        <f>Tabla36[[#This Row],[TOTAL $]]*0.21</f>
        <v>6803.3112000000001</v>
      </c>
      <c r="S109" s="823"/>
      <c r="T109" s="950">
        <f>SUM(M109:S109)</f>
        <v>39200.031199999998</v>
      </c>
      <c r="U109" s="823"/>
      <c r="V109" s="823">
        <v>820</v>
      </c>
      <c r="W109" s="302"/>
      <c r="X109" s="954">
        <f>Tabla36[[#This Row],[TOTAL C/IVA ]]/Tabla36[[#This Row],[TC $/U$s]]</f>
        <v>47.804916097560969</v>
      </c>
      <c r="Y109" s="302"/>
      <c r="Z109" s="949"/>
    </row>
    <row r="110" spans="1:26" x14ac:dyDescent="0.25">
      <c r="A110" s="822"/>
      <c r="B110" s="302"/>
      <c r="C110" s="997" t="s">
        <v>859</v>
      </c>
      <c r="D110" s="302"/>
      <c r="E110" s="1018">
        <v>6</v>
      </c>
      <c r="F110" s="302"/>
      <c r="G110" s="302"/>
      <c r="H110" s="302"/>
      <c r="I110" s="302"/>
      <c r="J110" s="302"/>
      <c r="K110" s="823">
        <v>1558.2</v>
      </c>
      <c r="L110" s="302" t="s">
        <v>819</v>
      </c>
      <c r="M110" s="823">
        <f>Tabla36[[#This Row],[cant]]*Tabla36[[#This Row],[ $  MERCADO]]</f>
        <v>9349.2000000000007</v>
      </c>
      <c r="N110" s="950"/>
      <c r="O110" s="950"/>
      <c r="P110" s="823"/>
      <c r="Q110" s="823"/>
      <c r="R110" s="823">
        <f>Tabla36[[#This Row],[TOTAL $]]*0.21</f>
        <v>1963.3320000000001</v>
      </c>
      <c r="S110" s="823"/>
      <c r="T110" s="950">
        <f t="shared" ref="T110:T127" si="8">SUM(M110:S110)</f>
        <v>11312.532000000001</v>
      </c>
      <c r="U110" s="823"/>
      <c r="V110" s="823">
        <v>820</v>
      </c>
      <c r="W110" s="302"/>
      <c r="X110" s="954">
        <f>Tabla36[[#This Row],[TOTAL C/IVA ]]/Tabla36[[#This Row],[TC $/U$s]]</f>
        <v>13.795770731707318</v>
      </c>
      <c r="Y110" s="302"/>
      <c r="Z110" s="949"/>
    </row>
    <row r="111" spans="1:26" x14ac:dyDescent="0.25">
      <c r="A111" s="822"/>
      <c r="B111" s="302"/>
      <c r="C111" s="997" t="s">
        <v>860</v>
      </c>
      <c r="D111" s="302"/>
      <c r="E111" s="1018">
        <v>1</v>
      </c>
      <c r="F111" s="302"/>
      <c r="G111" s="302"/>
      <c r="H111" s="302"/>
      <c r="I111" s="302"/>
      <c r="J111" s="302"/>
      <c r="K111" s="823">
        <v>27835.5</v>
      </c>
      <c r="L111" s="302" t="s">
        <v>819</v>
      </c>
      <c r="M111" s="823">
        <f>Tabla36[[#This Row],[cant]]*Tabla36[[#This Row],[ $  MERCADO]]</f>
        <v>27835.5</v>
      </c>
      <c r="N111" s="950"/>
      <c r="O111" s="950"/>
      <c r="P111" s="823"/>
      <c r="Q111" s="823"/>
      <c r="R111" s="823">
        <f>Tabla36[[#This Row],[TOTAL $]]*0.21</f>
        <v>5845.4549999999999</v>
      </c>
      <c r="S111" s="823"/>
      <c r="T111" s="950">
        <f t="shared" si="8"/>
        <v>33680.955000000002</v>
      </c>
      <c r="U111" s="823"/>
      <c r="V111" s="823">
        <v>820</v>
      </c>
      <c r="W111" s="302"/>
      <c r="X111" s="954">
        <f>Tabla36[[#This Row],[TOTAL C/IVA ]]/Tabla36[[#This Row],[TC $/U$s]]</f>
        <v>41.074335365853663</v>
      </c>
      <c r="Y111" s="302"/>
      <c r="Z111" s="949"/>
    </row>
    <row r="112" spans="1:26" x14ac:dyDescent="0.25">
      <c r="A112" s="822"/>
      <c r="B112" s="302"/>
      <c r="C112" s="997" t="s">
        <v>861</v>
      </c>
      <c r="D112" s="302"/>
      <c r="E112" s="1018">
        <v>5</v>
      </c>
      <c r="F112" s="302"/>
      <c r="G112" s="302"/>
      <c r="H112" s="302"/>
      <c r="I112" s="302"/>
      <c r="J112" s="302"/>
      <c r="K112" s="823">
        <v>4284</v>
      </c>
      <c r="L112" s="302" t="s">
        <v>819</v>
      </c>
      <c r="M112" s="823">
        <f>Tabla36[[#This Row],[cant]]*Tabla36[[#This Row],[ $  MERCADO]]</f>
        <v>21420</v>
      </c>
      <c r="N112" s="950"/>
      <c r="O112" s="950"/>
      <c r="P112" s="823"/>
      <c r="Q112" s="823"/>
      <c r="R112" s="823">
        <f>Tabla36[[#This Row],[TOTAL $]]*0.21</f>
        <v>4498.2</v>
      </c>
      <c r="S112" s="823"/>
      <c r="T112" s="950">
        <f t="shared" si="8"/>
        <v>25918.2</v>
      </c>
      <c r="U112" s="823"/>
      <c r="V112" s="823">
        <v>820</v>
      </c>
      <c r="W112" s="302"/>
      <c r="X112" s="954">
        <f>Tabla36[[#This Row],[TOTAL C/IVA ]]/Tabla36[[#This Row],[TC $/U$s]]</f>
        <v>31.607560975609758</v>
      </c>
      <c r="Y112" s="302"/>
      <c r="Z112" s="949"/>
    </row>
    <row r="113" spans="1:26" x14ac:dyDescent="0.25">
      <c r="A113" s="822"/>
      <c r="B113" s="302"/>
      <c r="C113" s="997" t="s">
        <v>862</v>
      </c>
      <c r="D113" s="302"/>
      <c r="E113" s="1018">
        <v>30</v>
      </c>
      <c r="F113" s="302"/>
      <c r="G113" s="302"/>
      <c r="H113" s="302"/>
      <c r="I113" s="302"/>
      <c r="J113" s="302"/>
      <c r="K113" s="823">
        <v>870</v>
      </c>
      <c r="L113" s="302" t="s">
        <v>819</v>
      </c>
      <c r="M113" s="823">
        <f>Tabla36[[#This Row],[cant]]*Tabla36[[#This Row],[ $  MERCADO]]</f>
        <v>26100</v>
      </c>
      <c r="N113" s="950"/>
      <c r="O113" s="950"/>
      <c r="P113" s="823"/>
      <c r="Q113" s="823"/>
      <c r="R113" s="823">
        <f>Tabla36[[#This Row],[TOTAL $]]*0.21</f>
        <v>5481</v>
      </c>
      <c r="S113" s="823"/>
      <c r="T113" s="950">
        <f t="shared" si="8"/>
        <v>31581</v>
      </c>
      <c r="U113" s="823"/>
      <c r="V113" s="823">
        <v>820</v>
      </c>
      <c r="W113" s="302"/>
      <c r="X113" s="954">
        <f>Tabla36[[#This Row],[TOTAL C/IVA ]]/Tabla36[[#This Row],[TC $/U$s]]</f>
        <v>38.513414634146343</v>
      </c>
      <c r="Y113" s="302"/>
      <c r="Z113" s="949"/>
    </row>
    <row r="114" spans="1:26" x14ac:dyDescent="0.25">
      <c r="A114" s="822"/>
      <c r="B114" s="302"/>
      <c r="C114" s="997" t="s">
        <v>863</v>
      </c>
      <c r="D114" s="302"/>
      <c r="E114" s="1018">
        <v>2</v>
      </c>
      <c r="F114" s="302"/>
      <c r="G114" s="302"/>
      <c r="H114" s="302"/>
      <c r="I114" s="302"/>
      <c r="J114" s="302"/>
      <c r="K114" s="823">
        <v>274271.92</v>
      </c>
      <c r="L114" s="302" t="s">
        <v>819</v>
      </c>
      <c r="M114" s="823">
        <f>Tabla36[[#This Row],[cant]]*Tabla36[[#This Row],[ $  MERCADO]]</f>
        <v>548543.84</v>
      </c>
      <c r="N114" s="950"/>
      <c r="O114" s="950"/>
      <c r="P114" s="823"/>
      <c r="Q114" s="823"/>
      <c r="R114" s="823">
        <f>Tabla36[[#This Row],[TOTAL $]]*0.21</f>
        <v>115194.2064</v>
      </c>
      <c r="S114" s="823"/>
      <c r="T114" s="950">
        <f t="shared" si="8"/>
        <v>663738.04639999999</v>
      </c>
      <c r="U114" s="950"/>
      <c r="V114" s="823">
        <v>820</v>
      </c>
      <c r="W114" s="302"/>
      <c r="X114" s="954">
        <f>Tabla36[[#This Row],[TOTAL C/IVA ]]/Tabla36[[#This Row],[TC $/U$s]]</f>
        <v>809.43664195121949</v>
      </c>
      <c r="Y114" s="302"/>
      <c r="Z114" s="949"/>
    </row>
    <row r="115" spans="1:26" x14ac:dyDescent="0.25">
      <c r="A115" s="822"/>
      <c r="B115" s="302"/>
      <c r="C115" s="997" t="s">
        <v>864</v>
      </c>
      <c r="D115" s="302"/>
      <c r="E115" s="1018">
        <v>2</v>
      </c>
      <c r="F115" s="302"/>
      <c r="G115" s="302"/>
      <c r="H115" s="302"/>
      <c r="I115" s="302"/>
      <c r="J115" s="302"/>
      <c r="K115" s="823">
        <v>241702.24</v>
      </c>
      <c r="L115" s="302" t="s">
        <v>819</v>
      </c>
      <c r="M115" s="823">
        <f>Tabla36[[#This Row],[cant]]*Tabla36[[#This Row],[ $  MERCADO]]</f>
        <v>483404.48</v>
      </c>
      <c r="N115" s="950"/>
      <c r="O115" s="950"/>
      <c r="P115" s="823"/>
      <c r="Q115" s="823"/>
      <c r="R115" s="823">
        <f>Tabla36[[#This Row],[TOTAL $]]*0.21</f>
        <v>101514.9408</v>
      </c>
      <c r="S115" s="823"/>
      <c r="T115" s="950">
        <f t="shared" si="8"/>
        <v>584919.42079999996</v>
      </c>
      <c r="U115" s="950"/>
      <c r="V115" s="823">
        <v>820</v>
      </c>
      <c r="W115" s="302"/>
      <c r="X115" s="954">
        <f>Tabla36[[#This Row],[TOTAL C/IVA ]]/Tabla36[[#This Row],[TC $/U$s]]</f>
        <v>713.3163668292683</v>
      </c>
      <c r="Y115" s="302"/>
      <c r="Z115" s="949"/>
    </row>
    <row r="116" spans="1:26" x14ac:dyDescent="0.25">
      <c r="A116" s="822"/>
      <c r="B116" s="302"/>
      <c r="C116" s="997" t="s">
        <v>865</v>
      </c>
      <c r="D116" s="302"/>
      <c r="E116" s="1018">
        <v>1</v>
      </c>
      <c r="F116" s="302"/>
      <c r="G116" s="302"/>
      <c r="H116" s="302"/>
      <c r="I116" s="302"/>
      <c r="J116" s="302"/>
      <c r="K116" s="823">
        <v>299412.12</v>
      </c>
      <c r="L116" s="302" t="s">
        <v>819</v>
      </c>
      <c r="M116" s="823">
        <f>Tabla36[[#This Row],[cant]]*Tabla36[[#This Row],[ $  MERCADO]]</f>
        <v>299412.12</v>
      </c>
      <c r="N116" s="950"/>
      <c r="O116" s="950"/>
      <c r="P116" s="823"/>
      <c r="Q116" s="823"/>
      <c r="R116" s="823">
        <f>Tabla36[[#This Row],[TOTAL $]]*0.21</f>
        <v>62876.545199999993</v>
      </c>
      <c r="S116" s="823"/>
      <c r="T116" s="950">
        <f t="shared" si="8"/>
        <v>362288.66519999999</v>
      </c>
      <c r="U116" s="950"/>
      <c r="V116" s="823">
        <v>820</v>
      </c>
      <c r="W116" s="302"/>
      <c r="X116" s="954">
        <f>Tabla36[[#This Row],[TOTAL C/IVA ]]/Tabla36[[#This Row],[TC $/U$s]]</f>
        <v>441.81544536585363</v>
      </c>
      <c r="Y116" s="302"/>
      <c r="Z116" s="949"/>
    </row>
    <row r="117" spans="1:26" x14ac:dyDescent="0.25">
      <c r="A117" s="822"/>
      <c r="B117" s="302"/>
      <c r="C117" s="997" t="s">
        <v>866</v>
      </c>
      <c r="D117" s="302"/>
      <c r="E117" s="1018">
        <v>25</v>
      </c>
      <c r="F117" s="302"/>
      <c r="G117" s="302"/>
      <c r="H117" s="302"/>
      <c r="I117" s="302"/>
      <c r="J117" s="302"/>
      <c r="K117" s="823">
        <v>24950</v>
      </c>
      <c r="L117" s="302" t="s">
        <v>819</v>
      </c>
      <c r="M117" s="823">
        <f>Tabla36[[#This Row],[cant]]*Tabla36[[#This Row],[ $  MERCADO]]</f>
        <v>623750</v>
      </c>
      <c r="N117" s="950"/>
      <c r="O117" s="950"/>
      <c r="P117" s="823"/>
      <c r="Q117" s="823"/>
      <c r="R117" s="823">
        <f>Tabla36[[#This Row],[TOTAL $]]*0.21</f>
        <v>130987.5</v>
      </c>
      <c r="S117" s="823"/>
      <c r="T117" s="950">
        <f t="shared" si="8"/>
        <v>754737.5</v>
      </c>
      <c r="U117" s="950"/>
      <c r="V117" s="823">
        <v>820</v>
      </c>
      <c r="W117" s="302"/>
      <c r="X117" s="954">
        <f>Tabla36[[#This Row],[TOTAL C/IVA ]]/Tabla36[[#This Row],[TC $/U$s]]</f>
        <v>920.41158536585363</v>
      </c>
      <c r="Y117" s="302"/>
      <c r="Z117" s="949"/>
    </row>
    <row r="118" spans="1:26" x14ac:dyDescent="0.25">
      <c r="A118" s="822"/>
      <c r="B118" s="302"/>
      <c r="C118" s="997" t="s">
        <v>862</v>
      </c>
      <c r="D118" s="302"/>
      <c r="E118" s="1018">
        <v>30</v>
      </c>
      <c r="F118" s="302"/>
      <c r="G118" s="302"/>
      <c r="H118" s="302"/>
      <c r="I118" s="302"/>
      <c r="J118" s="302"/>
      <c r="K118" s="823">
        <v>870</v>
      </c>
      <c r="L118" s="302" t="s">
        <v>819</v>
      </c>
      <c r="M118" s="823">
        <f>Tabla36[[#This Row],[cant]]*Tabla36[[#This Row],[ $  MERCADO]]</f>
        <v>26100</v>
      </c>
      <c r="N118" s="950"/>
      <c r="O118" s="950"/>
      <c r="P118" s="823"/>
      <c r="Q118" s="823"/>
      <c r="R118" s="823">
        <f>Tabla36[[#This Row],[TOTAL $]]*0.21</f>
        <v>5481</v>
      </c>
      <c r="S118" s="823"/>
      <c r="T118" s="950">
        <f t="shared" si="8"/>
        <v>31581</v>
      </c>
      <c r="U118" s="950"/>
      <c r="V118" s="823">
        <v>820</v>
      </c>
      <c r="W118" s="302"/>
      <c r="X118" s="954">
        <f>Tabla36[[#This Row],[TOTAL C/IVA ]]/Tabla36[[#This Row],[TC $/U$s]]</f>
        <v>38.513414634146343</v>
      </c>
      <c r="Y118" s="302"/>
      <c r="Z118" s="949"/>
    </row>
    <row r="119" spans="1:26" x14ac:dyDescent="0.25">
      <c r="A119" s="822"/>
      <c r="B119" s="302"/>
      <c r="C119" s="997" t="s">
        <v>867</v>
      </c>
      <c r="D119" s="302"/>
      <c r="E119" s="1018">
        <v>3</v>
      </c>
      <c r="F119" s="302"/>
      <c r="G119" s="302"/>
      <c r="H119" s="302"/>
      <c r="I119" s="302"/>
      <c r="J119" s="302"/>
      <c r="K119" s="823">
        <v>38800</v>
      </c>
      <c r="L119" s="302" t="s">
        <v>819</v>
      </c>
      <c r="M119" s="823">
        <f>Tabla36[[#This Row],[cant]]*Tabla36[[#This Row],[ $  MERCADO]]</f>
        <v>116400</v>
      </c>
      <c r="N119" s="950"/>
      <c r="O119" s="950"/>
      <c r="P119" s="823"/>
      <c r="Q119" s="823"/>
      <c r="R119" s="823">
        <f>Tabla36[[#This Row],[TOTAL $]]*0.21</f>
        <v>24444</v>
      </c>
      <c r="S119" s="823"/>
      <c r="T119" s="950">
        <f t="shared" si="8"/>
        <v>140844</v>
      </c>
      <c r="U119" s="950"/>
      <c r="V119" s="823">
        <v>820</v>
      </c>
      <c r="W119" s="302"/>
      <c r="X119" s="954">
        <f>Tabla36[[#This Row],[TOTAL C/IVA ]]/Tabla36[[#This Row],[TC $/U$s]]</f>
        <v>171.76097560975609</v>
      </c>
      <c r="Y119" s="302"/>
      <c r="Z119" s="949"/>
    </row>
    <row r="120" spans="1:26" x14ac:dyDescent="0.25">
      <c r="A120" s="822"/>
      <c r="B120" s="302"/>
      <c r="C120" s="997" t="s">
        <v>868</v>
      </c>
      <c r="D120" s="302"/>
      <c r="E120" s="1018">
        <v>60</v>
      </c>
      <c r="F120" s="302"/>
      <c r="G120" s="302"/>
      <c r="H120" s="302"/>
      <c r="I120" s="302"/>
      <c r="J120" s="302"/>
      <c r="K120" s="823">
        <v>1100</v>
      </c>
      <c r="L120" s="302" t="s">
        <v>819</v>
      </c>
      <c r="M120" s="823">
        <f>Tabla36[[#This Row],[cant]]*Tabla36[[#This Row],[ $  MERCADO]]</f>
        <v>66000</v>
      </c>
      <c r="N120" s="950"/>
      <c r="O120" s="950"/>
      <c r="P120" s="823"/>
      <c r="Q120" s="823"/>
      <c r="R120" s="823">
        <f>Tabla36[[#This Row],[TOTAL $]]*0.21</f>
        <v>13860</v>
      </c>
      <c r="S120" s="823"/>
      <c r="T120" s="950">
        <f t="shared" si="8"/>
        <v>79860</v>
      </c>
      <c r="U120" s="950"/>
      <c r="V120" s="823">
        <v>820</v>
      </c>
      <c r="W120" s="302"/>
      <c r="X120" s="954">
        <f>Tabla36[[#This Row],[TOTAL C/IVA ]]/Tabla36[[#This Row],[TC $/U$s]]</f>
        <v>97.390243902439025</v>
      </c>
      <c r="Y120" s="302"/>
      <c r="Z120" s="949"/>
    </row>
    <row r="121" spans="1:26" x14ac:dyDescent="0.25">
      <c r="A121" s="822"/>
      <c r="B121" s="302"/>
      <c r="C121" s="997" t="s">
        <v>869</v>
      </c>
      <c r="D121" s="302"/>
      <c r="E121" s="1018">
        <v>2</v>
      </c>
      <c r="F121" s="302"/>
      <c r="G121" s="302"/>
      <c r="H121" s="302"/>
      <c r="I121" s="302"/>
      <c r="J121" s="302"/>
      <c r="K121" s="823">
        <v>37340.1</v>
      </c>
      <c r="L121" s="302" t="s">
        <v>819</v>
      </c>
      <c r="M121" s="823">
        <f>Tabla36[[#This Row],[cant]]*Tabla36[[#This Row],[ $  MERCADO]]</f>
        <v>74680.2</v>
      </c>
      <c r="N121" s="950"/>
      <c r="O121" s="950"/>
      <c r="P121" s="823"/>
      <c r="Q121" s="823"/>
      <c r="R121" s="823">
        <f>Tabla36[[#This Row],[TOTAL $]]*0.21</f>
        <v>15682.841999999999</v>
      </c>
      <c r="S121" s="823"/>
      <c r="T121" s="950">
        <f t="shared" si="8"/>
        <v>90363.042000000001</v>
      </c>
      <c r="U121" s="950"/>
      <c r="V121" s="823">
        <v>820</v>
      </c>
      <c r="W121" s="302"/>
      <c r="X121" s="954">
        <f>Tabla36[[#This Row],[TOTAL C/IVA ]]/Tabla36[[#This Row],[TC $/U$s]]</f>
        <v>110.19883170731707</v>
      </c>
      <c r="Y121" s="302"/>
      <c r="Z121" s="949"/>
    </row>
    <row r="122" spans="1:26" x14ac:dyDescent="0.25">
      <c r="A122" s="822"/>
      <c r="B122" s="302"/>
      <c r="C122" s="997" t="s">
        <v>865</v>
      </c>
      <c r="D122" s="302"/>
      <c r="E122" s="1018">
        <v>1</v>
      </c>
      <c r="F122" s="302"/>
      <c r="G122" s="302"/>
      <c r="H122" s="302"/>
      <c r="I122" s="302"/>
      <c r="J122" s="302"/>
      <c r="K122" s="823">
        <v>312406.61</v>
      </c>
      <c r="L122" s="302" t="s">
        <v>819</v>
      </c>
      <c r="M122" s="823">
        <f>Tabla36[[#This Row],[cant]]*Tabla36[[#This Row],[ $  MERCADO]]</f>
        <v>312406.61</v>
      </c>
      <c r="N122" s="950"/>
      <c r="O122" s="950"/>
      <c r="P122" s="823"/>
      <c r="Q122" s="823"/>
      <c r="R122" s="823">
        <f>Tabla36[[#This Row],[TOTAL $]]*0.21</f>
        <v>65605.388099999996</v>
      </c>
      <c r="S122" s="823"/>
      <c r="T122" s="950">
        <f t="shared" si="8"/>
        <v>378011.99809999997</v>
      </c>
      <c r="U122" s="950"/>
      <c r="V122" s="823">
        <v>820</v>
      </c>
      <c r="W122" s="302"/>
      <c r="X122" s="954">
        <f>Tabla36[[#This Row],[TOTAL C/IVA ]]/Tabla36[[#This Row],[TC $/U$s]]</f>
        <v>460.99024158536582</v>
      </c>
      <c r="Y122" s="302"/>
      <c r="Z122" s="949"/>
    </row>
    <row r="123" spans="1:26" x14ac:dyDescent="0.25">
      <c r="A123" s="822"/>
      <c r="B123" s="302"/>
      <c r="C123" s="997" t="s">
        <v>870</v>
      </c>
      <c r="D123" s="302"/>
      <c r="E123" s="1018">
        <v>2</v>
      </c>
      <c r="F123" s="302"/>
      <c r="G123" s="302"/>
      <c r="H123" s="302"/>
      <c r="I123" s="302"/>
      <c r="J123" s="302"/>
      <c r="K123" s="823">
        <v>6150.02</v>
      </c>
      <c r="L123" s="302" t="s">
        <v>819</v>
      </c>
      <c r="M123" s="823">
        <f>Tabla36[[#This Row],[cant]]*Tabla36[[#This Row],[ $  MERCADO]]</f>
        <v>12300.04</v>
      </c>
      <c r="N123" s="950"/>
      <c r="O123" s="950"/>
      <c r="P123" s="823"/>
      <c r="Q123" s="823"/>
      <c r="R123" s="823">
        <f>Tabla36[[#This Row],[TOTAL $]]*0.21</f>
        <v>2583.0084000000002</v>
      </c>
      <c r="S123" s="823"/>
      <c r="T123" s="950">
        <f t="shared" si="8"/>
        <v>14883.048400000001</v>
      </c>
      <c r="U123" s="823"/>
      <c r="V123" s="823">
        <v>820</v>
      </c>
      <c r="W123" s="302"/>
      <c r="X123" s="954">
        <f>Tabla36[[#This Row],[TOTAL C/IVA ]]/Tabla36[[#This Row],[TC $/U$s]]</f>
        <v>18.150059024390245</v>
      </c>
      <c r="Y123" s="302"/>
      <c r="Z123" s="949"/>
    </row>
    <row r="124" spans="1:26" x14ac:dyDescent="0.25">
      <c r="A124" s="822"/>
      <c r="B124" s="302"/>
      <c r="C124" s="997" t="s">
        <v>871</v>
      </c>
      <c r="D124" s="302"/>
      <c r="E124" s="1018">
        <v>1</v>
      </c>
      <c r="F124" s="302"/>
      <c r="G124" s="302"/>
      <c r="H124" s="302"/>
      <c r="I124" s="302"/>
      <c r="J124" s="302"/>
      <c r="K124" s="823">
        <v>61331.41</v>
      </c>
      <c r="L124" s="302" t="s">
        <v>819</v>
      </c>
      <c r="M124" s="823">
        <f>Tabla36[[#This Row],[cant]]*Tabla36[[#This Row],[ $  MERCADO]]</f>
        <v>61331.41</v>
      </c>
      <c r="N124" s="950"/>
      <c r="O124" s="950"/>
      <c r="P124" s="823"/>
      <c r="Q124" s="823"/>
      <c r="R124" s="823">
        <f>Tabla36[[#This Row],[TOTAL $]]*0.21</f>
        <v>12879.596100000001</v>
      </c>
      <c r="S124" s="823"/>
      <c r="T124" s="950">
        <f>SUM(M124:S124)</f>
        <v>74211.006099999999</v>
      </c>
      <c r="U124" s="823"/>
      <c r="V124" s="823">
        <v>820</v>
      </c>
      <c r="W124" s="302"/>
      <c r="X124" s="954">
        <f>Tabla36[[#This Row],[TOTAL C/IVA ]]/Tabla36[[#This Row],[TC $/U$s]]</f>
        <v>90.501226951219508</v>
      </c>
      <c r="Y124" s="302"/>
      <c r="Z124" s="949"/>
    </row>
    <row r="125" spans="1:26" x14ac:dyDescent="0.25">
      <c r="A125" s="822"/>
      <c r="B125" s="302"/>
      <c r="C125" s="997" t="s">
        <v>872</v>
      </c>
      <c r="D125" s="302"/>
      <c r="E125" s="1018">
        <v>1</v>
      </c>
      <c r="F125" s="302"/>
      <c r="G125" s="302"/>
      <c r="H125" s="302"/>
      <c r="I125" s="302"/>
      <c r="J125" s="302"/>
      <c r="K125" s="823">
        <v>108512.4</v>
      </c>
      <c r="L125" s="302" t="s">
        <v>819</v>
      </c>
      <c r="M125" s="823">
        <f>Tabla36[[#This Row],[cant]]*Tabla36[[#This Row],[ $  MERCADO]]</f>
        <v>108512.4</v>
      </c>
      <c r="N125" s="950"/>
      <c r="O125" s="950"/>
      <c r="P125" s="823"/>
      <c r="Q125" s="823"/>
      <c r="R125" s="823">
        <f>Tabla36[[#This Row],[TOTAL $]]*0.21</f>
        <v>22787.603999999999</v>
      </c>
      <c r="S125" s="823"/>
      <c r="T125" s="950">
        <f t="shared" si="8"/>
        <v>131300.00399999999</v>
      </c>
      <c r="U125" s="823"/>
      <c r="V125" s="823">
        <v>820</v>
      </c>
      <c r="W125" s="302"/>
      <c r="X125" s="954">
        <f>Tabla36[[#This Row],[TOTAL C/IVA ]]/Tabla36[[#This Row],[TC $/U$s]]</f>
        <v>160.12195609756097</v>
      </c>
      <c r="Y125" s="302"/>
      <c r="Z125" s="949"/>
    </row>
    <row r="126" spans="1:26" x14ac:dyDescent="0.25">
      <c r="A126" s="822"/>
      <c r="B126" s="302"/>
      <c r="C126" s="997" t="s">
        <v>873</v>
      </c>
      <c r="D126" s="302"/>
      <c r="E126" s="1018">
        <v>1</v>
      </c>
      <c r="F126" s="302"/>
      <c r="G126" s="302"/>
      <c r="H126" s="302"/>
      <c r="I126" s="302"/>
      <c r="J126" s="302"/>
      <c r="K126" s="823">
        <v>3512.4</v>
      </c>
      <c r="L126" s="302" t="s">
        <v>819</v>
      </c>
      <c r="M126" s="823">
        <f>Tabla36[[#This Row],[cant]]*Tabla36[[#This Row],[ $  MERCADO]]</f>
        <v>3512.4</v>
      </c>
      <c r="N126" s="950"/>
      <c r="O126" s="950"/>
      <c r="P126" s="823"/>
      <c r="Q126" s="823"/>
      <c r="R126" s="823">
        <f>Tabla36[[#This Row],[TOTAL $]]*0.21</f>
        <v>737.60400000000004</v>
      </c>
      <c r="S126" s="823"/>
      <c r="T126" s="950">
        <f t="shared" si="8"/>
        <v>4250.0039999999999</v>
      </c>
      <c r="U126" s="823"/>
      <c r="V126" s="823">
        <v>820</v>
      </c>
      <c r="W126" s="302"/>
      <c r="X126" s="954">
        <f>Tabla36[[#This Row],[TOTAL C/IVA ]]/Tabla36[[#This Row],[TC $/U$s]]</f>
        <v>5.1829317073170733</v>
      </c>
      <c r="Y126" s="302"/>
      <c r="Z126" s="949"/>
    </row>
    <row r="127" spans="1:26" x14ac:dyDescent="0.25">
      <c r="A127" s="822"/>
      <c r="B127" s="302"/>
      <c r="C127" s="997" t="s">
        <v>874</v>
      </c>
      <c r="D127" s="302"/>
      <c r="E127" s="1018">
        <v>1</v>
      </c>
      <c r="F127" s="302"/>
      <c r="G127" s="302"/>
      <c r="H127" s="302"/>
      <c r="I127" s="302"/>
      <c r="J127" s="302"/>
      <c r="K127" s="823">
        <v>16091.74</v>
      </c>
      <c r="L127" s="302" t="s">
        <v>819</v>
      </c>
      <c r="M127" s="823">
        <f>Tabla36[[#This Row],[cant]]*Tabla36[[#This Row],[ $  MERCADO]]</f>
        <v>16091.74</v>
      </c>
      <c r="N127" s="950"/>
      <c r="O127" s="950"/>
      <c r="P127" s="823"/>
      <c r="Q127" s="823"/>
      <c r="R127" s="823">
        <f>Tabla36[[#This Row],[TOTAL $]]*0.21</f>
        <v>3379.2653999999998</v>
      </c>
      <c r="S127" s="823"/>
      <c r="T127" s="950">
        <f t="shared" si="8"/>
        <v>19471.005399999998</v>
      </c>
      <c r="U127" s="823"/>
      <c r="V127" s="823">
        <v>820</v>
      </c>
      <c r="W127" s="302"/>
      <c r="X127" s="954">
        <f>Tabla36[[#This Row],[TOTAL C/IVA ]]/Tabla36[[#This Row],[TC $/U$s]]</f>
        <v>23.745128536585362</v>
      </c>
      <c r="Y127" s="302"/>
      <c r="Z127" s="949"/>
    </row>
    <row r="128" spans="1:26" x14ac:dyDescent="0.25">
      <c r="A128" s="822"/>
      <c r="B128" s="302"/>
      <c r="C128" s="997"/>
      <c r="D128" s="302"/>
      <c r="E128" s="302"/>
      <c r="F128" s="302"/>
      <c r="G128" s="302"/>
      <c r="H128" s="302"/>
      <c r="I128" s="302"/>
      <c r="J128" s="302"/>
      <c r="K128" s="823"/>
      <c r="L128" s="302"/>
      <c r="M128" s="950"/>
      <c r="N128" s="950"/>
      <c r="O128" s="950"/>
      <c r="P128" s="823"/>
      <c r="Q128" s="823"/>
      <c r="R128" s="823"/>
      <c r="S128" s="823"/>
      <c r="T128" s="950"/>
      <c r="U128" s="823"/>
      <c r="V128" s="302"/>
      <c r="W128" s="302"/>
      <c r="X128" s="1004"/>
      <c r="Y128" s="302"/>
      <c r="Z128" s="949"/>
    </row>
    <row r="129" spans="1:26" x14ac:dyDescent="0.25">
      <c r="A129" s="375" t="s">
        <v>338</v>
      </c>
      <c r="B129" s="289"/>
      <c r="C129" s="289"/>
      <c r="D129" s="289"/>
      <c r="E129" s="289"/>
      <c r="F129" s="289"/>
      <c r="G129" s="289"/>
      <c r="H129" s="289"/>
      <c r="I129" s="289"/>
      <c r="J129" s="289"/>
      <c r="K129" s="289"/>
      <c r="L129" s="289"/>
      <c r="M129" s="316">
        <f>SUM(M130:M131)</f>
        <v>434826.60000000003</v>
      </c>
      <c r="N129" s="316"/>
      <c r="O129" s="316"/>
      <c r="P129" s="316">
        <f t="shared" ref="P129:V129" si="9">SUM(P130:P131)</f>
        <v>0</v>
      </c>
      <c r="Q129" s="316">
        <f t="shared" si="9"/>
        <v>0</v>
      </c>
      <c r="R129" s="316">
        <f t="shared" si="9"/>
        <v>0</v>
      </c>
      <c r="S129" s="316">
        <f t="shared" si="9"/>
        <v>0</v>
      </c>
      <c r="T129" s="316">
        <f t="shared" si="9"/>
        <v>0</v>
      </c>
      <c r="U129" s="316">
        <f t="shared" si="9"/>
        <v>0</v>
      </c>
      <c r="V129" s="316">
        <f t="shared" si="9"/>
        <v>0</v>
      </c>
      <c r="W129" s="316"/>
      <c r="X129" s="1035">
        <f>SUM(X130:X131)</f>
        <v>0</v>
      </c>
      <c r="Y129" s="289"/>
      <c r="Z129" s="381"/>
    </row>
    <row r="130" spans="1:26" x14ac:dyDescent="0.25">
      <c r="A130" s="822"/>
      <c r="B130" s="989" t="s">
        <v>46</v>
      </c>
      <c r="C130" s="1036"/>
      <c r="D130" s="1036"/>
      <c r="E130" s="302"/>
      <c r="F130" s="302"/>
      <c r="G130" s="302"/>
      <c r="H130" s="302"/>
      <c r="I130" s="302"/>
      <c r="J130" s="302"/>
      <c r="K130" s="954"/>
      <c r="L130" s="302"/>
      <c r="M130" s="983">
        <f>0.02*M4</f>
        <v>434826.60000000003</v>
      </c>
      <c r="N130" s="983"/>
      <c r="O130" s="983"/>
      <c r="P130" s="983"/>
      <c r="Q130" s="983"/>
      <c r="R130" s="983"/>
      <c r="S130" s="983"/>
      <c r="T130" s="1019"/>
      <c r="U130" s="983"/>
      <c r="V130" s="302"/>
      <c r="W130" s="302"/>
      <c r="X130" s="1004"/>
      <c r="Y130" s="302"/>
      <c r="Z130" s="949"/>
    </row>
    <row r="131" spans="1:26" x14ac:dyDescent="0.25">
      <c r="A131" s="822"/>
      <c r="B131" s="989" t="s">
        <v>36</v>
      </c>
      <c r="C131" s="1036"/>
      <c r="D131" s="1036"/>
      <c r="E131" s="302"/>
      <c r="F131" s="302"/>
      <c r="G131" s="302"/>
      <c r="H131" s="302"/>
      <c r="I131" s="302"/>
      <c r="J131" s="302"/>
      <c r="K131" s="302"/>
      <c r="L131" s="302"/>
      <c r="M131" s="983"/>
      <c r="N131" s="983"/>
      <c r="O131" s="983"/>
      <c r="P131" s="983"/>
      <c r="Q131" s="983"/>
      <c r="R131" s="983"/>
      <c r="S131" s="983"/>
      <c r="T131" s="1019"/>
      <c r="U131" s="983"/>
      <c r="V131" s="983"/>
      <c r="W131" s="983"/>
      <c r="X131" s="1004"/>
      <c r="Y131" s="302"/>
      <c r="Z131" s="952"/>
    </row>
    <row r="132" spans="1:26" x14ac:dyDescent="0.25">
      <c r="A132" s="390" t="s">
        <v>875</v>
      </c>
      <c r="B132" s="391"/>
      <c r="C132" s="392"/>
      <c r="D132" s="392"/>
      <c r="E132" s="393"/>
      <c r="F132" s="391"/>
      <c r="G132" s="391"/>
      <c r="H132" s="391"/>
      <c r="I132" s="391"/>
      <c r="J132" s="391"/>
      <c r="K132" s="1041"/>
      <c r="L132" s="391"/>
      <c r="M132" s="1042">
        <f>M41-M159</f>
        <v>0</v>
      </c>
      <c r="N132" s="1042"/>
      <c r="O132" s="1042"/>
      <c r="P132" s="1043">
        <f t="shared" ref="P132:V132" si="10">P41-P159</f>
        <v>0</v>
      </c>
      <c r="Q132" s="1043">
        <f t="shared" si="10"/>
        <v>0</v>
      </c>
      <c r="R132" s="1043">
        <f t="shared" si="10"/>
        <v>0</v>
      </c>
      <c r="S132" s="1043">
        <f t="shared" si="10"/>
        <v>0</v>
      </c>
      <c r="T132" s="1042">
        <f t="shared" si="10"/>
        <v>838316.11</v>
      </c>
      <c r="U132" s="1043">
        <f t="shared" si="10"/>
        <v>0</v>
      </c>
      <c r="V132" s="1043">
        <f t="shared" si="10"/>
        <v>0</v>
      </c>
      <c r="W132" s="1043"/>
      <c r="X132" s="1044">
        <f>X104-X107</f>
        <v>101921.37127782706</v>
      </c>
      <c r="Y132" s="391"/>
      <c r="Z132" s="1045"/>
    </row>
    <row r="137" spans="1:26" x14ac:dyDescent="0.25">
      <c r="X137" s="154">
        <f>+X13-X17-X44-X83-X25</f>
        <v>127066.37094136362</v>
      </c>
    </row>
  </sheetData>
  <mergeCells count="1">
    <mergeCell ref="A1:J1"/>
  </mergeCells>
  <pageMargins left="0.25" right="0.25" top="0.75" bottom="0.75" header="0.3" footer="0.3"/>
  <pageSetup orientation="landscape" r:id="rId1"/>
  <ignoredErrors>
    <ignoredError sqref="X18" formula="1"/>
  </ignoredErrors>
  <legacyDrawing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9BD9D-996D-4849-96ED-29A5DF7B5B39}">
  <sheetPr>
    <tabColor theme="0" tint="-4.9989318521683403E-2"/>
  </sheetPr>
  <dimension ref="A1:AF69"/>
  <sheetViews>
    <sheetView workbookViewId="0">
      <selection activeCell="AD3" sqref="AD3"/>
    </sheetView>
  </sheetViews>
  <sheetFormatPr baseColWidth="10" defaultColWidth="11.42578125" defaultRowHeight="15" x14ac:dyDescent="0.25"/>
  <cols>
    <col min="1" max="1" width="10.28515625" customWidth="1"/>
    <col min="2" max="2" width="7.85546875" customWidth="1"/>
    <col min="3" max="3" width="8.7109375" customWidth="1"/>
    <col min="4" max="4" width="7.85546875" customWidth="1"/>
    <col min="5" max="7" width="6.28515625" customWidth="1"/>
    <col min="8" max="8" width="8.140625" customWidth="1"/>
    <col min="9" max="12" width="7.28515625" customWidth="1"/>
    <col min="13" max="13" width="11" customWidth="1"/>
    <col min="14" max="14" width="7" customWidth="1"/>
    <col min="15" max="15" width="15.140625" customWidth="1"/>
    <col min="16" max="16" width="10.85546875" customWidth="1"/>
    <col min="17" max="23" width="13.7109375" customWidth="1"/>
    <col min="24" max="24" width="18.7109375" customWidth="1"/>
    <col min="25" max="25" width="12" customWidth="1"/>
    <col min="26" max="26" width="9.7109375" customWidth="1"/>
    <col min="27" max="27" width="8.7109375" customWidth="1"/>
    <col min="28" max="28" width="16.42578125" customWidth="1"/>
    <col min="29" max="29" width="10.85546875" customWidth="1"/>
    <col min="30" max="30" width="14.7109375" bestFit="1" customWidth="1"/>
    <col min="31" max="31" width="13.28515625" customWidth="1"/>
    <col min="32" max="32" width="17.42578125" customWidth="1"/>
  </cols>
  <sheetData>
    <row r="1" spans="1:32" ht="33" customHeight="1" x14ac:dyDescent="0.25">
      <c r="A1" s="1598" t="s">
        <v>876</v>
      </c>
      <c r="B1" s="1599"/>
      <c r="C1" s="1599"/>
      <c r="D1" s="1599"/>
      <c r="E1" s="1599"/>
      <c r="F1" s="1599"/>
      <c r="G1" s="1599"/>
      <c r="H1" s="1599"/>
      <c r="I1" s="1599"/>
      <c r="J1" s="1599"/>
      <c r="K1" s="1599"/>
      <c r="L1" s="1600"/>
    </row>
    <row r="2" spans="1:32" ht="33.75" x14ac:dyDescent="0.25">
      <c r="A2" s="281" t="s">
        <v>0</v>
      </c>
      <c r="B2" s="282" t="s">
        <v>14</v>
      </c>
      <c r="C2" s="282" t="s">
        <v>15</v>
      </c>
      <c r="D2" s="282" t="s">
        <v>744</v>
      </c>
      <c r="E2" s="282" t="s">
        <v>745</v>
      </c>
      <c r="F2" s="282" t="s">
        <v>877</v>
      </c>
      <c r="G2" s="282" t="s">
        <v>878</v>
      </c>
      <c r="H2" s="282" t="s">
        <v>354</v>
      </c>
      <c r="I2" s="282" t="s">
        <v>355</v>
      </c>
      <c r="J2" s="282" t="s">
        <v>746</v>
      </c>
      <c r="K2" s="282" t="s">
        <v>356</v>
      </c>
      <c r="L2" s="283" t="s">
        <v>747</v>
      </c>
      <c r="M2" s="282" t="s">
        <v>748</v>
      </c>
      <c r="N2" s="282" t="s">
        <v>749</v>
      </c>
      <c r="O2" s="282" t="s">
        <v>750</v>
      </c>
      <c r="P2" s="282" t="s">
        <v>60</v>
      </c>
      <c r="Q2" s="282" t="s">
        <v>46</v>
      </c>
      <c r="R2" s="282" t="s">
        <v>779</v>
      </c>
      <c r="S2" s="284" t="s">
        <v>361</v>
      </c>
      <c r="T2" s="284" t="s">
        <v>362</v>
      </c>
      <c r="U2" s="284" t="s">
        <v>879</v>
      </c>
      <c r="V2" s="284" t="s">
        <v>880</v>
      </c>
      <c r="W2" s="284" t="s">
        <v>881</v>
      </c>
      <c r="X2" s="285" t="s">
        <v>753</v>
      </c>
      <c r="Y2" s="284" t="s">
        <v>781</v>
      </c>
      <c r="Z2" s="282" t="s">
        <v>754</v>
      </c>
      <c r="AA2" s="282" t="s">
        <v>711</v>
      </c>
      <c r="AB2" s="286" t="s">
        <v>702</v>
      </c>
      <c r="AC2" s="283" t="s">
        <v>755</v>
      </c>
      <c r="AD2" s="286" t="s">
        <v>756</v>
      </c>
      <c r="AE2" s="287" t="s">
        <v>757</v>
      </c>
      <c r="AF2" s="287" t="s">
        <v>758</v>
      </c>
    </row>
    <row r="3" spans="1:32" x14ac:dyDescent="0.25">
      <c r="A3" s="288" t="s">
        <v>759</v>
      </c>
      <c r="B3" s="289"/>
      <c r="C3" s="289"/>
      <c r="D3" s="289"/>
      <c r="E3" s="290"/>
      <c r="F3" s="290"/>
      <c r="G3" s="290"/>
      <c r="H3" s="290"/>
      <c r="I3" s="291"/>
      <c r="J3" s="292"/>
      <c r="K3" s="291"/>
      <c r="L3" s="293"/>
      <c r="M3" s="291"/>
      <c r="N3" s="291"/>
      <c r="O3" s="294">
        <f t="shared" ref="O3:X3" si="0">SUM(O4:O6)</f>
        <v>109830000</v>
      </c>
      <c r="P3" s="294">
        <f t="shared" si="0"/>
        <v>0</v>
      </c>
      <c r="Q3" s="294">
        <f t="shared" si="0"/>
        <v>1671169.5</v>
      </c>
      <c r="R3" s="294">
        <f t="shared" si="0"/>
        <v>0</v>
      </c>
      <c r="S3" s="294">
        <f t="shared" si="0"/>
        <v>11532150</v>
      </c>
      <c r="T3" s="294">
        <f t="shared" si="0"/>
        <v>0</v>
      </c>
      <c r="U3" s="294">
        <f t="shared" si="0"/>
        <v>324083.63</v>
      </c>
      <c r="V3" s="294">
        <f t="shared" si="0"/>
        <v>92595.32</v>
      </c>
      <c r="W3" s="294">
        <f t="shared" si="0"/>
        <v>843694.27</v>
      </c>
      <c r="X3" s="295">
        <f t="shared" si="0"/>
        <v>116700444.28999999</v>
      </c>
      <c r="Y3" s="296"/>
      <c r="Z3" s="294">
        <f>AVERAGE(Z4:Z6)</f>
        <v>920</v>
      </c>
      <c r="AA3" s="291"/>
      <c r="AB3" s="297">
        <f>SUM(AB4:AB6)</f>
        <v>126848.30901086953</v>
      </c>
      <c r="AC3" s="407">
        <v>940</v>
      </c>
      <c r="AD3" s="410">
        <f>SUM(AD4:AD6)</f>
        <v>124149.40881914891</v>
      </c>
      <c r="AE3" s="411"/>
      <c r="AF3" s="291"/>
    </row>
    <row r="4" spans="1:32" x14ac:dyDescent="0.25">
      <c r="A4" s="298"/>
      <c r="B4" s="299" t="s">
        <v>782</v>
      </c>
      <c r="C4" s="299" t="s">
        <v>231</v>
      </c>
      <c r="D4" s="300"/>
      <c r="E4" s="301">
        <v>159</v>
      </c>
      <c r="F4" s="301">
        <v>2</v>
      </c>
      <c r="G4" s="301">
        <f>Tabla364[[#This Row],[cant]]-Tabla364[[#This Row],[MUERTOS]]</f>
        <v>157</v>
      </c>
      <c r="H4" s="301"/>
      <c r="I4" s="303">
        <v>23361.600000000002</v>
      </c>
      <c r="J4" s="303">
        <v>148.80000000000001</v>
      </c>
      <c r="K4" s="301">
        <v>22400</v>
      </c>
      <c r="L4" s="304">
        <v>4.2928571428571427E-2</v>
      </c>
      <c r="M4" s="305">
        <v>2440</v>
      </c>
      <c r="N4" s="301" t="s">
        <v>760</v>
      </c>
      <c r="O4" s="305">
        <f>Tabla364[[#This Row],[ $  MERCADO]]*Tabla364[[#This Row],[KG NETOS TOT]]</f>
        <v>54656000</v>
      </c>
      <c r="P4" s="305"/>
      <c r="Q4" s="305"/>
      <c r="R4" s="305"/>
      <c r="S4" s="305">
        <f>Tabla364[[#This Row],[TOTAL $]]*0.105</f>
        <v>5738880</v>
      </c>
      <c r="T4" s="305"/>
      <c r="U4" s="305"/>
      <c r="V4" s="305"/>
      <c r="W4" s="305">
        <v>843694.27</v>
      </c>
      <c r="X4" s="306" cm="1">
        <f t="array" ref="X4">SUM(Tabla364[[#This Row],[TOTAL $]:[Derecho Registro]]-Tabla364[[#This Row],[NOTA DE CREEDITO]])</f>
        <v>53645325.839999981</v>
      </c>
      <c r="Y4" s="305"/>
      <c r="Z4" s="307">
        <v>920</v>
      </c>
      <c r="AA4" s="308"/>
      <c r="AB4" s="309">
        <f>Tabla364[[#This Row],[TOTAL C/IVA ]]/Tabla364[[#This Row],[TC $/U$s]]</f>
        <v>58310.136782608672</v>
      </c>
      <c r="AC4" s="587">
        <v>940</v>
      </c>
      <c r="AD4" s="309">
        <f>Tabla364[[#This Row],[TOTAL C/IVA ]]/Tabla364[[#This Row],[TC=2024]]</f>
        <v>57069.495574468063</v>
      </c>
      <c r="AE4" s="310"/>
      <c r="AF4" s="301" t="s">
        <v>141</v>
      </c>
    </row>
    <row r="5" spans="1:32" x14ac:dyDescent="0.25">
      <c r="A5" s="298"/>
      <c r="B5" s="299" t="s">
        <v>782</v>
      </c>
      <c r="C5" s="299" t="s">
        <v>231</v>
      </c>
      <c r="D5" s="300"/>
      <c r="E5" s="301">
        <v>139</v>
      </c>
      <c r="F5" s="301"/>
      <c r="G5" s="301">
        <f>Tabla364[[#This Row],[cant]]-Tabla364[[#This Row],[MUERTOS]]</f>
        <v>139</v>
      </c>
      <c r="H5" s="301"/>
      <c r="I5" s="303">
        <v>23440</v>
      </c>
      <c r="J5" s="303">
        <v>164</v>
      </c>
      <c r="K5" s="301">
        <v>22520</v>
      </c>
      <c r="L5" s="304">
        <v>4.0852575488454779E-2</v>
      </c>
      <c r="M5" s="305">
        <v>2450</v>
      </c>
      <c r="N5" s="301" t="s">
        <v>760</v>
      </c>
      <c r="O5" s="305">
        <f>Tabla364[[#This Row],[ $  MERCADO]]*Tabla364[[#This Row],[KG NETOS TOT]]</f>
        <v>55174000</v>
      </c>
      <c r="P5" s="305"/>
      <c r="Q5" s="305">
        <v>1671169.5</v>
      </c>
      <c r="R5" s="305"/>
      <c r="S5" s="305">
        <f>Tabla364[[#This Row],[TOTAL $]]*0.105</f>
        <v>5793270</v>
      </c>
      <c r="T5" s="305"/>
      <c r="U5" s="305">
        <v>324083.63</v>
      </c>
      <c r="V5" s="305">
        <v>92595.32</v>
      </c>
      <c r="W5" s="305"/>
      <c r="X5" s="306">
        <f>SUM(Tabla364[[#This Row],[TOTAL $]:[Derecho Registro]])</f>
        <v>63055118.450000003</v>
      </c>
      <c r="Y5" s="305"/>
      <c r="Z5" s="307">
        <v>920</v>
      </c>
      <c r="AA5" s="308"/>
      <c r="AB5" s="309">
        <f>Tabla364[[#This Row],[TOTAL C/IVA ]]/Tabla364[[#This Row],[TC $/U$s]]</f>
        <v>68538.172228260868</v>
      </c>
      <c r="AC5" s="587">
        <v>940</v>
      </c>
      <c r="AD5" s="309">
        <f>Tabla364[[#This Row],[TOTAL C/IVA ]]/Tabla364[[#This Row],[TC=2024]]</f>
        <v>67079.913244680851</v>
      </c>
      <c r="AE5" s="310" t="s">
        <v>882</v>
      </c>
      <c r="AF5" s="301" t="s">
        <v>141</v>
      </c>
    </row>
    <row r="6" spans="1:32" x14ac:dyDescent="0.25">
      <c r="A6" s="298"/>
      <c r="B6" s="299"/>
      <c r="C6" s="299"/>
      <c r="D6" s="300"/>
      <c r="E6" s="301"/>
      <c r="F6" s="301"/>
      <c r="G6" s="301"/>
      <c r="H6" s="301"/>
      <c r="I6" s="302"/>
      <c r="J6" s="303"/>
      <c r="K6" s="301"/>
      <c r="L6" s="304"/>
      <c r="M6" s="305"/>
      <c r="N6" s="301"/>
      <c r="O6" s="305"/>
      <c r="P6" s="305"/>
      <c r="Q6" s="305"/>
      <c r="R6" s="305"/>
      <c r="S6" s="305"/>
      <c r="T6" s="305"/>
      <c r="U6" s="305"/>
      <c r="V6" s="305"/>
      <c r="W6" s="305"/>
      <c r="X6" s="306"/>
      <c r="Y6" s="305"/>
      <c r="Z6" s="307"/>
      <c r="AA6" s="308"/>
      <c r="AB6" s="309"/>
      <c r="AC6" s="309"/>
      <c r="AD6" s="309"/>
      <c r="AE6" s="310"/>
      <c r="AF6" s="301"/>
    </row>
    <row r="7" spans="1:32" x14ac:dyDescent="0.25">
      <c r="A7" s="288" t="s">
        <v>761</v>
      </c>
      <c r="B7" s="311"/>
      <c r="C7" s="312"/>
      <c r="D7" s="312"/>
      <c r="E7" s="313"/>
      <c r="F7" s="313"/>
      <c r="G7" s="313"/>
      <c r="H7" s="313"/>
      <c r="I7" s="313"/>
      <c r="J7" s="313"/>
      <c r="K7" s="313"/>
      <c r="L7" s="314"/>
      <c r="M7" s="315"/>
      <c r="N7" s="313"/>
      <c r="O7" s="315">
        <f t="shared" ref="O7:U7" si="1">SUM(O8:O9)</f>
        <v>0</v>
      </c>
      <c r="P7" s="315">
        <f t="shared" si="1"/>
        <v>0</v>
      </c>
      <c r="Q7" s="315">
        <f t="shared" si="1"/>
        <v>0</v>
      </c>
      <c r="R7" s="315">
        <f t="shared" si="1"/>
        <v>0</v>
      </c>
      <c r="S7" s="315">
        <f t="shared" si="1"/>
        <v>0</v>
      </c>
      <c r="T7" s="315">
        <f t="shared" si="1"/>
        <v>0</v>
      </c>
      <c r="U7" s="315">
        <f t="shared" si="1"/>
        <v>0</v>
      </c>
      <c r="V7" s="315"/>
      <c r="W7" s="315"/>
      <c r="X7" s="295">
        <f>SUM(X8:X9)</f>
        <v>0</v>
      </c>
      <c r="Y7" s="316"/>
      <c r="Z7" s="294">
        <v>920</v>
      </c>
      <c r="AA7" s="317"/>
      <c r="AB7" s="297">
        <f>SUM(AB8:AB9)</f>
        <v>0</v>
      </c>
      <c r="AC7" s="408">
        <v>940</v>
      </c>
      <c r="AD7" s="318">
        <f>Tabla364[[#This Row],[TOTAL C/IVA ]]/Tabla364[[#This Row],[TC=2024]]</f>
        <v>0</v>
      </c>
      <c r="AE7" s="319"/>
      <c r="AF7" s="313"/>
    </row>
    <row r="8" spans="1:32" x14ac:dyDescent="0.25">
      <c r="A8" s="298"/>
      <c r="B8" s="299"/>
      <c r="C8" s="301"/>
      <c r="D8" s="301"/>
      <c r="E8" s="320"/>
      <c r="F8" s="320"/>
      <c r="G8" s="320"/>
      <c r="H8" s="320"/>
      <c r="I8" s="320"/>
      <c r="J8" s="303"/>
      <c r="K8" s="320"/>
      <c r="L8" s="321"/>
      <c r="M8" s="307"/>
      <c r="N8" s="320"/>
      <c r="O8" s="307"/>
      <c r="P8" s="307"/>
      <c r="Q8" s="307"/>
      <c r="R8" s="307"/>
      <c r="S8" s="307"/>
      <c r="T8" s="307"/>
      <c r="U8" s="320"/>
      <c r="V8" s="320"/>
      <c r="W8" s="320"/>
      <c r="X8" s="322"/>
      <c r="Y8" s="323"/>
      <c r="Z8" s="307"/>
      <c r="AA8" s="307"/>
      <c r="AB8" s="309"/>
      <c r="AC8" s="324"/>
      <c r="AD8" s="324"/>
      <c r="AE8" s="310"/>
      <c r="AF8" s="301"/>
    </row>
    <row r="9" spans="1:32" x14ac:dyDescent="0.25">
      <c r="A9" s="298"/>
      <c r="B9" s="299"/>
      <c r="C9" s="301"/>
      <c r="D9" s="301"/>
      <c r="E9" s="320"/>
      <c r="F9" s="320"/>
      <c r="G9" s="320"/>
      <c r="H9" s="327"/>
      <c r="I9" s="320"/>
      <c r="J9" s="303"/>
      <c r="K9" s="320"/>
      <c r="L9" s="321"/>
      <c r="M9" s="307"/>
      <c r="N9" s="320"/>
      <c r="O9" s="307"/>
      <c r="P9" s="307"/>
      <c r="Q9" s="307"/>
      <c r="R9" s="331"/>
      <c r="S9" s="307"/>
      <c r="T9" s="307"/>
      <c r="U9" s="320"/>
      <c r="V9" s="320"/>
      <c r="W9" s="320"/>
      <c r="X9" s="322"/>
      <c r="Y9" s="307"/>
      <c r="Z9" s="307"/>
      <c r="AA9" s="307"/>
      <c r="AB9" s="309"/>
      <c r="AC9" s="324"/>
      <c r="AD9" s="324"/>
      <c r="AE9" s="325"/>
      <c r="AF9" s="301"/>
    </row>
    <row r="10" spans="1:32" x14ac:dyDescent="0.25">
      <c r="A10" s="298"/>
      <c r="B10" s="332"/>
      <c r="C10" s="301"/>
      <c r="D10" s="301"/>
      <c r="E10" s="333"/>
      <c r="F10" s="333"/>
      <c r="G10" s="333"/>
      <c r="H10" s="301"/>
      <c r="I10" s="301"/>
      <c r="J10" s="301"/>
      <c r="K10" s="301"/>
      <c r="L10" s="334"/>
      <c r="M10" s="305"/>
      <c r="N10" s="301"/>
      <c r="O10" s="305"/>
      <c r="P10" s="305"/>
      <c r="Q10" s="305"/>
      <c r="R10" s="305"/>
      <c r="S10" s="305"/>
      <c r="T10" s="305"/>
      <c r="U10" s="305"/>
      <c r="V10" s="305"/>
      <c r="W10" s="305"/>
      <c r="X10" s="335"/>
      <c r="Y10" s="305"/>
      <c r="Z10" s="301"/>
      <c r="AA10" s="301"/>
      <c r="AB10" s="336"/>
      <c r="AC10" s="336"/>
      <c r="AD10" s="325"/>
      <c r="AE10" s="325"/>
      <c r="AF10" s="337"/>
    </row>
    <row r="11" spans="1:32" x14ac:dyDescent="0.25">
      <c r="A11" s="338" t="s">
        <v>770</v>
      </c>
      <c r="B11" s="339"/>
      <c r="C11" s="339"/>
      <c r="D11" s="339"/>
      <c r="E11" s="340"/>
      <c r="F11" s="340"/>
      <c r="G11" s="340"/>
      <c r="H11" s="341"/>
      <c r="I11" s="341"/>
      <c r="J11" s="341"/>
      <c r="K11" s="341"/>
      <c r="L11" s="342"/>
      <c r="M11" s="341"/>
      <c r="N11" s="341"/>
      <c r="O11" s="343">
        <f t="shared" ref="O11:U11" si="2">SUM(O7)-SUM(O3)</f>
        <v>-109830000</v>
      </c>
      <c r="P11" s="343">
        <f t="shared" si="2"/>
        <v>0</v>
      </c>
      <c r="Q11" s="343">
        <f t="shared" si="2"/>
        <v>-1671169.5</v>
      </c>
      <c r="R11" s="343">
        <f t="shared" si="2"/>
        <v>0</v>
      </c>
      <c r="S11" s="343">
        <f t="shared" si="2"/>
        <v>-11532150</v>
      </c>
      <c r="T11" s="343">
        <f t="shared" si="2"/>
        <v>0</v>
      </c>
      <c r="U11" s="343">
        <f t="shared" si="2"/>
        <v>-324083.63</v>
      </c>
      <c r="V11" s="343"/>
      <c r="W11" s="343"/>
      <c r="X11" s="344">
        <f>SUM(X7)-SUM(X3)</f>
        <v>-116700444.28999999</v>
      </c>
      <c r="Y11" s="345">
        <f>SUM(Y7)-SUM(Y3)</f>
        <v>0</v>
      </c>
      <c r="Z11" s="345">
        <f>SUM(Z7)-SUM(Z3)</f>
        <v>0</v>
      </c>
      <c r="AA11" s="345">
        <f>SUM(AA9:AA10)-SUM(AA4:AA8)</f>
        <v>0</v>
      </c>
      <c r="AB11" s="346">
        <f>AB7-AB3</f>
        <v>-126848.30901086953</v>
      </c>
      <c r="AC11" s="409">
        <f>AVERAGE(AC3:AC10)</f>
        <v>940</v>
      </c>
      <c r="AD11" s="346">
        <f>AD7-AD3</f>
        <v>-124149.40881914891</v>
      </c>
      <c r="AE11" s="347"/>
      <c r="AF11" s="348"/>
    </row>
    <row r="12" spans="1:32" x14ac:dyDescent="0.25">
      <c r="A12" s="349"/>
      <c r="B12" s="300"/>
      <c r="C12" s="300"/>
      <c r="D12" s="300"/>
      <c r="E12" s="337"/>
      <c r="F12" s="337"/>
      <c r="G12" s="337"/>
      <c r="H12" s="337"/>
      <c r="I12" s="337"/>
      <c r="J12" s="337"/>
      <c r="K12" s="337"/>
      <c r="L12" s="350"/>
      <c r="M12" s="337"/>
      <c r="N12" s="337"/>
      <c r="O12" s="351"/>
      <c r="P12" s="351"/>
      <c r="Q12" s="351"/>
      <c r="R12" s="351"/>
      <c r="S12" s="351"/>
      <c r="T12" s="351"/>
      <c r="U12" s="351"/>
      <c r="V12" s="351"/>
      <c r="W12" s="351"/>
      <c r="X12" s="335"/>
      <c r="Y12" s="351"/>
      <c r="Z12" s="351"/>
      <c r="AA12" s="351"/>
      <c r="AB12" s="336"/>
      <c r="AC12" s="336"/>
      <c r="AD12" s="336"/>
      <c r="AE12" s="352"/>
      <c r="AF12" s="337"/>
    </row>
    <row r="13" spans="1:32" x14ac:dyDescent="0.25">
      <c r="A13" s="353" t="s">
        <v>318</v>
      </c>
      <c r="B13" s="354"/>
      <c r="C13" s="354"/>
      <c r="D13" s="354"/>
      <c r="E13" s="355"/>
      <c r="F13" s="355"/>
      <c r="G13" s="355"/>
      <c r="H13" s="355"/>
      <c r="I13" s="356"/>
      <c r="J13" s="355"/>
      <c r="K13" s="355"/>
      <c r="L13" s="357"/>
      <c r="M13" s="355"/>
      <c r="N13" s="355"/>
      <c r="O13" s="358">
        <f>SUM(O15:O31)</f>
        <v>0</v>
      </c>
      <c r="P13" s="358"/>
      <c r="Q13" s="358"/>
      <c r="R13" s="358">
        <f>SUM(R15:R31)</f>
        <v>0</v>
      </c>
      <c r="S13" s="358">
        <f>SUM(S15:S31)</f>
        <v>0</v>
      </c>
      <c r="T13" s="358">
        <f>SUM(T15:T31)</f>
        <v>0</v>
      </c>
      <c r="U13" s="358">
        <f>SUM(U15:U31)</f>
        <v>0</v>
      </c>
      <c r="V13" s="358"/>
      <c r="W13" s="358"/>
      <c r="X13" s="359">
        <f>SUM(X15:X31)</f>
        <v>0</v>
      </c>
      <c r="Y13" s="358">
        <f>SUM(Y15:Y31)</f>
        <v>0</v>
      </c>
      <c r="Z13" s="358">
        <v>850</v>
      </c>
      <c r="AA13" s="358"/>
      <c r="AB13" s="360">
        <f>SUM(AB15:AB54)</f>
        <v>22690.627414634149</v>
      </c>
      <c r="AC13" s="361">
        <v>940</v>
      </c>
      <c r="AD13" s="360">
        <f>Tabla364[[#This Row],[TOTAL U$S]]/Tabla364[[#This Row],[TC=2024]]</f>
        <v>24.138965334717181</v>
      </c>
      <c r="AE13" s="362"/>
      <c r="AF13" s="355"/>
    </row>
    <row r="14" spans="1:32" x14ac:dyDescent="0.25">
      <c r="A14" s="363"/>
      <c r="B14" s="337" t="s">
        <v>94</v>
      </c>
      <c r="C14" s="301"/>
      <c r="D14" s="301"/>
      <c r="E14" s="301"/>
      <c r="F14" s="301"/>
      <c r="G14" s="301"/>
      <c r="H14" s="301"/>
      <c r="I14" s="301"/>
      <c r="J14" s="301"/>
      <c r="K14" s="301"/>
      <c r="L14" s="334"/>
      <c r="M14" s="301"/>
      <c r="N14" s="301"/>
      <c r="O14" s="301"/>
      <c r="P14" s="301"/>
      <c r="Q14" s="301"/>
      <c r="R14" s="301"/>
      <c r="S14" s="301"/>
      <c r="T14" s="301"/>
      <c r="U14" s="301"/>
      <c r="V14" s="301"/>
      <c r="W14" s="301"/>
      <c r="X14" s="364"/>
      <c r="Y14" s="301"/>
      <c r="Z14" s="337"/>
      <c r="AA14" s="301"/>
      <c r="AB14" s="352"/>
      <c r="AC14" s="352"/>
      <c r="AD14" s="352"/>
      <c r="AE14" s="325"/>
      <c r="AF14" s="301"/>
    </row>
    <row r="15" spans="1:32" x14ac:dyDescent="0.25">
      <c r="A15" s="298"/>
      <c r="B15" s="299"/>
      <c r="C15" s="326"/>
      <c r="D15" s="299"/>
      <c r="E15" s="301"/>
      <c r="F15" s="301"/>
      <c r="G15" s="301"/>
      <c r="H15" s="301"/>
      <c r="I15" s="301"/>
      <c r="J15" s="301"/>
      <c r="K15" s="365"/>
      <c r="L15" s="334"/>
      <c r="M15" s="305"/>
      <c r="N15" s="301"/>
      <c r="O15" s="305"/>
      <c r="P15" s="305"/>
      <c r="Q15" s="305"/>
      <c r="R15" s="305"/>
      <c r="S15" s="305"/>
      <c r="T15" s="305"/>
      <c r="U15" s="305"/>
      <c r="V15" s="305"/>
      <c r="W15" s="305"/>
      <c r="X15" s="322"/>
      <c r="Y15" s="305"/>
      <c r="Z15" s="305"/>
      <c r="AA15" s="301"/>
      <c r="AB15" s="309"/>
      <c r="AC15" s="309"/>
      <c r="AD15" s="309"/>
      <c r="AE15" s="325"/>
      <c r="AF15" s="326"/>
    </row>
    <row r="16" spans="1:32" x14ac:dyDescent="0.25">
      <c r="A16" s="298"/>
      <c r="B16" s="299"/>
      <c r="C16" s="326"/>
      <c r="D16" s="299"/>
      <c r="E16" s="301"/>
      <c r="F16" s="301"/>
      <c r="G16" s="301"/>
      <c r="H16" s="301"/>
      <c r="I16" s="301"/>
      <c r="J16" s="301"/>
      <c r="K16" s="365"/>
      <c r="L16" s="334"/>
      <c r="M16" s="305"/>
      <c r="N16" s="301"/>
      <c r="O16" s="305"/>
      <c r="P16" s="305"/>
      <c r="Q16" s="305"/>
      <c r="R16" s="305"/>
      <c r="S16" s="305"/>
      <c r="T16" s="305"/>
      <c r="U16" s="305"/>
      <c r="V16" s="305"/>
      <c r="W16" s="305"/>
      <c r="X16" s="322"/>
      <c r="Y16" s="305"/>
      <c r="Z16" s="305"/>
      <c r="AA16" s="301"/>
      <c r="AB16" s="309"/>
      <c r="AC16" s="309"/>
      <c r="AD16" s="309"/>
      <c r="AE16" s="325"/>
      <c r="AF16" s="326"/>
    </row>
    <row r="17" spans="1:32" x14ac:dyDescent="0.25">
      <c r="A17" s="298"/>
      <c r="B17" s="299"/>
      <c r="C17" s="326"/>
      <c r="D17" s="299"/>
      <c r="E17" s="301"/>
      <c r="F17" s="301"/>
      <c r="G17" s="301"/>
      <c r="H17" s="301"/>
      <c r="I17" s="301"/>
      <c r="J17" s="301"/>
      <c r="K17" s="365"/>
      <c r="L17" s="334"/>
      <c r="M17" s="305"/>
      <c r="N17" s="301"/>
      <c r="O17" s="305"/>
      <c r="P17" s="305"/>
      <c r="Q17" s="305"/>
      <c r="R17" s="305"/>
      <c r="S17" s="305"/>
      <c r="T17" s="305"/>
      <c r="U17" s="305"/>
      <c r="V17" s="305"/>
      <c r="W17" s="305"/>
      <c r="X17" s="322"/>
      <c r="Y17" s="305"/>
      <c r="Z17" s="305"/>
      <c r="AA17" s="301"/>
      <c r="AB17" s="309"/>
      <c r="AC17" s="309"/>
      <c r="AD17" s="309"/>
      <c r="AE17" s="325"/>
      <c r="AF17" s="326"/>
    </row>
    <row r="18" spans="1:32" x14ac:dyDescent="0.25">
      <c r="A18" s="298"/>
      <c r="B18" s="299"/>
      <c r="C18" s="326"/>
      <c r="D18" s="299"/>
      <c r="E18" s="301"/>
      <c r="F18" s="301"/>
      <c r="G18" s="301"/>
      <c r="H18" s="301"/>
      <c r="I18" s="301"/>
      <c r="J18" s="301"/>
      <c r="K18" s="301"/>
      <c r="L18" s="334"/>
      <c r="M18" s="305"/>
      <c r="N18" s="301"/>
      <c r="O18" s="305"/>
      <c r="P18" s="305"/>
      <c r="Q18" s="305"/>
      <c r="R18" s="305"/>
      <c r="S18" s="305"/>
      <c r="T18" s="305"/>
      <c r="U18" s="305"/>
      <c r="V18" s="305"/>
      <c r="W18" s="305"/>
      <c r="X18" s="322"/>
      <c r="Y18" s="305"/>
      <c r="Z18" s="305"/>
      <c r="AA18" s="301"/>
      <c r="AB18" s="309"/>
      <c r="AC18" s="309"/>
      <c r="AD18" s="309"/>
      <c r="AE18" s="325"/>
      <c r="AF18" s="326"/>
    </row>
    <row r="19" spans="1:32" x14ac:dyDescent="0.25">
      <c r="A19" s="298"/>
      <c r="B19" s="299"/>
      <c r="C19" s="326"/>
      <c r="D19" s="299"/>
      <c r="E19" s="301"/>
      <c r="F19" s="301"/>
      <c r="G19" s="301"/>
      <c r="H19" s="301"/>
      <c r="I19" s="301"/>
      <c r="J19" s="301"/>
      <c r="K19" s="301"/>
      <c r="L19" s="334"/>
      <c r="M19" s="305"/>
      <c r="N19" s="301"/>
      <c r="O19" s="305"/>
      <c r="P19" s="305"/>
      <c r="Q19" s="305"/>
      <c r="R19" s="305"/>
      <c r="S19" s="305"/>
      <c r="T19" s="305"/>
      <c r="U19" s="305"/>
      <c r="V19" s="305"/>
      <c r="W19" s="305"/>
      <c r="X19" s="306"/>
      <c r="Y19" s="305"/>
      <c r="Z19" s="305"/>
      <c r="AA19" s="301"/>
      <c r="AB19" s="309"/>
      <c r="AC19" s="309"/>
      <c r="AD19" s="309"/>
      <c r="AE19" s="325"/>
      <c r="AF19" s="337"/>
    </row>
    <row r="20" spans="1:32" x14ac:dyDescent="0.25">
      <c r="A20" s="298"/>
      <c r="B20" s="300" t="s">
        <v>771</v>
      </c>
      <c r="C20" s="301"/>
      <c r="D20" s="299"/>
      <c r="E20" s="301"/>
      <c r="F20" s="301"/>
      <c r="G20" s="301"/>
      <c r="H20" s="301"/>
      <c r="I20" s="301"/>
      <c r="J20" s="301"/>
      <c r="K20" s="301"/>
      <c r="L20" s="334"/>
      <c r="M20" s="305"/>
      <c r="N20" s="301"/>
      <c r="O20" s="305"/>
      <c r="P20" s="305"/>
      <c r="Q20" s="305"/>
      <c r="R20" s="305"/>
      <c r="S20" s="305"/>
      <c r="T20" s="305"/>
      <c r="U20" s="305"/>
      <c r="V20" s="305"/>
      <c r="W20" s="305"/>
      <c r="X20" s="335"/>
      <c r="Y20" s="305"/>
      <c r="Z20" s="301"/>
      <c r="AA20" s="301"/>
      <c r="AB20" s="309"/>
      <c r="AC20" s="309"/>
      <c r="AD20" s="309"/>
      <c r="AE20" s="325"/>
      <c r="AF20" s="337"/>
    </row>
    <row r="21" spans="1:32" x14ac:dyDescent="0.25">
      <c r="A21" s="298"/>
      <c r="B21" s="299"/>
      <c r="C21" s="366"/>
      <c r="D21" s="301"/>
      <c r="E21" s="301"/>
      <c r="F21" s="301"/>
      <c r="G21" s="301"/>
      <c r="H21" s="301"/>
      <c r="I21" s="301"/>
      <c r="J21" s="301"/>
      <c r="K21" s="301"/>
      <c r="L21" s="334"/>
      <c r="M21" s="367"/>
      <c r="N21" s="301"/>
      <c r="O21" s="305"/>
      <c r="P21" s="305"/>
      <c r="Q21" s="305"/>
      <c r="R21" s="305"/>
      <c r="S21" s="305"/>
      <c r="T21" s="305"/>
      <c r="U21" s="301"/>
      <c r="V21" s="301"/>
      <c r="W21" s="301"/>
      <c r="X21" s="306"/>
      <c r="Y21" s="305"/>
      <c r="Z21" s="305"/>
      <c r="AA21" s="305"/>
      <c r="AB21" s="309"/>
      <c r="AC21" s="309"/>
      <c r="AD21" s="309"/>
      <c r="AE21" s="325"/>
      <c r="AF21" s="301"/>
    </row>
    <row r="22" spans="1:32" x14ac:dyDescent="0.25">
      <c r="A22" s="298"/>
      <c r="B22" s="299"/>
      <c r="C22" s="366"/>
      <c r="D22" s="301"/>
      <c r="E22" s="301"/>
      <c r="F22" s="301"/>
      <c r="G22" s="301"/>
      <c r="H22" s="301"/>
      <c r="I22" s="301"/>
      <c r="J22" s="301"/>
      <c r="K22" s="301"/>
      <c r="L22" s="334"/>
      <c r="M22" s="367"/>
      <c r="N22" s="301"/>
      <c r="O22" s="305"/>
      <c r="P22" s="305"/>
      <c r="Q22" s="305"/>
      <c r="R22" s="305"/>
      <c r="S22" s="305"/>
      <c r="T22" s="305"/>
      <c r="U22" s="301"/>
      <c r="V22" s="301"/>
      <c r="W22" s="301"/>
      <c r="X22" s="306"/>
      <c r="Y22" s="305"/>
      <c r="Z22" s="305"/>
      <c r="AA22" s="305"/>
      <c r="AB22" s="309"/>
      <c r="AC22" s="309"/>
      <c r="AD22" s="309"/>
      <c r="AE22" s="325"/>
      <c r="AF22" s="301"/>
    </row>
    <row r="23" spans="1:32" x14ac:dyDescent="0.25">
      <c r="A23" s="298"/>
      <c r="B23" s="299"/>
      <c r="C23" s="366"/>
      <c r="D23" s="301"/>
      <c r="E23" s="301"/>
      <c r="F23" s="301"/>
      <c r="G23" s="301"/>
      <c r="H23" s="301"/>
      <c r="I23" s="301"/>
      <c r="J23" s="301"/>
      <c r="K23" s="301"/>
      <c r="L23" s="334"/>
      <c r="M23" s="367"/>
      <c r="N23" s="301"/>
      <c r="O23" s="305"/>
      <c r="P23" s="305"/>
      <c r="Q23" s="305"/>
      <c r="R23" s="305"/>
      <c r="S23" s="305"/>
      <c r="T23" s="305"/>
      <c r="U23" s="301"/>
      <c r="V23" s="301"/>
      <c r="W23" s="301"/>
      <c r="X23" s="306"/>
      <c r="Y23" s="305"/>
      <c r="Z23" s="305"/>
      <c r="AA23" s="305"/>
      <c r="AB23" s="309"/>
      <c r="AC23" s="309"/>
      <c r="AD23" s="309"/>
      <c r="AE23" s="325"/>
      <c r="AF23" s="301"/>
    </row>
    <row r="24" spans="1:32" x14ac:dyDescent="0.25">
      <c r="A24" s="298"/>
      <c r="B24" s="299"/>
      <c r="C24" s="326"/>
      <c r="D24" s="301"/>
      <c r="E24" s="301"/>
      <c r="F24" s="301"/>
      <c r="G24" s="301"/>
      <c r="H24" s="301"/>
      <c r="I24" s="301"/>
      <c r="J24" s="301"/>
      <c r="K24" s="301"/>
      <c r="L24" s="334"/>
      <c r="M24" s="301"/>
      <c r="N24" s="301"/>
      <c r="O24" s="305"/>
      <c r="P24" s="305"/>
      <c r="Q24" s="305"/>
      <c r="R24" s="305"/>
      <c r="S24" s="305"/>
      <c r="T24" s="305"/>
      <c r="U24" s="305"/>
      <c r="V24" s="305"/>
      <c r="W24" s="305"/>
      <c r="X24" s="306"/>
      <c r="Y24" s="305"/>
      <c r="Z24" s="305"/>
      <c r="AA24" s="305"/>
      <c r="AB24" s="309"/>
      <c r="AC24" s="309"/>
      <c r="AD24" s="309"/>
      <c r="AE24" s="325"/>
      <c r="AF24" s="301"/>
    </row>
    <row r="25" spans="1:32" x14ac:dyDescent="0.25">
      <c r="A25" s="298"/>
      <c r="B25" s="337" t="s">
        <v>82</v>
      </c>
      <c r="C25" s="301"/>
      <c r="D25" s="301"/>
      <c r="E25" s="301"/>
      <c r="F25" s="301"/>
      <c r="G25" s="301"/>
      <c r="H25" s="301"/>
      <c r="I25" s="301"/>
      <c r="J25" s="301"/>
      <c r="K25" s="301"/>
      <c r="L25" s="334"/>
      <c r="M25" s="305"/>
      <c r="N25" s="301"/>
      <c r="O25" s="305">
        <f>Tabla364[[#This Row],[cant]]*Tabla364[[#This Row],[ $  MERCADO]]</f>
        <v>0</v>
      </c>
      <c r="P25" s="305"/>
      <c r="Q25" s="305"/>
      <c r="R25" s="305"/>
      <c r="S25" s="305"/>
      <c r="T25" s="305">
        <f>Tabla364[[#This Row],[TOTAL $]]*0.21</f>
        <v>0</v>
      </c>
      <c r="U25" s="305"/>
      <c r="V25" s="305"/>
      <c r="W25" s="305"/>
      <c r="X25" s="306">
        <f>SUM(Tabla364[[#This Row],[TOTAL $]:[IVA 21]])</f>
        <v>0</v>
      </c>
      <c r="Y25" s="305"/>
      <c r="Z25" s="305"/>
      <c r="AA25" s="305"/>
      <c r="AB25" s="309"/>
      <c r="AC25" s="309"/>
      <c r="AD25" s="309"/>
      <c r="AE25" s="325"/>
      <c r="AF25" s="301"/>
    </row>
    <row r="26" spans="1:32" x14ac:dyDescent="0.25">
      <c r="A26" s="298"/>
      <c r="B26" s="337"/>
      <c r="C26" s="301"/>
      <c r="D26" s="301"/>
      <c r="E26" s="301"/>
      <c r="F26" s="301"/>
      <c r="G26" s="301"/>
      <c r="H26" s="301"/>
      <c r="I26" s="301"/>
      <c r="J26" s="301"/>
      <c r="K26" s="301"/>
      <c r="L26" s="334"/>
      <c r="M26" s="305"/>
      <c r="N26" s="301"/>
      <c r="O26" s="305"/>
      <c r="P26" s="305"/>
      <c r="Q26" s="305"/>
      <c r="R26" s="305"/>
      <c r="S26" s="305"/>
      <c r="T26" s="305"/>
      <c r="U26" s="305"/>
      <c r="V26" s="305"/>
      <c r="W26" s="305"/>
      <c r="X26" s="306"/>
      <c r="Y26" s="305"/>
      <c r="Z26" s="305"/>
      <c r="AA26" s="305"/>
      <c r="AB26" s="309"/>
      <c r="AC26" s="309"/>
      <c r="AD26" s="309"/>
      <c r="AE26" s="325"/>
      <c r="AF26" s="301"/>
    </row>
    <row r="27" spans="1:32" x14ac:dyDescent="0.25">
      <c r="A27" s="298"/>
      <c r="B27" s="337"/>
      <c r="C27" s="301"/>
      <c r="D27" s="301"/>
      <c r="E27" s="301"/>
      <c r="F27" s="301"/>
      <c r="G27" s="301"/>
      <c r="H27" s="301"/>
      <c r="I27" s="301"/>
      <c r="J27" s="301"/>
      <c r="K27" s="301"/>
      <c r="L27" s="334"/>
      <c r="M27" s="305"/>
      <c r="N27" s="301"/>
      <c r="O27" s="305"/>
      <c r="P27" s="305"/>
      <c r="Q27" s="305"/>
      <c r="R27" s="305"/>
      <c r="S27" s="305"/>
      <c r="T27" s="305"/>
      <c r="U27" s="305"/>
      <c r="V27" s="305"/>
      <c r="W27" s="305"/>
      <c r="X27" s="306"/>
      <c r="Y27" s="305"/>
      <c r="Z27" s="305"/>
      <c r="AA27" s="305"/>
      <c r="AB27" s="309"/>
      <c r="AC27" s="309"/>
      <c r="AD27" s="309"/>
      <c r="AE27" s="325"/>
      <c r="AF27" s="301"/>
    </row>
    <row r="28" spans="1:32" x14ac:dyDescent="0.25">
      <c r="A28" s="298"/>
      <c r="B28" s="337"/>
      <c r="C28" s="301"/>
      <c r="D28" s="301"/>
      <c r="E28" s="301"/>
      <c r="F28" s="301"/>
      <c r="G28" s="301"/>
      <c r="H28" s="301"/>
      <c r="I28" s="301"/>
      <c r="J28" s="301"/>
      <c r="K28" s="301"/>
      <c r="L28" s="334"/>
      <c r="M28" s="305"/>
      <c r="N28" s="301"/>
      <c r="O28" s="305"/>
      <c r="P28" s="305"/>
      <c r="Q28" s="305"/>
      <c r="R28" s="305"/>
      <c r="S28" s="305"/>
      <c r="T28" s="305"/>
      <c r="U28" s="305"/>
      <c r="V28" s="305"/>
      <c r="W28" s="305"/>
      <c r="X28" s="306"/>
      <c r="Y28" s="305"/>
      <c r="Z28" s="305"/>
      <c r="AA28" s="305"/>
      <c r="AB28" s="309"/>
      <c r="AC28" s="309"/>
      <c r="AD28" s="309"/>
      <c r="AE28" s="325"/>
      <c r="AF28" s="301"/>
    </row>
    <row r="29" spans="1:32" x14ac:dyDescent="0.25">
      <c r="A29" s="298"/>
      <c r="B29" s="337"/>
      <c r="C29" s="301"/>
      <c r="D29" s="301"/>
      <c r="E29" s="301"/>
      <c r="F29" s="301"/>
      <c r="G29" s="301"/>
      <c r="H29" s="301"/>
      <c r="I29" s="301"/>
      <c r="J29" s="301"/>
      <c r="K29" s="301"/>
      <c r="L29" s="334"/>
      <c r="M29" s="305"/>
      <c r="N29" s="301"/>
      <c r="O29" s="305"/>
      <c r="P29" s="305"/>
      <c r="Q29" s="305"/>
      <c r="R29" s="305"/>
      <c r="S29" s="305"/>
      <c r="T29" s="305"/>
      <c r="U29" s="305"/>
      <c r="V29" s="305"/>
      <c r="W29" s="305"/>
      <c r="X29" s="306"/>
      <c r="Y29" s="305"/>
      <c r="Z29" s="305"/>
      <c r="AA29" s="305"/>
      <c r="AB29" s="309"/>
      <c r="AC29" s="309"/>
      <c r="AD29" s="309"/>
      <c r="AE29" s="325"/>
      <c r="AF29" s="301"/>
    </row>
    <row r="30" spans="1:32" x14ac:dyDescent="0.25">
      <c r="A30" s="298"/>
      <c r="B30" s="337"/>
      <c r="C30" s="301"/>
      <c r="D30" s="301"/>
      <c r="E30" s="301"/>
      <c r="F30" s="301"/>
      <c r="G30" s="301"/>
      <c r="H30" s="301"/>
      <c r="I30" s="301"/>
      <c r="J30" s="301"/>
      <c r="K30" s="301"/>
      <c r="L30" s="334"/>
      <c r="M30" s="305"/>
      <c r="N30" s="301"/>
      <c r="O30" s="305"/>
      <c r="P30" s="305"/>
      <c r="Q30" s="305"/>
      <c r="R30" s="305"/>
      <c r="S30" s="305"/>
      <c r="T30" s="305"/>
      <c r="U30" s="305"/>
      <c r="V30" s="305"/>
      <c r="W30" s="305"/>
      <c r="X30" s="306"/>
      <c r="Y30" s="305"/>
      <c r="Z30" s="305"/>
      <c r="AA30" s="305"/>
      <c r="AB30" s="309"/>
      <c r="AC30" s="309"/>
      <c r="AD30" s="309"/>
      <c r="AE30" s="325"/>
      <c r="AF30" s="301"/>
    </row>
    <row r="31" spans="1:32" x14ac:dyDescent="0.25">
      <c r="A31" s="298"/>
      <c r="B31" s="337"/>
      <c r="C31" s="301"/>
      <c r="D31" s="301"/>
      <c r="E31" s="301"/>
      <c r="F31" s="301"/>
      <c r="G31" s="301"/>
      <c r="H31" s="301"/>
      <c r="I31" s="301"/>
      <c r="J31" s="301"/>
      <c r="K31" s="301"/>
      <c r="L31" s="334"/>
      <c r="M31" s="305"/>
      <c r="N31" s="301"/>
      <c r="O31" s="305"/>
      <c r="P31" s="305"/>
      <c r="Q31" s="305"/>
      <c r="R31" s="305"/>
      <c r="S31" s="305"/>
      <c r="T31" s="305"/>
      <c r="U31" s="305"/>
      <c r="V31" s="305"/>
      <c r="W31" s="305"/>
      <c r="X31" s="306"/>
      <c r="Y31" s="305"/>
      <c r="Z31" s="305"/>
      <c r="AA31" s="305"/>
      <c r="AB31" s="309"/>
      <c r="AC31" s="309"/>
      <c r="AD31" s="309"/>
      <c r="AE31" s="325"/>
      <c r="AF31" s="301"/>
    </row>
    <row r="32" spans="1:32" x14ac:dyDescent="0.25">
      <c r="A32" s="298"/>
      <c r="B32" s="337" t="s">
        <v>62</v>
      </c>
      <c r="C32" s="301"/>
      <c r="D32" s="301"/>
      <c r="E32" s="301"/>
      <c r="F32" s="301"/>
      <c r="G32" s="301"/>
      <c r="H32" s="301"/>
      <c r="I32" s="301"/>
      <c r="J32" s="301"/>
      <c r="K32" s="301"/>
      <c r="L32" s="334"/>
      <c r="M32" s="305"/>
      <c r="N32" s="301"/>
      <c r="O32" s="305"/>
      <c r="P32" s="305"/>
      <c r="Q32" s="305"/>
      <c r="R32" s="305"/>
      <c r="S32" s="305"/>
      <c r="T32" s="305"/>
      <c r="U32" s="305"/>
      <c r="V32" s="305"/>
      <c r="W32" s="305"/>
      <c r="X32" s="368"/>
      <c r="Y32" s="305"/>
      <c r="Z32" s="305"/>
      <c r="AA32" s="305"/>
      <c r="AB32" s="309"/>
      <c r="AC32" s="309"/>
      <c r="AD32" s="309"/>
      <c r="AE32" s="325"/>
      <c r="AF32" s="301"/>
    </row>
    <row r="33" spans="1:32" x14ac:dyDescent="0.25">
      <c r="A33" s="298"/>
      <c r="B33" s="301"/>
      <c r="C33" s="326"/>
      <c r="D33" s="301"/>
      <c r="E33" s="301"/>
      <c r="F33" s="301"/>
      <c r="G33" s="301"/>
      <c r="H33" s="301"/>
      <c r="I33" s="301"/>
      <c r="J33" s="301"/>
      <c r="K33" s="301"/>
      <c r="L33" s="334"/>
      <c r="M33" s="305"/>
      <c r="N33" s="301"/>
      <c r="O33" s="305"/>
      <c r="P33" s="305"/>
      <c r="Q33" s="305"/>
      <c r="R33" s="305"/>
      <c r="S33" s="305"/>
      <c r="T33" s="305"/>
      <c r="U33" s="305"/>
      <c r="V33" s="305"/>
      <c r="W33" s="305"/>
      <c r="X33" s="368"/>
      <c r="Y33" s="305"/>
      <c r="Z33" s="305"/>
      <c r="AA33" s="305"/>
      <c r="AB33" s="309"/>
      <c r="AC33" s="309"/>
      <c r="AD33" s="309"/>
      <c r="AE33" s="325"/>
      <c r="AF33" s="301"/>
    </row>
    <row r="34" spans="1:32" x14ac:dyDescent="0.25">
      <c r="A34" s="298"/>
      <c r="B34" s="337" t="s">
        <v>333</v>
      </c>
      <c r="C34" s="301"/>
      <c r="D34" s="301"/>
      <c r="E34" s="301"/>
      <c r="F34" s="301"/>
      <c r="G34" s="301"/>
      <c r="H34" s="301"/>
      <c r="I34" s="301"/>
      <c r="J34" s="301"/>
      <c r="K34" s="301"/>
      <c r="L34" s="334"/>
      <c r="M34" s="305"/>
      <c r="N34" s="301"/>
      <c r="O34" s="305"/>
      <c r="P34" s="305"/>
      <c r="Q34" s="305"/>
      <c r="R34" s="305"/>
      <c r="S34" s="305"/>
      <c r="T34" s="305"/>
      <c r="U34" s="305"/>
      <c r="V34" s="305"/>
      <c r="W34" s="305"/>
      <c r="X34" s="368"/>
      <c r="Y34" s="305"/>
      <c r="Z34" s="305"/>
      <c r="AA34" s="305"/>
      <c r="AB34" s="309"/>
      <c r="AC34" s="309"/>
      <c r="AD34" s="309"/>
      <c r="AE34" s="325"/>
      <c r="AF34" s="301"/>
    </row>
    <row r="35" spans="1:32" x14ac:dyDescent="0.25">
      <c r="A35" s="298"/>
      <c r="B35" s="301"/>
      <c r="C35" s="326" t="s">
        <v>883</v>
      </c>
      <c r="D35" s="301" t="s">
        <v>105</v>
      </c>
      <c r="E35" s="301"/>
      <c r="F35" s="301"/>
      <c r="G35" s="301"/>
      <c r="H35" s="301"/>
      <c r="I35" s="301"/>
      <c r="J35" s="301"/>
      <c r="K35" s="301">
        <v>350</v>
      </c>
      <c r="L35" s="334"/>
      <c r="M35" s="301">
        <v>11.8</v>
      </c>
      <c r="N35" s="305" t="s">
        <v>884</v>
      </c>
      <c r="O35" s="305">
        <f>Tabla364[[#This Row],[ $  MERCADO]]*Tabla364[[#This Row],[KG NETOS TOT]]*Tabla364[[#This Row],[TC $/U$s]]</f>
        <v>3386600</v>
      </c>
      <c r="P35" s="305"/>
      <c r="Q35" s="305"/>
      <c r="R35" s="305"/>
      <c r="S35" s="305"/>
      <c r="T35" s="305"/>
      <c r="U35" s="305"/>
      <c r="V35" s="305"/>
      <c r="W35" s="305"/>
      <c r="X35" s="368">
        <f>SUM(Tabla364[[#This Row],[TOTAL $]:[Semovientes Bs.As. ag.4-88-0003-9]])</f>
        <v>3386600</v>
      </c>
      <c r="Y35" s="371"/>
      <c r="Z35" s="305">
        <v>820</v>
      </c>
      <c r="AA35" s="372"/>
      <c r="AB35" s="309">
        <f>SUM(Tabla364[[#This Row],[TOTAL C/IVA ]:[PERCEPCION-RETENCIONES]])/Tabla364[[#This Row],[TC $/U$s]]</f>
        <v>4130</v>
      </c>
      <c r="AC35" s="324"/>
      <c r="AD35" s="324"/>
      <c r="AE35" s="325"/>
      <c r="AF35" s="301"/>
    </row>
    <row r="36" spans="1:32" x14ac:dyDescent="0.25">
      <c r="A36" s="298">
        <v>45345</v>
      </c>
      <c r="B36" s="301"/>
      <c r="C36" s="326" t="s">
        <v>41</v>
      </c>
      <c r="D36" s="301"/>
      <c r="E36" s="301">
        <v>53</v>
      </c>
      <c r="F36" s="301"/>
      <c r="G36" s="301"/>
      <c r="H36" s="301"/>
      <c r="I36" s="301"/>
      <c r="J36" s="301"/>
      <c r="K36" s="301"/>
      <c r="L36" s="334"/>
      <c r="M36" s="301">
        <v>16500</v>
      </c>
      <c r="N36" s="305" t="s">
        <v>885</v>
      </c>
      <c r="O36" s="305">
        <f>Tabla364[[#This Row],[ $  MERCADO]]*Tabla364[[#This Row],[cant]]</f>
        <v>874500</v>
      </c>
      <c r="P36" s="305"/>
      <c r="Q36" s="305"/>
      <c r="R36" s="305"/>
      <c r="S36" s="305"/>
      <c r="T36" s="305"/>
      <c r="U36" s="305"/>
      <c r="V36" s="305"/>
      <c r="W36" s="305"/>
      <c r="X36" s="368">
        <f>SUM(Tabla364[[#This Row],[TOTAL $]:[Semovientes Bs.As. ag.4-88-0003-9]])</f>
        <v>874500</v>
      </c>
      <c r="Y36" s="371"/>
      <c r="Z36" s="305">
        <v>820</v>
      </c>
      <c r="AA36" s="373"/>
      <c r="AB36" s="309">
        <f>SUM(Tabla364[[#This Row],[TOTAL C/IVA ]:[PERCEPCION-RETENCIONES]])/Tabla364[[#This Row],[TC $/U$s]]</f>
        <v>1066.4634146341464</v>
      </c>
      <c r="AC36" s="324"/>
      <c r="AD36" s="324"/>
      <c r="AE36" s="325"/>
      <c r="AF36" s="301"/>
    </row>
    <row r="37" spans="1:32" x14ac:dyDescent="0.25">
      <c r="A37" s="298">
        <v>45363</v>
      </c>
      <c r="B37" s="301"/>
      <c r="C37" s="326" t="s">
        <v>325</v>
      </c>
      <c r="D37" s="301">
        <v>25</v>
      </c>
      <c r="E37" s="301"/>
      <c r="F37" s="301"/>
      <c r="G37" s="301"/>
      <c r="H37" s="301"/>
      <c r="I37" s="301"/>
      <c r="J37" s="301"/>
      <c r="K37" s="301"/>
      <c r="L37" s="334"/>
      <c r="M37" s="301">
        <v>238</v>
      </c>
      <c r="N37" s="305" t="s">
        <v>886</v>
      </c>
      <c r="O37" s="305">
        <f>Tabla364[[#This Row],[ $  MERCADO]]*Tabla364[[#This Row],[HAS destinadas]]*Tabla364[[#This Row],[TC $/U$s]]</f>
        <v>5652500</v>
      </c>
      <c r="P37" s="305"/>
      <c r="Q37" s="305"/>
      <c r="R37" s="305"/>
      <c r="S37" s="305"/>
      <c r="T37" s="305"/>
      <c r="U37" s="305"/>
      <c r="V37" s="305"/>
      <c r="W37" s="305"/>
      <c r="X37" s="368">
        <f>SUM(Tabla364[[#This Row],[TOTAL $]:[Semovientes Bs.As. ag.4-88-0003-9]])</f>
        <v>5652500</v>
      </c>
      <c r="Y37" s="371"/>
      <c r="Z37" s="305">
        <v>950</v>
      </c>
      <c r="AA37" s="373"/>
      <c r="AB37" s="309">
        <f>SUM(Tabla364[[#This Row],[TOTAL C/IVA ]:[PERCEPCION-RETENCIONES]])/Tabla364[[#This Row],[TC $/U$s]]</f>
        <v>5950</v>
      </c>
      <c r="AC37" s="324"/>
      <c r="AD37" s="324"/>
      <c r="AE37" s="325"/>
      <c r="AF37" s="301"/>
    </row>
    <row r="38" spans="1:32" x14ac:dyDescent="0.25">
      <c r="A38" s="298">
        <v>45363</v>
      </c>
      <c r="B38" s="301"/>
      <c r="C38" s="326" t="s">
        <v>322</v>
      </c>
      <c r="D38" s="301"/>
      <c r="E38" s="301">
        <v>278</v>
      </c>
      <c r="F38" s="301"/>
      <c r="G38" s="301"/>
      <c r="H38" s="301"/>
      <c r="I38" s="301"/>
      <c r="J38" s="301"/>
      <c r="K38" s="301"/>
      <c r="L38" s="334"/>
      <c r="M38" s="301">
        <v>31</v>
      </c>
      <c r="N38" s="305" t="s">
        <v>887</v>
      </c>
      <c r="O38" s="305">
        <f>Tabla364[[#This Row],[ $  MERCADO]]*Tabla364[[#This Row],[cant]]*Tabla364[[#This Row],[TC $/U$s]]</f>
        <v>8187100</v>
      </c>
      <c r="P38" s="305"/>
      <c r="Q38" s="305"/>
      <c r="R38" s="305"/>
      <c r="S38" s="301"/>
      <c r="T38" s="305"/>
      <c r="U38" s="305"/>
      <c r="V38" s="305"/>
      <c r="W38" s="305"/>
      <c r="X38" s="368">
        <f>SUM(Tabla364[[#This Row],[TOTAL $]:[Semovientes Bs.As. ag.4-88-0003-9]])</f>
        <v>8187100</v>
      </c>
      <c r="Y38" s="371"/>
      <c r="Z38" s="305">
        <v>950</v>
      </c>
      <c r="AA38" s="373"/>
      <c r="AB38" s="309">
        <f>SUM(Tabla364[[#This Row],[TOTAL C/IVA ]:[PERCEPCION-RETENCIONES]])/Tabla364[[#This Row],[TC $/U$s]]</f>
        <v>8618</v>
      </c>
      <c r="AC38" s="324"/>
      <c r="AD38" s="324"/>
      <c r="AE38" s="325"/>
      <c r="AF38" s="301"/>
    </row>
    <row r="39" spans="1:32" x14ac:dyDescent="0.25">
      <c r="A39" s="298">
        <v>45363</v>
      </c>
      <c r="B39" s="301"/>
      <c r="C39" s="326" t="s">
        <v>888</v>
      </c>
      <c r="D39" s="301"/>
      <c r="E39" s="301">
        <v>4</v>
      </c>
      <c r="F39" s="301"/>
      <c r="G39" s="301"/>
      <c r="H39" s="301"/>
      <c r="I39" s="301"/>
      <c r="J39" s="301"/>
      <c r="K39" s="301"/>
      <c r="L39" s="334"/>
      <c r="M39" s="301">
        <v>483800</v>
      </c>
      <c r="N39" s="305" t="s">
        <v>889</v>
      </c>
      <c r="O39" s="305">
        <f>Tabla364[[#This Row],[ $  MERCADO]]*Tabla364[[#This Row],[cant]]</f>
        <v>1935200</v>
      </c>
      <c r="P39" s="305"/>
      <c r="Q39" s="305"/>
      <c r="R39" s="301"/>
      <c r="S39" s="365">
        <f>Tabla364[[#This Row],[TOTAL $]]*0.21</f>
        <v>406392</v>
      </c>
      <c r="T39" s="305"/>
      <c r="U39" s="305"/>
      <c r="V39" s="305"/>
      <c r="W39" s="305"/>
      <c r="X39" s="368">
        <f>SUM(Tabla364[[#This Row],[TOTAL $]:[Semovientes Bs.As. ag.4-88-0003-9]])</f>
        <v>2341592</v>
      </c>
      <c r="Y39" s="305">
        <v>57862.479999999996</v>
      </c>
      <c r="Z39" s="305">
        <v>820</v>
      </c>
      <c r="AA39" s="373"/>
      <c r="AB39" s="309">
        <f>SUM(Tabla364[[#This Row],[TOTAL C/IVA ]:[PERCEPCION-RETENCIONES]])/Tabla364[[#This Row],[TC $/U$s]]</f>
        <v>2926.1639999999998</v>
      </c>
      <c r="AC39" s="324"/>
      <c r="AD39" s="324"/>
      <c r="AE39" s="325"/>
      <c r="AF39" s="301"/>
    </row>
    <row r="40" spans="1:32" x14ac:dyDescent="0.25">
      <c r="A40" s="298"/>
      <c r="B40" s="301"/>
      <c r="C40" s="320"/>
      <c r="D40" s="301"/>
      <c r="E40" s="301"/>
      <c r="F40" s="301"/>
      <c r="G40" s="301"/>
      <c r="H40" s="301"/>
      <c r="I40" s="301"/>
      <c r="J40" s="301"/>
      <c r="K40" s="301"/>
      <c r="L40" s="334"/>
      <c r="M40" s="301"/>
      <c r="N40" s="301"/>
      <c r="O40" s="305"/>
      <c r="P40" s="305"/>
      <c r="Q40" s="305"/>
      <c r="R40" s="305"/>
      <c r="S40" s="305"/>
      <c r="T40" s="305"/>
      <c r="U40" s="305"/>
      <c r="V40" s="305"/>
      <c r="W40" s="305"/>
      <c r="X40" s="370"/>
      <c r="Y40" s="371"/>
      <c r="Z40" s="305"/>
      <c r="AA40" s="373"/>
      <c r="AB40" s="309"/>
      <c r="AC40" s="324"/>
      <c r="AD40" s="324"/>
      <c r="AE40" s="325"/>
      <c r="AF40" s="301"/>
    </row>
    <row r="41" spans="1:32" x14ac:dyDescent="0.25">
      <c r="A41" s="298"/>
      <c r="B41" s="301"/>
      <c r="C41" s="320"/>
      <c r="D41" s="301"/>
      <c r="E41" s="301"/>
      <c r="F41" s="301"/>
      <c r="G41" s="301"/>
      <c r="H41" s="301"/>
      <c r="I41" s="301"/>
      <c r="J41" s="301"/>
      <c r="K41" s="301"/>
      <c r="L41" s="334"/>
      <c r="M41" s="305"/>
      <c r="N41" s="301"/>
      <c r="O41" s="305"/>
      <c r="P41" s="305"/>
      <c r="Q41" s="305"/>
      <c r="R41" s="305"/>
      <c r="S41" s="305"/>
      <c r="T41" s="305"/>
      <c r="U41" s="305"/>
      <c r="V41" s="305"/>
      <c r="W41" s="305"/>
      <c r="X41" s="370"/>
      <c r="Y41" s="371"/>
      <c r="Z41" s="305"/>
      <c r="AA41" s="373"/>
      <c r="AB41" s="309"/>
      <c r="AC41" s="324"/>
      <c r="AD41" s="324"/>
      <c r="AE41" s="325"/>
      <c r="AF41" s="301"/>
    </row>
    <row r="42" spans="1:32" x14ac:dyDescent="0.25">
      <c r="A42" s="298"/>
      <c r="B42" s="301"/>
      <c r="C42" s="320"/>
      <c r="D42" s="301"/>
      <c r="E42" s="301"/>
      <c r="F42" s="301"/>
      <c r="G42" s="301"/>
      <c r="H42" s="301"/>
      <c r="I42" s="301"/>
      <c r="J42" s="301"/>
      <c r="K42" s="301"/>
      <c r="L42" s="334"/>
      <c r="M42" s="305"/>
      <c r="N42" s="301"/>
      <c r="O42" s="305"/>
      <c r="P42" s="305"/>
      <c r="Q42" s="305"/>
      <c r="R42" s="305"/>
      <c r="S42" s="305"/>
      <c r="T42" s="305"/>
      <c r="U42" s="305"/>
      <c r="V42" s="305"/>
      <c r="W42" s="305"/>
      <c r="X42" s="370"/>
      <c r="Y42" s="371"/>
      <c r="Z42" s="301"/>
      <c r="AA42" s="373"/>
      <c r="AB42" s="324"/>
      <c r="AC42" s="324"/>
      <c r="AD42" s="324"/>
      <c r="AE42" s="325"/>
      <c r="AF42" s="301"/>
    </row>
    <row r="43" spans="1:32" x14ac:dyDescent="0.25">
      <c r="A43" s="298"/>
      <c r="B43" s="374" t="s">
        <v>773</v>
      </c>
      <c r="C43" s="369"/>
      <c r="D43" s="301"/>
      <c r="E43" s="301"/>
      <c r="F43" s="301"/>
      <c r="G43" s="301"/>
      <c r="H43" s="301"/>
      <c r="I43" s="301"/>
      <c r="J43" s="301"/>
      <c r="K43" s="301"/>
      <c r="L43" s="334"/>
      <c r="M43" s="305"/>
      <c r="N43" s="301"/>
      <c r="O43" s="305"/>
      <c r="P43" s="305"/>
      <c r="Q43" s="305"/>
      <c r="R43" s="305"/>
      <c r="S43" s="305"/>
      <c r="T43" s="305"/>
      <c r="U43" s="305"/>
      <c r="V43" s="305"/>
      <c r="W43" s="305"/>
      <c r="X43" s="306"/>
      <c r="Y43" s="305"/>
      <c r="Z43" s="305"/>
      <c r="AA43" s="301"/>
      <c r="AB43" s="324"/>
      <c r="AC43" s="324"/>
      <c r="AD43" s="324"/>
      <c r="AE43" s="325"/>
      <c r="AF43" s="301"/>
    </row>
    <row r="44" spans="1:32" x14ac:dyDescent="0.25">
      <c r="A44" s="298"/>
      <c r="B44" s="301"/>
      <c r="C44" s="369"/>
      <c r="D44" s="301"/>
      <c r="E44" s="301"/>
      <c r="F44" s="301"/>
      <c r="G44" s="301"/>
      <c r="H44" s="301"/>
      <c r="I44" s="301"/>
      <c r="J44" s="301"/>
      <c r="K44" s="301"/>
      <c r="L44" s="334"/>
      <c r="M44" s="301"/>
      <c r="N44" s="301"/>
      <c r="O44" s="305"/>
      <c r="P44" s="305"/>
      <c r="Q44" s="305"/>
      <c r="R44" s="305"/>
      <c r="S44" s="305"/>
      <c r="T44" s="305"/>
      <c r="U44" s="305"/>
      <c r="V44" s="305"/>
      <c r="W44" s="305"/>
      <c r="X44" s="306"/>
      <c r="Y44" s="305"/>
      <c r="Z44" s="305"/>
      <c r="AA44" s="301"/>
      <c r="AB44" s="324"/>
      <c r="AC44" s="324"/>
      <c r="AD44" s="324"/>
      <c r="AE44" s="325"/>
      <c r="AF44" s="301"/>
    </row>
    <row r="45" spans="1:32" x14ac:dyDescent="0.25">
      <c r="A45" s="298"/>
      <c r="B45" s="301"/>
      <c r="C45" s="299"/>
      <c r="D45" s="299"/>
      <c r="E45" s="301"/>
      <c r="F45" s="301"/>
      <c r="G45" s="301"/>
      <c r="H45" s="301"/>
      <c r="I45" s="301"/>
      <c r="J45" s="301"/>
      <c r="K45" s="301"/>
      <c r="L45" s="334"/>
      <c r="M45" s="305"/>
      <c r="N45" s="301"/>
      <c r="O45" s="305"/>
      <c r="P45" s="305"/>
      <c r="Q45" s="305"/>
      <c r="R45" s="301"/>
      <c r="S45" s="301"/>
      <c r="T45" s="365"/>
      <c r="U45" s="301"/>
      <c r="V45" s="301"/>
      <c r="W45" s="301"/>
      <c r="X45" s="368"/>
      <c r="Y45" s="365"/>
      <c r="Z45" s="305"/>
      <c r="AA45" s="305"/>
      <c r="AB45" s="336"/>
      <c r="AC45" s="336"/>
      <c r="AD45" s="336"/>
      <c r="AE45" s="325"/>
      <c r="AF45" s="301"/>
    </row>
    <row r="46" spans="1:32" x14ac:dyDescent="0.25">
      <c r="A46" s="375" t="s">
        <v>774</v>
      </c>
      <c r="B46" s="289"/>
      <c r="C46" s="313"/>
      <c r="D46" s="313"/>
      <c r="E46" s="313"/>
      <c r="F46" s="313"/>
      <c r="G46" s="313"/>
      <c r="H46" s="313"/>
      <c r="I46" s="313"/>
      <c r="J46" s="313"/>
      <c r="K46" s="313"/>
      <c r="L46" s="314"/>
      <c r="M46" s="315"/>
      <c r="N46" s="313"/>
      <c r="O46" s="316">
        <f>SUM(O47:O54)</f>
        <v>0</v>
      </c>
      <c r="P46" s="316"/>
      <c r="Q46" s="316"/>
      <c r="R46" s="315">
        <f>SUM(R47:R48)</f>
        <v>0</v>
      </c>
      <c r="S46" s="315">
        <f>SUM(S47:S48)</f>
        <v>0</v>
      </c>
      <c r="T46" s="315"/>
      <c r="U46" s="315">
        <f>SUM(U47:U48)</f>
        <v>0</v>
      </c>
      <c r="V46" s="315"/>
      <c r="W46" s="315"/>
      <c r="X46" s="376">
        <f>Tabla364[[#This Row],[TOTAL $]]+Tabla364[[#This Row],[IVA 21]]+Tabla364[[#This Row],[PERCEPCION-RETENCIONES]]</f>
        <v>0</v>
      </c>
      <c r="Y46" s="315"/>
      <c r="Z46" s="315"/>
      <c r="AA46" s="313"/>
      <c r="AB46" s="318">
        <f>SUM(AB47:AB54)</f>
        <v>0</v>
      </c>
      <c r="AC46" s="318"/>
      <c r="AD46" s="318"/>
      <c r="AE46" s="377"/>
      <c r="AF46" s="313"/>
    </row>
    <row r="47" spans="1:32" x14ac:dyDescent="0.25">
      <c r="A47" s="298"/>
      <c r="B47" s="378" t="s">
        <v>50</v>
      </c>
      <c r="C47" s="302"/>
      <c r="D47" s="301"/>
      <c r="E47" s="301"/>
      <c r="F47" s="301"/>
      <c r="G47" s="301"/>
      <c r="H47" s="301"/>
      <c r="I47" s="301"/>
      <c r="J47" s="301"/>
      <c r="K47" s="301"/>
      <c r="L47" s="334"/>
      <c r="M47" s="305"/>
      <c r="N47" s="301"/>
      <c r="O47" s="305"/>
      <c r="P47" s="305"/>
      <c r="Q47" s="305"/>
      <c r="R47" s="305"/>
      <c r="S47" s="305"/>
      <c r="T47" s="305"/>
      <c r="U47" s="305"/>
      <c r="V47" s="305"/>
      <c r="W47" s="305"/>
      <c r="X47" s="379">
        <f>Tabla364[[#This Row],[TOTAL $]]+Tabla364[[#This Row],[IVA 21]]+Tabla364[[#This Row],[PERCEPCION-RETENCIONES]]</f>
        <v>0</v>
      </c>
      <c r="Y47" s="305"/>
      <c r="Z47" s="305"/>
      <c r="AA47" s="305"/>
      <c r="AB47" s="309"/>
      <c r="AC47" s="309"/>
      <c r="AD47" s="309"/>
      <c r="AE47" s="325"/>
      <c r="AF47" s="301"/>
    </row>
    <row r="48" spans="1:32" x14ac:dyDescent="0.25">
      <c r="A48" s="298"/>
      <c r="B48" s="301"/>
      <c r="C48" s="326"/>
      <c r="D48" s="301"/>
      <c r="E48" s="301"/>
      <c r="F48" s="301"/>
      <c r="G48" s="301"/>
      <c r="H48" s="301"/>
      <c r="I48" s="301"/>
      <c r="J48" s="301"/>
      <c r="K48" s="301"/>
      <c r="L48" s="334"/>
      <c r="M48" s="305"/>
      <c r="N48" s="301"/>
      <c r="O48" s="305"/>
      <c r="P48" s="305"/>
      <c r="Q48" s="305"/>
      <c r="R48" s="305"/>
      <c r="S48" s="305"/>
      <c r="T48" s="305"/>
      <c r="U48" s="305"/>
      <c r="V48" s="305"/>
      <c r="W48" s="305"/>
      <c r="X48" s="379"/>
      <c r="Y48" s="305"/>
      <c r="Z48" s="305"/>
      <c r="AA48" s="305"/>
      <c r="AB48" s="309"/>
      <c r="AC48" s="309"/>
      <c r="AD48" s="309"/>
      <c r="AE48" s="325"/>
      <c r="AF48" s="301"/>
    </row>
    <row r="49" spans="1:32" x14ac:dyDescent="0.25">
      <c r="A49" s="298"/>
      <c r="B49" s="378" t="s">
        <v>775</v>
      </c>
      <c r="C49" s="302"/>
      <c r="D49" s="301"/>
      <c r="E49" s="301"/>
      <c r="F49" s="301"/>
      <c r="G49" s="301"/>
      <c r="H49" s="301"/>
      <c r="I49" s="301"/>
      <c r="J49" s="301"/>
      <c r="K49" s="301"/>
      <c r="L49" s="334"/>
      <c r="M49" s="305"/>
      <c r="N49" s="301"/>
      <c r="O49" s="305"/>
      <c r="P49" s="305"/>
      <c r="Q49" s="305"/>
      <c r="R49" s="305"/>
      <c r="S49" s="305"/>
      <c r="T49" s="305"/>
      <c r="U49" s="305"/>
      <c r="V49" s="305"/>
      <c r="W49" s="305"/>
      <c r="X49" s="379">
        <f>Tabla364[[#This Row],[TOTAL $]]+Tabla364[[#This Row],[IVA 21]]+Tabla364[[#This Row],[PERCEPCION-RETENCIONES]]</f>
        <v>0</v>
      </c>
      <c r="Y49" s="305"/>
      <c r="Z49" s="305"/>
      <c r="AA49" s="380"/>
      <c r="AB49" s="309"/>
      <c r="AC49" s="309"/>
      <c r="AD49" s="309"/>
      <c r="AE49" s="325"/>
      <c r="AF49" s="301"/>
    </row>
    <row r="50" spans="1:32" x14ac:dyDescent="0.25">
      <c r="A50" s="298"/>
      <c r="B50" s="301"/>
      <c r="C50" s="326"/>
      <c r="D50" s="301"/>
      <c r="E50" s="301"/>
      <c r="F50" s="301"/>
      <c r="G50" s="301"/>
      <c r="H50" s="301"/>
      <c r="I50" s="301"/>
      <c r="J50" s="301"/>
      <c r="K50" s="301"/>
      <c r="L50" s="334"/>
      <c r="M50" s="305"/>
      <c r="N50" s="301"/>
      <c r="O50" s="305"/>
      <c r="P50" s="305"/>
      <c r="Q50" s="305"/>
      <c r="R50" s="305"/>
      <c r="S50" s="305"/>
      <c r="T50" s="305"/>
      <c r="U50" s="305"/>
      <c r="V50" s="305"/>
      <c r="W50" s="305"/>
      <c r="X50" s="379"/>
      <c r="Y50" s="305"/>
      <c r="Z50" s="305"/>
      <c r="AA50" s="380"/>
      <c r="AB50" s="309"/>
      <c r="AC50" s="309"/>
      <c r="AD50" s="309"/>
      <c r="AE50" s="325"/>
      <c r="AF50" s="301"/>
    </row>
    <row r="51" spans="1:32" x14ac:dyDescent="0.25">
      <c r="A51" s="298"/>
      <c r="B51" s="301"/>
      <c r="C51" s="326"/>
      <c r="D51" s="301"/>
      <c r="E51" s="301"/>
      <c r="F51" s="301"/>
      <c r="G51" s="301"/>
      <c r="H51" s="301"/>
      <c r="I51" s="301"/>
      <c r="J51" s="301"/>
      <c r="K51" s="301"/>
      <c r="L51" s="334"/>
      <c r="M51" s="305"/>
      <c r="N51" s="301"/>
      <c r="O51" s="305"/>
      <c r="P51" s="305"/>
      <c r="Q51" s="305"/>
      <c r="R51" s="305"/>
      <c r="S51" s="305"/>
      <c r="T51" s="305"/>
      <c r="U51" s="305"/>
      <c r="V51" s="305"/>
      <c r="W51" s="305"/>
      <c r="X51" s="379"/>
      <c r="Y51" s="305"/>
      <c r="Z51" s="305"/>
      <c r="AA51" s="380"/>
      <c r="AB51" s="309"/>
      <c r="AC51" s="309"/>
      <c r="AD51" s="309"/>
      <c r="AE51" s="325"/>
      <c r="AF51" s="301"/>
    </row>
    <row r="52" spans="1:32" x14ac:dyDescent="0.25">
      <c r="A52" s="298"/>
      <c r="B52" s="301"/>
      <c r="C52" s="326"/>
      <c r="D52" s="301"/>
      <c r="E52" s="301"/>
      <c r="F52" s="301"/>
      <c r="G52" s="301"/>
      <c r="H52" s="301"/>
      <c r="I52" s="301"/>
      <c r="J52" s="301"/>
      <c r="K52" s="301"/>
      <c r="L52" s="334"/>
      <c r="M52" s="305"/>
      <c r="N52" s="301"/>
      <c r="O52" s="305"/>
      <c r="P52" s="305"/>
      <c r="Q52" s="305"/>
      <c r="R52" s="305"/>
      <c r="S52" s="305"/>
      <c r="T52" s="305"/>
      <c r="U52" s="305"/>
      <c r="V52" s="305"/>
      <c r="W52" s="305"/>
      <c r="X52" s="379"/>
      <c r="Y52" s="305"/>
      <c r="Z52" s="305"/>
      <c r="AA52" s="380"/>
      <c r="AB52" s="309"/>
      <c r="AC52" s="309"/>
      <c r="AD52" s="309"/>
      <c r="AE52" s="325"/>
      <c r="AF52" s="301"/>
    </row>
    <row r="53" spans="1:32" x14ac:dyDescent="0.25">
      <c r="A53" s="298"/>
      <c r="B53" s="301"/>
      <c r="C53" s="326"/>
      <c r="D53" s="301"/>
      <c r="E53" s="301"/>
      <c r="F53" s="301"/>
      <c r="G53" s="301"/>
      <c r="H53" s="301"/>
      <c r="I53" s="301"/>
      <c r="J53" s="301"/>
      <c r="K53" s="301"/>
      <c r="L53" s="334"/>
      <c r="M53" s="305"/>
      <c r="N53" s="301"/>
      <c r="O53" s="305"/>
      <c r="P53" s="305"/>
      <c r="Q53" s="305"/>
      <c r="R53" s="305"/>
      <c r="S53" s="305"/>
      <c r="T53" s="305"/>
      <c r="U53" s="305"/>
      <c r="V53" s="305"/>
      <c r="W53" s="305"/>
      <c r="X53" s="379"/>
      <c r="Y53" s="305"/>
      <c r="Z53" s="305"/>
      <c r="AA53" s="380"/>
      <c r="AB53" s="309"/>
      <c r="AC53" s="309"/>
      <c r="AD53" s="309"/>
      <c r="AE53" s="325"/>
      <c r="AF53" s="301"/>
    </row>
    <row r="54" spans="1:32" x14ac:dyDescent="0.25">
      <c r="A54" s="298"/>
      <c r="B54" s="301"/>
      <c r="C54" s="301"/>
      <c r="D54" s="301"/>
      <c r="E54" s="301"/>
      <c r="F54" s="301"/>
      <c r="G54" s="301"/>
      <c r="H54" s="301"/>
      <c r="I54" s="301"/>
      <c r="J54" s="301"/>
      <c r="K54" s="301"/>
      <c r="L54" s="334"/>
      <c r="M54" s="305"/>
      <c r="N54" s="301"/>
      <c r="O54" s="305"/>
      <c r="P54" s="305"/>
      <c r="Q54" s="305"/>
      <c r="R54" s="305"/>
      <c r="S54" s="305"/>
      <c r="T54" s="305"/>
      <c r="U54" s="305"/>
      <c r="V54" s="305"/>
      <c r="W54" s="305"/>
      <c r="X54" s="379"/>
      <c r="Y54" s="305"/>
      <c r="Z54" s="367"/>
      <c r="AA54" s="380"/>
      <c r="AB54" s="309"/>
      <c r="AC54" s="309"/>
      <c r="AD54" s="309"/>
      <c r="AE54" s="325"/>
      <c r="AF54" s="301"/>
    </row>
    <row r="55" spans="1:32" x14ac:dyDescent="0.25">
      <c r="A55" s="375" t="s">
        <v>776</v>
      </c>
      <c r="B55" s="289"/>
      <c r="C55" s="313"/>
      <c r="D55" s="313"/>
      <c r="E55" s="313"/>
      <c r="F55" s="313"/>
      <c r="G55" s="313"/>
      <c r="H55" s="313"/>
      <c r="I55" s="313"/>
      <c r="J55" s="313"/>
      <c r="K55" s="313"/>
      <c r="L55" s="314"/>
      <c r="M55" s="315"/>
      <c r="N55" s="313"/>
      <c r="O55" s="316"/>
      <c r="P55" s="316"/>
      <c r="Q55" s="316"/>
      <c r="R55" s="315"/>
      <c r="S55" s="315"/>
      <c r="T55" s="315"/>
      <c r="U55" s="315"/>
      <c r="V55" s="315"/>
      <c r="W55" s="315"/>
      <c r="X55" s="376"/>
      <c r="Y55" s="315"/>
      <c r="Z55" s="313"/>
      <c r="AA55" s="313"/>
      <c r="AB55" s="318">
        <f>SUM(AB56:AB63)</f>
        <v>0</v>
      </c>
      <c r="AC55" s="318"/>
      <c r="AD55" s="318"/>
      <c r="AE55" s="377"/>
      <c r="AF55" s="313"/>
    </row>
    <row r="56" spans="1:32" x14ac:dyDescent="0.25">
      <c r="A56" s="298"/>
      <c r="B56" s="301"/>
      <c r="C56" s="326"/>
      <c r="D56" s="301"/>
      <c r="E56" s="333"/>
      <c r="F56" s="333"/>
      <c r="G56" s="333"/>
      <c r="H56" s="301"/>
      <c r="I56" s="301"/>
      <c r="J56" s="301"/>
      <c r="K56" s="301"/>
      <c r="L56" s="334"/>
      <c r="M56" s="305"/>
      <c r="N56" s="301"/>
      <c r="O56" s="305"/>
      <c r="P56" s="351"/>
      <c r="Q56" s="351"/>
      <c r="R56" s="305"/>
      <c r="S56" s="305"/>
      <c r="T56" s="305"/>
      <c r="U56" s="305"/>
      <c r="V56" s="305"/>
      <c r="W56" s="305"/>
      <c r="X56" s="335"/>
      <c r="Y56" s="305"/>
      <c r="Z56" s="305"/>
      <c r="AA56" s="301"/>
      <c r="AB56" s="309"/>
      <c r="AC56" s="336"/>
      <c r="AD56" s="336"/>
      <c r="AE56" s="325"/>
      <c r="AF56" s="301"/>
    </row>
    <row r="57" spans="1:32" x14ac:dyDescent="0.25">
      <c r="A57" s="298"/>
      <c r="B57" s="301"/>
      <c r="C57" s="326"/>
      <c r="D57" s="301"/>
      <c r="E57" s="333"/>
      <c r="F57" s="333"/>
      <c r="G57" s="333"/>
      <c r="H57" s="301"/>
      <c r="I57" s="301"/>
      <c r="J57" s="301"/>
      <c r="K57" s="301"/>
      <c r="L57" s="334"/>
      <c r="M57" s="305"/>
      <c r="N57" s="301"/>
      <c r="O57" s="305"/>
      <c r="P57" s="351"/>
      <c r="Q57" s="351"/>
      <c r="R57" s="305"/>
      <c r="S57" s="305"/>
      <c r="T57" s="305"/>
      <c r="U57" s="305"/>
      <c r="V57" s="305"/>
      <c r="W57" s="305"/>
      <c r="X57" s="335"/>
      <c r="Y57" s="305"/>
      <c r="Z57" s="305"/>
      <c r="AA57" s="301"/>
      <c r="AB57" s="309"/>
      <c r="AC57" s="336"/>
      <c r="AD57" s="336"/>
      <c r="AE57" s="325"/>
      <c r="AF57" s="301"/>
    </row>
    <row r="58" spans="1:32" x14ac:dyDescent="0.25">
      <c r="A58" s="298"/>
      <c r="B58" s="301"/>
      <c r="C58" s="326"/>
      <c r="D58" s="301"/>
      <c r="E58" s="333"/>
      <c r="F58" s="333"/>
      <c r="G58" s="333"/>
      <c r="H58" s="301"/>
      <c r="I58" s="301"/>
      <c r="J58" s="301"/>
      <c r="K58" s="301"/>
      <c r="L58" s="334"/>
      <c r="M58" s="305"/>
      <c r="N58" s="301"/>
      <c r="O58" s="305"/>
      <c r="P58" s="351"/>
      <c r="Q58" s="351"/>
      <c r="R58" s="305"/>
      <c r="S58" s="305"/>
      <c r="T58" s="305"/>
      <c r="U58" s="305"/>
      <c r="V58" s="305"/>
      <c r="W58" s="305"/>
      <c r="X58" s="335"/>
      <c r="Y58" s="305"/>
      <c r="Z58" s="305"/>
      <c r="AA58" s="301"/>
      <c r="AB58" s="309"/>
      <c r="AC58" s="336"/>
      <c r="AD58" s="336"/>
      <c r="AE58" s="325"/>
      <c r="AF58" s="301"/>
    </row>
    <row r="59" spans="1:32" x14ac:dyDescent="0.25">
      <c r="A59" s="298"/>
      <c r="B59" s="301"/>
      <c r="C59" s="326"/>
      <c r="D59" s="301"/>
      <c r="E59" s="333"/>
      <c r="F59" s="333"/>
      <c r="G59" s="333"/>
      <c r="H59" s="301"/>
      <c r="I59" s="301"/>
      <c r="J59" s="301"/>
      <c r="K59" s="301"/>
      <c r="L59" s="334"/>
      <c r="M59" s="305"/>
      <c r="N59" s="301"/>
      <c r="O59" s="305"/>
      <c r="P59" s="351"/>
      <c r="Q59" s="351"/>
      <c r="R59" s="305"/>
      <c r="S59" s="305"/>
      <c r="T59" s="305"/>
      <c r="U59" s="305"/>
      <c r="V59" s="305"/>
      <c r="W59" s="305"/>
      <c r="X59" s="335"/>
      <c r="Y59" s="305"/>
      <c r="Z59" s="305"/>
      <c r="AA59" s="301"/>
      <c r="AB59" s="309"/>
      <c r="AC59" s="336"/>
      <c r="AD59" s="336"/>
      <c r="AE59" s="325"/>
      <c r="AF59" s="301"/>
    </row>
    <row r="60" spans="1:32" x14ac:dyDescent="0.25">
      <c r="A60" s="298"/>
      <c r="B60" s="301"/>
      <c r="C60" s="326"/>
      <c r="D60" s="301"/>
      <c r="E60" s="333"/>
      <c r="F60" s="333"/>
      <c r="G60" s="333"/>
      <c r="H60" s="301"/>
      <c r="I60" s="301"/>
      <c r="J60" s="301"/>
      <c r="K60" s="301"/>
      <c r="L60" s="334"/>
      <c r="M60" s="305"/>
      <c r="N60" s="301"/>
      <c r="O60" s="305"/>
      <c r="P60" s="351"/>
      <c r="Q60" s="351"/>
      <c r="R60" s="305"/>
      <c r="S60" s="305"/>
      <c r="T60" s="305"/>
      <c r="U60" s="305"/>
      <c r="V60" s="305"/>
      <c r="W60" s="305"/>
      <c r="X60" s="335"/>
      <c r="Y60" s="305"/>
      <c r="Z60" s="305"/>
      <c r="AA60" s="301"/>
      <c r="AB60" s="309"/>
      <c r="AC60" s="336"/>
      <c r="AD60" s="336"/>
      <c r="AE60" s="325"/>
      <c r="AF60" s="301"/>
    </row>
    <row r="61" spans="1:32" x14ac:dyDescent="0.25">
      <c r="A61" s="298"/>
      <c r="B61" s="301"/>
      <c r="C61" s="326"/>
      <c r="D61" s="301"/>
      <c r="E61" s="333"/>
      <c r="F61" s="333"/>
      <c r="G61" s="333"/>
      <c r="H61" s="301"/>
      <c r="I61" s="301"/>
      <c r="J61" s="301"/>
      <c r="K61" s="301"/>
      <c r="L61" s="334"/>
      <c r="M61" s="305"/>
      <c r="N61" s="301"/>
      <c r="O61" s="305"/>
      <c r="P61" s="351"/>
      <c r="Q61" s="351"/>
      <c r="R61" s="305"/>
      <c r="S61" s="305"/>
      <c r="T61" s="305"/>
      <c r="U61" s="305"/>
      <c r="V61" s="305"/>
      <c r="W61" s="305"/>
      <c r="X61" s="335"/>
      <c r="Y61" s="351"/>
      <c r="Z61" s="305"/>
      <c r="AA61" s="301"/>
      <c r="AB61" s="309"/>
      <c r="AC61" s="336"/>
      <c r="AD61" s="336"/>
      <c r="AE61" s="325"/>
      <c r="AF61" s="301"/>
    </row>
    <row r="62" spans="1:32" x14ac:dyDescent="0.25">
      <c r="A62" s="298"/>
      <c r="B62" s="301"/>
      <c r="C62" s="326"/>
      <c r="D62" s="301"/>
      <c r="E62" s="333"/>
      <c r="F62" s="333"/>
      <c r="G62" s="333"/>
      <c r="H62" s="301"/>
      <c r="I62" s="301"/>
      <c r="J62" s="301"/>
      <c r="K62" s="301"/>
      <c r="L62" s="334"/>
      <c r="M62" s="305"/>
      <c r="N62" s="301"/>
      <c r="O62" s="305"/>
      <c r="P62" s="351"/>
      <c r="Q62" s="351"/>
      <c r="R62" s="305"/>
      <c r="S62" s="305"/>
      <c r="T62" s="305"/>
      <c r="U62" s="305"/>
      <c r="V62" s="305"/>
      <c r="W62" s="305"/>
      <c r="X62" s="335"/>
      <c r="Y62" s="351"/>
      <c r="Z62" s="305"/>
      <c r="AA62" s="301"/>
      <c r="AB62" s="309"/>
      <c r="AC62" s="336"/>
      <c r="AD62" s="336"/>
      <c r="AE62" s="325"/>
      <c r="AF62" s="301"/>
    </row>
    <row r="63" spans="1:32" x14ac:dyDescent="0.25">
      <c r="A63" s="298"/>
      <c r="B63" s="301"/>
      <c r="C63" s="326"/>
      <c r="D63" s="301"/>
      <c r="E63" s="301"/>
      <c r="F63" s="301"/>
      <c r="G63" s="301"/>
      <c r="H63" s="301"/>
      <c r="I63" s="301"/>
      <c r="J63" s="301"/>
      <c r="K63" s="301"/>
      <c r="L63" s="334"/>
      <c r="M63" s="305"/>
      <c r="N63" s="301"/>
      <c r="O63" s="351"/>
      <c r="P63" s="351"/>
      <c r="Q63" s="351"/>
      <c r="R63" s="305"/>
      <c r="S63" s="305"/>
      <c r="T63" s="305"/>
      <c r="U63" s="305"/>
      <c r="V63" s="305"/>
      <c r="W63" s="305"/>
      <c r="X63" s="335"/>
      <c r="Y63" s="305"/>
      <c r="Z63" s="301"/>
      <c r="AA63" s="301"/>
      <c r="AB63" s="336"/>
      <c r="AC63" s="336"/>
      <c r="AD63" s="336"/>
      <c r="AE63" s="325"/>
      <c r="AF63" s="301"/>
    </row>
    <row r="64" spans="1:32" x14ac:dyDescent="0.25">
      <c r="A64" s="375" t="s">
        <v>338</v>
      </c>
      <c r="B64" s="289"/>
      <c r="C64" s="289"/>
      <c r="D64" s="289"/>
      <c r="E64" s="289"/>
      <c r="F64" s="289"/>
      <c r="G64" s="289"/>
      <c r="H64" s="289"/>
      <c r="I64" s="289"/>
      <c r="J64" s="289"/>
      <c r="K64" s="289"/>
      <c r="L64" s="381"/>
      <c r="M64" s="289"/>
      <c r="N64" s="289"/>
      <c r="O64" s="316">
        <f>SUM(O65:O66)</f>
        <v>1093120</v>
      </c>
      <c r="P64" s="316"/>
      <c r="Q64" s="316"/>
      <c r="R64" s="316">
        <f t="shared" ref="R64:Z64" si="3">SUM(R65:R66)</f>
        <v>0</v>
      </c>
      <c r="S64" s="316">
        <f t="shared" si="3"/>
        <v>0</v>
      </c>
      <c r="T64" s="316">
        <f t="shared" si="3"/>
        <v>0</v>
      </c>
      <c r="U64" s="316">
        <f t="shared" si="3"/>
        <v>0</v>
      </c>
      <c r="V64" s="316"/>
      <c r="W64" s="316"/>
      <c r="X64" s="376">
        <f t="shared" si="3"/>
        <v>0</v>
      </c>
      <c r="Y64" s="316">
        <f t="shared" si="3"/>
        <v>0</v>
      </c>
      <c r="Z64" s="316">
        <f t="shared" si="3"/>
        <v>0</v>
      </c>
      <c r="AA64" s="316"/>
      <c r="AB64" s="318">
        <f>SUM(AB65:AB66)</f>
        <v>0</v>
      </c>
      <c r="AC64" s="318"/>
      <c r="AD64" s="318"/>
      <c r="AE64" s="382"/>
      <c r="AF64" s="289"/>
    </row>
    <row r="65" spans="1:32" x14ac:dyDescent="0.25">
      <c r="A65" s="298"/>
      <c r="B65" s="299" t="s">
        <v>46</v>
      </c>
      <c r="C65" s="383"/>
      <c r="D65" s="383"/>
      <c r="E65" s="301"/>
      <c r="F65" s="301"/>
      <c r="G65" s="301"/>
      <c r="H65" s="301"/>
      <c r="I65" s="301"/>
      <c r="J65" s="301"/>
      <c r="K65" s="301"/>
      <c r="L65" s="334"/>
      <c r="M65" s="384"/>
      <c r="N65" s="301"/>
      <c r="O65" s="365">
        <f>0.02*O4</f>
        <v>1093120</v>
      </c>
      <c r="P65" s="365"/>
      <c r="Q65" s="365"/>
      <c r="R65" s="365"/>
      <c r="S65" s="365"/>
      <c r="T65" s="365"/>
      <c r="U65" s="365"/>
      <c r="V65" s="365"/>
      <c r="W65" s="365"/>
      <c r="X65" s="368"/>
      <c r="Y65" s="365"/>
      <c r="Z65" s="301"/>
      <c r="AA65" s="301"/>
      <c r="AB65" s="336"/>
      <c r="AC65" s="336"/>
      <c r="AD65" s="336"/>
      <c r="AE65" s="325"/>
      <c r="AF65" s="301"/>
    </row>
    <row r="66" spans="1:32" x14ac:dyDescent="0.25">
      <c r="A66" s="298"/>
      <c r="B66" s="299" t="s">
        <v>36</v>
      </c>
      <c r="C66" s="383"/>
      <c r="D66" s="383"/>
      <c r="E66" s="301"/>
      <c r="F66" s="301"/>
      <c r="G66" s="301"/>
      <c r="H66" s="301"/>
      <c r="I66" s="301"/>
      <c r="J66" s="301"/>
      <c r="K66" s="301"/>
      <c r="L66" s="334"/>
      <c r="M66" s="301"/>
      <c r="N66" s="301"/>
      <c r="O66" s="365"/>
      <c r="P66" s="365"/>
      <c r="Q66" s="365"/>
      <c r="R66" s="365"/>
      <c r="S66" s="365"/>
      <c r="T66" s="365"/>
      <c r="U66" s="365"/>
      <c r="V66" s="365"/>
      <c r="W66" s="365"/>
      <c r="X66" s="368"/>
      <c r="Y66" s="365"/>
      <c r="Z66" s="365"/>
      <c r="AA66" s="365"/>
      <c r="AB66" s="336"/>
      <c r="AC66" s="336"/>
      <c r="AD66" s="336"/>
      <c r="AE66" s="325"/>
      <c r="AF66" s="337"/>
    </row>
    <row r="67" spans="1:32" x14ac:dyDescent="0.25">
      <c r="A67" s="385" t="s">
        <v>777</v>
      </c>
      <c r="B67" s="290"/>
      <c r="C67" s="291"/>
      <c r="D67" s="291"/>
      <c r="E67" s="386"/>
      <c r="F67" s="386"/>
      <c r="G67" s="386"/>
      <c r="H67" s="291"/>
      <c r="I67" s="291"/>
      <c r="J67" s="291"/>
      <c r="K67" s="291"/>
      <c r="L67" s="293"/>
      <c r="M67" s="291"/>
      <c r="N67" s="291"/>
      <c r="O67" s="294">
        <f>SUM(O13,O46,O55,O64)</f>
        <v>1093120</v>
      </c>
      <c r="P67" s="291"/>
      <c r="Q67" s="291"/>
      <c r="R67" s="291"/>
      <c r="S67" s="291"/>
      <c r="T67" s="294">
        <f>SUM(T13,T46,T55,T64)</f>
        <v>0</v>
      </c>
      <c r="U67" s="291"/>
      <c r="V67" s="291"/>
      <c r="W67" s="291"/>
      <c r="X67" s="387">
        <f>SUM(X13,X46,X55,X64)</f>
        <v>0</v>
      </c>
      <c r="Y67" s="388"/>
      <c r="Z67" s="388"/>
      <c r="AA67" s="388"/>
      <c r="AB67" s="389">
        <f>SUM(AB13,AB46,AB55,AB64)</f>
        <v>22690.627414634149</v>
      </c>
      <c r="AC67" s="297"/>
      <c r="AD67" s="297"/>
      <c r="AE67" s="377"/>
      <c r="AF67" s="289"/>
    </row>
    <row r="68" spans="1:32" x14ac:dyDescent="0.25">
      <c r="A68" s="363"/>
      <c r="B68" s="337"/>
      <c r="C68" s="301"/>
      <c r="D68" s="301"/>
      <c r="E68" s="333"/>
      <c r="F68" s="333"/>
      <c r="G68" s="333"/>
      <c r="H68" s="301"/>
      <c r="I68" s="301"/>
      <c r="J68" s="301"/>
      <c r="K68" s="301"/>
      <c r="L68" s="334"/>
      <c r="M68" s="305"/>
      <c r="N68" s="301"/>
      <c r="O68" s="371"/>
      <c r="P68" s="371"/>
      <c r="Q68" s="371"/>
      <c r="R68" s="371"/>
      <c r="S68" s="371"/>
      <c r="T68" s="371"/>
      <c r="U68" s="371"/>
      <c r="V68" s="371"/>
      <c r="W68" s="371"/>
      <c r="X68" s="368"/>
      <c r="Y68" s="371"/>
      <c r="Z68" s="301"/>
      <c r="AA68" s="301"/>
      <c r="AB68" s="336"/>
      <c r="AC68" s="336"/>
      <c r="AD68" s="336"/>
      <c r="AE68" s="325"/>
      <c r="AF68" s="337"/>
    </row>
    <row r="69" spans="1:32" x14ac:dyDescent="0.25">
      <c r="A69" s="390" t="s">
        <v>778</v>
      </c>
      <c r="B69" s="391"/>
      <c r="C69" s="392"/>
      <c r="D69" s="392"/>
      <c r="E69" s="393"/>
      <c r="F69" s="393"/>
      <c r="G69" s="393"/>
      <c r="H69" s="391"/>
      <c r="I69" s="391"/>
      <c r="J69" s="391"/>
      <c r="K69" s="391"/>
      <c r="L69" s="394"/>
      <c r="M69" s="395"/>
      <c r="N69" s="396"/>
      <c r="O69" s="397">
        <f>O11-O67</f>
        <v>-110923120</v>
      </c>
      <c r="P69" s="397"/>
      <c r="Q69" s="397"/>
      <c r="R69" s="398">
        <f>R11-R67</f>
        <v>0</v>
      </c>
      <c r="S69" s="398">
        <f>S11-S67</f>
        <v>-11532150</v>
      </c>
      <c r="T69" s="398">
        <f>T11-T67</f>
        <v>0</v>
      </c>
      <c r="U69" s="398">
        <f>U11-U67</f>
        <v>-324083.63</v>
      </c>
      <c r="V69" s="398"/>
      <c r="W69" s="398"/>
      <c r="X69" s="399">
        <f>X11-X67</f>
        <v>-116700444.28999999</v>
      </c>
      <c r="Y69" s="398">
        <f>Y11-Y67</f>
        <v>0</v>
      </c>
      <c r="Z69" s="398">
        <f>Z11-Z67</f>
        <v>0</v>
      </c>
      <c r="AA69" s="398"/>
      <c r="AB69" s="406">
        <f>AB11-AB67</f>
        <v>-149538.93642550369</v>
      </c>
      <c r="AC69" s="406"/>
      <c r="AD69" s="406"/>
      <c r="AE69" s="412"/>
      <c r="AF69" s="348"/>
    </row>
  </sheetData>
  <sheetProtection sheet="1" objects="1" scenarios="1"/>
  <mergeCells count="1">
    <mergeCell ref="A1:L1"/>
  </mergeCells>
  <phoneticPr fontId="13" type="noConversion"/>
  <pageMargins left="0.25" right="0.25" top="0.75" bottom="0.75" header="0.3" footer="0.3"/>
  <pageSetup orientation="landscape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A6DF6-F445-4AB8-96D1-4DD45556C74D}">
  <sheetPr>
    <pageSetUpPr fitToPage="1"/>
  </sheetPr>
  <dimension ref="A1:W54"/>
  <sheetViews>
    <sheetView showGridLines="0" topLeftCell="A22" zoomScale="85" zoomScaleNormal="85" workbookViewId="0">
      <selection activeCell="F45" sqref="F45"/>
    </sheetView>
  </sheetViews>
  <sheetFormatPr baseColWidth="10" defaultColWidth="11.42578125" defaultRowHeight="11.25" customHeight="1" x14ac:dyDescent="0.25"/>
  <cols>
    <col min="1" max="1" width="15.85546875" style="418" bestFit="1" customWidth="1"/>
    <col min="2" max="2" width="23.85546875" style="418" customWidth="1"/>
    <col min="3" max="3" width="8.85546875" style="418" bestFit="1" customWidth="1"/>
    <col min="4" max="4" width="10.85546875" style="418" bestFit="1" customWidth="1"/>
    <col min="5" max="5" width="12.140625" style="418" bestFit="1" customWidth="1"/>
    <col min="6" max="6" width="18.42578125" style="34" bestFit="1" customWidth="1"/>
    <col min="7" max="7" width="10.85546875" style="419" customWidth="1"/>
    <col min="8" max="8" width="14.140625" style="418" bestFit="1" customWidth="1"/>
    <col min="9" max="9" width="12" style="418" bestFit="1" customWidth="1"/>
    <col min="10" max="256" width="11.42578125" style="418"/>
    <col min="257" max="257" width="15.85546875" style="418" bestFit="1" customWidth="1"/>
    <col min="258" max="258" width="23.85546875" style="418" customWidth="1"/>
    <col min="259" max="259" width="8.85546875" style="418" bestFit="1" customWidth="1"/>
    <col min="260" max="260" width="10.85546875" style="418" bestFit="1" customWidth="1"/>
    <col min="261" max="261" width="12.140625" style="418" bestFit="1" customWidth="1"/>
    <col min="262" max="262" width="18.42578125" style="418" bestFit="1" customWidth="1"/>
    <col min="263" max="263" width="10.85546875" style="418" customWidth="1"/>
    <col min="264" max="264" width="14.140625" style="418" bestFit="1" customWidth="1"/>
    <col min="265" max="265" width="12" style="418" bestFit="1" customWidth="1"/>
    <col min="266" max="512" width="11.42578125" style="418"/>
    <col min="513" max="513" width="15.85546875" style="418" bestFit="1" customWidth="1"/>
    <col min="514" max="514" width="23.85546875" style="418" customWidth="1"/>
    <col min="515" max="515" width="8.85546875" style="418" bestFit="1" customWidth="1"/>
    <col min="516" max="516" width="10.85546875" style="418" bestFit="1" customWidth="1"/>
    <col min="517" max="517" width="12.140625" style="418" bestFit="1" customWidth="1"/>
    <col min="518" max="518" width="18.42578125" style="418" bestFit="1" customWidth="1"/>
    <col min="519" max="519" width="10.85546875" style="418" customWidth="1"/>
    <col min="520" max="520" width="14.140625" style="418" bestFit="1" customWidth="1"/>
    <col min="521" max="521" width="12" style="418" bestFit="1" customWidth="1"/>
    <col min="522" max="768" width="11.42578125" style="418"/>
    <col min="769" max="769" width="15.85546875" style="418" bestFit="1" customWidth="1"/>
    <col min="770" max="770" width="23.85546875" style="418" customWidth="1"/>
    <col min="771" max="771" width="8.85546875" style="418" bestFit="1" customWidth="1"/>
    <col min="772" max="772" width="10.85546875" style="418" bestFit="1" customWidth="1"/>
    <col min="773" max="773" width="12.140625" style="418" bestFit="1" customWidth="1"/>
    <col min="774" max="774" width="18.42578125" style="418" bestFit="1" customWidth="1"/>
    <col min="775" max="775" width="10.85546875" style="418" customWidth="1"/>
    <col min="776" max="776" width="14.140625" style="418" bestFit="1" customWidth="1"/>
    <col min="777" max="777" width="12" style="418" bestFit="1" customWidth="1"/>
    <col min="778" max="1024" width="11.42578125" style="418"/>
    <col min="1025" max="1025" width="15.85546875" style="418" bestFit="1" customWidth="1"/>
    <col min="1026" max="1026" width="23.85546875" style="418" customWidth="1"/>
    <col min="1027" max="1027" width="8.85546875" style="418" bestFit="1" customWidth="1"/>
    <col min="1028" max="1028" width="10.85546875" style="418" bestFit="1" customWidth="1"/>
    <col min="1029" max="1029" width="12.140625" style="418" bestFit="1" customWidth="1"/>
    <col min="1030" max="1030" width="18.42578125" style="418" bestFit="1" customWidth="1"/>
    <col min="1031" max="1031" width="10.85546875" style="418" customWidth="1"/>
    <col min="1032" max="1032" width="14.140625" style="418" bestFit="1" customWidth="1"/>
    <col min="1033" max="1033" width="12" style="418" bestFit="1" customWidth="1"/>
    <col min="1034" max="1280" width="11.42578125" style="418"/>
    <col min="1281" max="1281" width="15.85546875" style="418" bestFit="1" customWidth="1"/>
    <col min="1282" max="1282" width="23.85546875" style="418" customWidth="1"/>
    <col min="1283" max="1283" width="8.85546875" style="418" bestFit="1" customWidth="1"/>
    <col min="1284" max="1284" width="10.85546875" style="418" bestFit="1" customWidth="1"/>
    <col min="1285" max="1285" width="12.140625" style="418" bestFit="1" customWidth="1"/>
    <col min="1286" max="1286" width="18.42578125" style="418" bestFit="1" customWidth="1"/>
    <col min="1287" max="1287" width="10.85546875" style="418" customWidth="1"/>
    <col min="1288" max="1288" width="14.140625" style="418" bestFit="1" customWidth="1"/>
    <col min="1289" max="1289" width="12" style="418" bestFit="1" customWidth="1"/>
    <col min="1290" max="1536" width="11.42578125" style="418"/>
    <col min="1537" max="1537" width="15.85546875" style="418" bestFit="1" customWidth="1"/>
    <col min="1538" max="1538" width="23.85546875" style="418" customWidth="1"/>
    <col min="1539" max="1539" width="8.85546875" style="418" bestFit="1" customWidth="1"/>
    <col min="1540" max="1540" width="10.85546875" style="418" bestFit="1" customWidth="1"/>
    <col min="1541" max="1541" width="12.140625" style="418" bestFit="1" customWidth="1"/>
    <col min="1542" max="1542" width="18.42578125" style="418" bestFit="1" customWidth="1"/>
    <col min="1543" max="1543" width="10.85546875" style="418" customWidth="1"/>
    <col min="1544" max="1544" width="14.140625" style="418" bestFit="1" customWidth="1"/>
    <col min="1545" max="1545" width="12" style="418" bestFit="1" customWidth="1"/>
    <col min="1546" max="1792" width="11.42578125" style="418"/>
    <col min="1793" max="1793" width="15.85546875" style="418" bestFit="1" customWidth="1"/>
    <col min="1794" max="1794" width="23.85546875" style="418" customWidth="1"/>
    <col min="1795" max="1795" width="8.85546875" style="418" bestFit="1" customWidth="1"/>
    <col min="1796" max="1796" width="10.85546875" style="418" bestFit="1" customWidth="1"/>
    <col min="1797" max="1797" width="12.140625" style="418" bestFit="1" customWidth="1"/>
    <col min="1798" max="1798" width="18.42578125" style="418" bestFit="1" customWidth="1"/>
    <col min="1799" max="1799" width="10.85546875" style="418" customWidth="1"/>
    <col min="1800" max="1800" width="14.140625" style="418" bestFit="1" customWidth="1"/>
    <col min="1801" max="1801" width="12" style="418" bestFit="1" customWidth="1"/>
    <col min="1802" max="2048" width="11.42578125" style="418"/>
    <col min="2049" max="2049" width="15.85546875" style="418" bestFit="1" customWidth="1"/>
    <col min="2050" max="2050" width="23.85546875" style="418" customWidth="1"/>
    <col min="2051" max="2051" width="8.85546875" style="418" bestFit="1" customWidth="1"/>
    <col min="2052" max="2052" width="10.85546875" style="418" bestFit="1" customWidth="1"/>
    <col min="2053" max="2053" width="12.140625" style="418" bestFit="1" customWidth="1"/>
    <col min="2054" max="2054" width="18.42578125" style="418" bestFit="1" customWidth="1"/>
    <col min="2055" max="2055" width="10.85546875" style="418" customWidth="1"/>
    <col min="2056" max="2056" width="14.140625" style="418" bestFit="1" customWidth="1"/>
    <col min="2057" max="2057" width="12" style="418" bestFit="1" customWidth="1"/>
    <col min="2058" max="2304" width="11.42578125" style="418"/>
    <col min="2305" max="2305" width="15.85546875" style="418" bestFit="1" customWidth="1"/>
    <col min="2306" max="2306" width="23.85546875" style="418" customWidth="1"/>
    <col min="2307" max="2307" width="8.85546875" style="418" bestFit="1" customWidth="1"/>
    <col min="2308" max="2308" width="10.85546875" style="418" bestFit="1" customWidth="1"/>
    <col min="2309" max="2309" width="12.140625" style="418" bestFit="1" customWidth="1"/>
    <col min="2310" max="2310" width="18.42578125" style="418" bestFit="1" customWidth="1"/>
    <col min="2311" max="2311" width="10.85546875" style="418" customWidth="1"/>
    <col min="2312" max="2312" width="14.140625" style="418" bestFit="1" customWidth="1"/>
    <col min="2313" max="2313" width="12" style="418" bestFit="1" customWidth="1"/>
    <col min="2314" max="2560" width="11.42578125" style="418"/>
    <col min="2561" max="2561" width="15.85546875" style="418" bestFit="1" customWidth="1"/>
    <col min="2562" max="2562" width="23.85546875" style="418" customWidth="1"/>
    <col min="2563" max="2563" width="8.85546875" style="418" bestFit="1" customWidth="1"/>
    <col min="2564" max="2564" width="10.85546875" style="418" bestFit="1" customWidth="1"/>
    <col min="2565" max="2565" width="12.140625" style="418" bestFit="1" customWidth="1"/>
    <col min="2566" max="2566" width="18.42578125" style="418" bestFit="1" customWidth="1"/>
    <col min="2567" max="2567" width="10.85546875" style="418" customWidth="1"/>
    <col min="2568" max="2568" width="14.140625" style="418" bestFit="1" customWidth="1"/>
    <col min="2569" max="2569" width="12" style="418" bestFit="1" customWidth="1"/>
    <col min="2570" max="2816" width="11.42578125" style="418"/>
    <col min="2817" max="2817" width="15.85546875" style="418" bestFit="1" customWidth="1"/>
    <col min="2818" max="2818" width="23.85546875" style="418" customWidth="1"/>
    <col min="2819" max="2819" width="8.85546875" style="418" bestFit="1" customWidth="1"/>
    <col min="2820" max="2820" width="10.85546875" style="418" bestFit="1" customWidth="1"/>
    <col min="2821" max="2821" width="12.140625" style="418" bestFit="1" customWidth="1"/>
    <col min="2822" max="2822" width="18.42578125" style="418" bestFit="1" customWidth="1"/>
    <col min="2823" max="2823" width="10.85546875" style="418" customWidth="1"/>
    <col min="2824" max="2824" width="14.140625" style="418" bestFit="1" customWidth="1"/>
    <col min="2825" max="2825" width="12" style="418" bestFit="1" customWidth="1"/>
    <col min="2826" max="3072" width="11.42578125" style="418"/>
    <col min="3073" max="3073" width="15.85546875" style="418" bestFit="1" customWidth="1"/>
    <col min="3074" max="3074" width="23.85546875" style="418" customWidth="1"/>
    <col min="3075" max="3075" width="8.85546875" style="418" bestFit="1" customWidth="1"/>
    <col min="3076" max="3076" width="10.85546875" style="418" bestFit="1" customWidth="1"/>
    <col min="3077" max="3077" width="12.140625" style="418" bestFit="1" customWidth="1"/>
    <col min="3078" max="3078" width="18.42578125" style="418" bestFit="1" customWidth="1"/>
    <col min="3079" max="3079" width="10.85546875" style="418" customWidth="1"/>
    <col min="3080" max="3080" width="14.140625" style="418" bestFit="1" customWidth="1"/>
    <col min="3081" max="3081" width="12" style="418" bestFit="1" customWidth="1"/>
    <col min="3082" max="3328" width="11.42578125" style="418"/>
    <col min="3329" max="3329" width="15.85546875" style="418" bestFit="1" customWidth="1"/>
    <col min="3330" max="3330" width="23.85546875" style="418" customWidth="1"/>
    <col min="3331" max="3331" width="8.85546875" style="418" bestFit="1" customWidth="1"/>
    <col min="3332" max="3332" width="10.85546875" style="418" bestFit="1" customWidth="1"/>
    <col min="3333" max="3333" width="12.140625" style="418" bestFit="1" customWidth="1"/>
    <col min="3334" max="3334" width="18.42578125" style="418" bestFit="1" customWidth="1"/>
    <col min="3335" max="3335" width="10.85546875" style="418" customWidth="1"/>
    <col min="3336" max="3336" width="14.140625" style="418" bestFit="1" customWidth="1"/>
    <col min="3337" max="3337" width="12" style="418" bestFit="1" customWidth="1"/>
    <col min="3338" max="3584" width="11.42578125" style="418"/>
    <col min="3585" max="3585" width="15.85546875" style="418" bestFit="1" customWidth="1"/>
    <col min="3586" max="3586" width="23.85546875" style="418" customWidth="1"/>
    <col min="3587" max="3587" width="8.85546875" style="418" bestFit="1" customWidth="1"/>
    <col min="3588" max="3588" width="10.85546875" style="418" bestFit="1" customWidth="1"/>
    <col min="3589" max="3589" width="12.140625" style="418" bestFit="1" customWidth="1"/>
    <col min="3590" max="3590" width="18.42578125" style="418" bestFit="1" customWidth="1"/>
    <col min="3591" max="3591" width="10.85546875" style="418" customWidth="1"/>
    <col min="3592" max="3592" width="14.140625" style="418" bestFit="1" customWidth="1"/>
    <col min="3593" max="3593" width="12" style="418" bestFit="1" customWidth="1"/>
    <col min="3594" max="3840" width="11.42578125" style="418"/>
    <col min="3841" max="3841" width="15.85546875" style="418" bestFit="1" customWidth="1"/>
    <col min="3842" max="3842" width="23.85546875" style="418" customWidth="1"/>
    <col min="3843" max="3843" width="8.85546875" style="418" bestFit="1" customWidth="1"/>
    <col min="3844" max="3844" width="10.85546875" style="418" bestFit="1" customWidth="1"/>
    <col min="3845" max="3845" width="12.140625" style="418" bestFit="1" customWidth="1"/>
    <col min="3846" max="3846" width="18.42578125" style="418" bestFit="1" customWidth="1"/>
    <col min="3847" max="3847" width="10.85546875" style="418" customWidth="1"/>
    <col min="3848" max="3848" width="14.140625" style="418" bestFit="1" customWidth="1"/>
    <col min="3849" max="3849" width="12" style="418" bestFit="1" customWidth="1"/>
    <col min="3850" max="4096" width="11.42578125" style="418"/>
    <col min="4097" max="4097" width="15.85546875" style="418" bestFit="1" customWidth="1"/>
    <col min="4098" max="4098" width="23.85546875" style="418" customWidth="1"/>
    <col min="4099" max="4099" width="8.85546875" style="418" bestFit="1" customWidth="1"/>
    <col min="4100" max="4100" width="10.85546875" style="418" bestFit="1" customWidth="1"/>
    <col min="4101" max="4101" width="12.140625" style="418" bestFit="1" customWidth="1"/>
    <col min="4102" max="4102" width="18.42578125" style="418" bestFit="1" customWidth="1"/>
    <col min="4103" max="4103" width="10.85546875" style="418" customWidth="1"/>
    <col min="4104" max="4104" width="14.140625" style="418" bestFit="1" customWidth="1"/>
    <col min="4105" max="4105" width="12" style="418" bestFit="1" customWidth="1"/>
    <col min="4106" max="4352" width="11.42578125" style="418"/>
    <col min="4353" max="4353" width="15.85546875" style="418" bestFit="1" customWidth="1"/>
    <col min="4354" max="4354" width="23.85546875" style="418" customWidth="1"/>
    <col min="4355" max="4355" width="8.85546875" style="418" bestFit="1" customWidth="1"/>
    <col min="4356" max="4356" width="10.85546875" style="418" bestFit="1" customWidth="1"/>
    <col min="4357" max="4357" width="12.140625" style="418" bestFit="1" customWidth="1"/>
    <col min="4358" max="4358" width="18.42578125" style="418" bestFit="1" customWidth="1"/>
    <col min="4359" max="4359" width="10.85546875" style="418" customWidth="1"/>
    <col min="4360" max="4360" width="14.140625" style="418" bestFit="1" customWidth="1"/>
    <col min="4361" max="4361" width="12" style="418" bestFit="1" customWidth="1"/>
    <col min="4362" max="4608" width="11.42578125" style="418"/>
    <col min="4609" max="4609" width="15.85546875" style="418" bestFit="1" customWidth="1"/>
    <col min="4610" max="4610" width="23.85546875" style="418" customWidth="1"/>
    <col min="4611" max="4611" width="8.85546875" style="418" bestFit="1" customWidth="1"/>
    <col min="4612" max="4612" width="10.85546875" style="418" bestFit="1" customWidth="1"/>
    <col min="4613" max="4613" width="12.140625" style="418" bestFit="1" customWidth="1"/>
    <col min="4614" max="4614" width="18.42578125" style="418" bestFit="1" customWidth="1"/>
    <col min="4615" max="4615" width="10.85546875" style="418" customWidth="1"/>
    <col min="4616" max="4616" width="14.140625" style="418" bestFit="1" customWidth="1"/>
    <col min="4617" max="4617" width="12" style="418" bestFit="1" customWidth="1"/>
    <col min="4618" max="4864" width="11.42578125" style="418"/>
    <col min="4865" max="4865" width="15.85546875" style="418" bestFit="1" customWidth="1"/>
    <col min="4866" max="4866" width="23.85546875" style="418" customWidth="1"/>
    <col min="4867" max="4867" width="8.85546875" style="418" bestFit="1" customWidth="1"/>
    <col min="4868" max="4868" width="10.85546875" style="418" bestFit="1" customWidth="1"/>
    <col min="4869" max="4869" width="12.140625" style="418" bestFit="1" customWidth="1"/>
    <col min="4870" max="4870" width="18.42578125" style="418" bestFit="1" customWidth="1"/>
    <col min="4871" max="4871" width="10.85546875" style="418" customWidth="1"/>
    <col min="4872" max="4872" width="14.140625" style="418" bestFit="1" customWidth="1"/>
    <col min="4873" max="4873" width="12" style="418" bestFit="1" customWidth="1"/>
    <col min="4874" max="5120" width="11.42578125" style="418"/>
    <col min="5121" max="5121" width="15.85546875" style="418" bestFit="1" customWidth="1"/>
    <col min="5122" max="5122" width="23.85546875" style="418" customWidth="1"/>
    <col min="5123" max="5123" width="8.85546875" style="418" bestFit="1" customWidth="1"/>
    <col min="5124" max="5124" width="10.85546875" style="418" bestFit="1" customWidth="1"/>
    <col min="5125" max="5125" width="12.140625" style="418" bestFit="1" customWidth="1"/>
    <col min="5126" max="5126" width="18.42578125" style="418" bestFit="1" customWidth="1"/>
    <col min="5127" max="5127" width="10.85546875" style="418" customWidth="1"/>
    <col min="5128" max="5128" width="14.140625" style="418" bestFit="1" customWidth="1"/>
    <col min="5129" max="5129" width="12" style="418" bestFit="1" customWidth="1"/>
    <col min="5130" max="5376" width="11.42578125" style="418"/>
    <col min="5377" max="5377" width="15.85546875" style="418" bestFit="1" customWidth="1"/>
    <col min="5378" max="5378" width="23.85546875" style="418" customWidth="1"/>
    <col min="5379" max="5379" width="8.85546875" style="418" bestFit="1" customWidth="1"/>
    <col min="5380" max="5380" width="10.85546875" style="418" bestFit="1" customWidth="1"/>
    <col min="5381" max="5381" width="12.140625" style="418" bestFit="1" customWidth="1"/>
    <col min="5382" max="5382" width="18.42578125" style="418" bestFit="1" customWidth="1"/>
    <col min="5383" max="5383" width="10.85546875" style="418" customWidth="1"/>
    <col min="5384" max="5384" width="14.140625" style="418" bestFit="1" customWidth="1"/>
    <col min="5385" max="5385" width="12" style="418" bestFit="1" customWidth="1"/>
    <col min="5386" max="5632" width="11.42578125" style="418"/>
    <col min="5633" max="5633" width="15.85546875" style="418" bestFit="1" customWidth="1"/>
    <col min="5634" max="5634" width="23.85546875" style="418" customWidth="1"/>
    <col min="5635" max="5635" width="8.85546875" style="418" bestFit="1" customWidth="1"/>
    <col min="5636" max="5636" width="10.85546875" style="418" bestFit="1" customWidth="1"/>
    <col min="5637" max="5637" width="12.140625" style="418" bestFit="1" customWidth="1"/>
    <col min="5638" max="5638" width="18.42578125" style="418" bestFit="1" customWidth="1"/>
    <col min="5639" max="5639" width="10.85546875" style="418" customWidth="1"/>
    <col min="5640" max="5640" width="14.140625" style="418" bestFit="1" customWidth="1"/>
    <col min="5641" max="5641" width="12" style="418" bestFit="1" customWidth="1"/>
    <col min="5642" max="5888" width="11.42578125" style="418"/>
    <col min="5889" max="5889" width="15.85546875" style="418" bestFit="1" customWidth="1"/>
    <col min="5890" max="5890" width="23.85546875" style="418" customWidth="1"/>
    <col min="5891" max="5891" width="8.85546875" style="418" bestFit="1" customWidth="1"/>
    <col min="5892" max="5892" width="10.85546875" style="418" bestFit="1" customWidth="1"/>
    <col min="5893" max="5893" width="12.140625" style="418" bestFit="1" customWidth="1"/>
    <col min="5894" max="5894" width="18.42578125" style="418" bestFit="1" customWidth="1"/>
    <col min="5895" max="5895" width="10.85546875" style="418" customWidth="1"/>
    <col min="5896" max="5896" width="14.140625" style="418" bestFit="1" customWidth="1"/>
    <col min="5897" max="5897" width="12" style="418" bestFit="1" customWidth="1"/>
    <col min="5898" max="6144" width="11.42578125" style="418"/>
    <col min="6145" max="6145" width="15.85546875" style="418" bestFit="1" customWidth="1"/>
    <col min="6146" max="6146" width="23.85546875" style="418" customWidth="1"/>
    <col min="6147" max="6147" width="8.85546875" style="418" bestFit="1" customWidth="1"/>
    <col min="6148" max="6148" width="10.85546875" style="418" bestFit="1" customWidth="1"/>
    <col min="6149" max="6149" width="12.140625" style="418" bestFit="1" customWidth="1"/>
    <col min="6150" max="6150" width="18.42578125" style="418" bestFit="1" customWidth="1"/>
    <col min="6151" max="6151" width="10.85546875" style="418" customWidth="1"/>
    <col min="6152" max="6152" width="14.140625" style="418" bestFit="1" customWidth="1"/>
    <col min="6153" max="6153" width="12" style="418" bestFit="1" customWidth="1"/>
    <col min="6154" max="6400" width="11.42578125" style="418"/>
    <col min="6401" max="6401" width="15.85546875" style="418" bestFit="1" customWidth="1"/>
    <col min="6402" max="6402" width="23.85546875" style="418" customWidth="1"/>
    <col min="6403" max="6403" width="8.85546875" style="418" bestFit="1" customWidth="1"/>
    <col min="6404" max="6404" width="10.85546875" style="418" bestFit="1" customWidth="1"/>
    <col min="6405" max="6405" width="12.140625" style="418" bestFit="1" customWidth="1"/>
    <col min="6406" max="6406" width="18.42578125" style="418" bestFit="1" customWidth="1"/>
    <col min="6407" max="6407" width="10.85546875" style="418" customWidth="1"/>
    <col min="6408" max="6408" width="14.140625" style="418" bestFit="1" customWidth="1"/>
    <col min="6409" max="6409" width="12" style="418" bestFit="1" customWidth="1"/>
    <col min="6410" max="6656" width="11.42578125" style="418"/>
    <col min="6657" max="6657" width="15.85546875" style="418" bestFit="1" customWidth="1"/>
    <col min="6658" max="6658" width="23.85546875" style="418" customWidth="1"/>
    <col min="6659" max="6659" width="8.85546875" style="418" bestFit="1" customWidth="1"/>
    <col min="6660" max="6660" width="10.85546875" style="418" bestFit="1" customWidth="1"/>
    <col min="6661" max="6661" width="12.140625" style="418" bestFit="1" customWidth="1"/>
    <col min="6662" max="6662" width="18.42578125" style="418" bestFit="1" customWidth="1"/>
    <col min="6663" max="6663" width="10.85546875" style="418" customWidth="1"/>
    <col min="6664" max="6664" width="14.140625" style="418" bestFit="1" customWidth="1"/>
    <col min="6665" max="6665" width="12" style="418" bestFit="1" customWidth="1"/>
    <col min="6666" max="6912" width="11.42578125" style="418"/>
    <col min="6913" max="6913" width="15.85546875" style="418" bestFit="1" customWidth="1"/>
    <col min="6914" max="6914" width="23.85546875" style="418" customWidth="1"/>
    <col min="6915" max="6915" width="8.85546875" style="418" bestFit="1" customWidth="1"/>
    <col min="6916" max="6916" width="10.85546875" style="418" bestFit="1" customWidth="1"/>
    <col min="6917" max="6917" width="12.140625" style="418" bestFit="1" customWidth="1"/>
    <col min="6918" max="6918" width="18.42578125" style="418" bestFit="1" customWidth="1"/>
    <col min="6919" max="6919" width="10.85546875" style="418" customWidth="1"/>
    <col min="6920" max="6920" width="14.140625" style="418" bestFit="1" customWidth="1"/>
    <col min="6921" max="6921" width="12" style="418" bestFit="1" customWidth="1"/>
    <col min="6922" max="7168" width="11.42578125" style="418"/>
    <col min="7169" max="7169" width="15.85546875" style="418" bestFit="1" customWidth="1"/>
    <col min="7170" max="7170" width="23.85546875" style="418" customWidth="1"/>
    <col min="7171" max="7171" width="8.85546875" style="418" bestFit="1" customWidth="1"/>
    <col min="7172" max="7172" width="10.85546875" style="418" bestFit="1" customWidth="1"/>
    <col min="7173" max="7173" width="12.140625" style="418" bestFit="1" customWidth="1"/>
    <col min="7174" max="7174" width="18.42578125" style="418" bestFit="1" customWidth="1"/>
    <col min="7175" max="7175" width="10.85546875" style="418" customWidth="1"/>
    <col min="7176" max="7176" width="14.140625" style="418" bestFit="1" customWidth="1"/>
    <col min="7177" max="7177" width="12" style="418" bestFit="1" customWidth="1"/>
    <col min="7178" max="7424" width="11.42578125" style="418"/>
    <col min="7425" max="7425" width="15.85546875" style="418" bestFit="1" customWidth="1"/>
    <col min="7426" max="7426" width="23.85546875" style="418" customWidth="1"/>
    <col min="7427" max="7427" width="8.85546875" style="418" bestFit="1" customWidth="1"/>
    <col min="7428" max="7428" width="10.85546875" style="418" bestFit="1" customWidth="1"/>
    <col min="7429" max="7429" width="12.140625" style="418" bestFit="1" customWidth="1"/>
    <col min="7430" max="7430" width="18.42578125" style="418" bestFit="1" customWidth="1"/>
    <col min="7431" max="7431" width="10.85546875" style="418" customWidth="1"/>
    <col min="7432" max="7432" width="14.140625" style="418" bestFit="1" customWidth="1"/>
    <col min="7433" max="7433" width="12" style="418" bestFit="1" customWidth="1"/>
    <col min="7434" max="7680" width="11.42578125" style="418"/>
    <col min="7681" max="7681" width="15.85546875" style="418" bestFit="1" customWidth="1"/>
    <col min="7682" max="7682" width="23.85546875" style="418" customWidth="1"/>
    <col min="7683" max="7683" width="8.85546875" style="418" bestFit="1" customWidth="1"/>
    <col min="7684" max="7684" width="10.85546875" style="418" bestFit="1" customWidth="1"/>
    <col min="7685" max="7685" width="12.140625" style="418" bestFit="1" customWidth="1"/>
    <col min="7686" max="7686" width="18.42578125" style="418" bestFit="1" customWidth="1"/>
    <col min="7687" max="7687" width="10.85546875" style="418" customWidth="1"/>
    <col min="7688" max="7688" width="14.140625" style="418" bestFit="1" customWidth="1"/>
    <col min="7689" max="7689" width="12" style="418" bestFit="1" customWidth="1"/>
    <col min="7690" max="7936" width="11.42578125" style="418"/>
    <col min="7937" max="7937" width="15.85546875" style="418" bestFit="1" customWidth="1"/>
    <col min="7938" max="7938" width="23.85546875" style="418" customWidth="1"/>
    <col min="7939" max="7939" width="8.85546875" style="418" bestFit="1" customWidth="1"/>
    <col min="7940" max="7940" width="10.85546875" style="418" bestFit="1" customWidth="1"/>
    <col min="7941" max="7941" width="12.140625" style="418" bestFit="1" customWidth="1"/>
    <col min="7942" max="7942" width="18.42578125" style="418" bestFit="1" customWidth="1"/>
    <col min="7943" max="7943" width="10.85546875" style="418" customWidth="1"/>
    <col min="7944" max="7944" width="14.140625" style="418" bestFit="1" customWidth="1"/>
    <col min="7945" max="7945" width="12" style="418" bestFit="1" customWidth="1"/>
    <col min="7946" max="8192" width="11.42578125" style="418"/>
    <col min="8193" max="8193" width="15.85546875" style="418" bestFit="1" customWidth="1"/>
    <col min="8194" max="8194" width="23.85546875" style="418" customWidth="1"/>
    <col min="8195" max="8195" width="8.85546875" style="418" bestFit="1" customWidth="1"/>
    <col min="8196" max="8196" width="10.85546875" style="418" bestFit="1" customWidth="1"/>
    <col min="8197" max="8197" width="12.140625" style="418" bestFit="1" customWidth="1"/>
    <col min="8198" max="8198" width="18.42578125" style="418" bestFit="1" customWidth="1"/>
    <col min="8199" max="8199" width="10.85546875" style="418" customWidth="1"/>
    <col min="8200" max="8200" width="14.140625" style="418" bestFit="1" customWidth="1"/>
    <col min="8201" max="8201" width="12" style="418" bestFit="1" customWidth="1"/>
    <col min="8202" max="8448" width="11.42578125" style="418"/>
    <col min="8449" max="8449" width="15.85546875" style="418" bestFit="1" customWidth="1"/>
    <col min="8450" max="8450" width="23.85546875" style="418" customWidth="1"/>
    <col min="8451" max="8451" width="8.85546875" style="418" bestFit="1" customWidth="1"/>
    <col min="8452" max="8452" width="10.85546875" style="418" bestFit="1" customWidth="1"/>
    <col min="8453" max="8453" width="12.140625" style="418" bestFit="1" customWidth="1"/>
    <col min="8454" max="8454" width="18.42578125" style="418" bestFit="1" customWidth="1"/>
    <col min="8455" max="8455" width="10.85546875" style="418" customWidth="1"/>
    <col min="8456" max="8456" width="14.140625" style="418" bestFit="1" customWidth="1"/>
    <col min="8457" max="8457" width="12" style="418" bestFit="1" customWidth="1"/>
    <col min="8458" max="8704" width="11.42578125" style="418"/>
    <col min="8705" max="8705" width="15.85546875" style="418" bestFit="1" customWidth="1"/>
    <col min="8706" max="8706" width="23.85546875" style="418" customWidth="1"/>
    <col min="8707" max="8707" width="8.85546875" style="418" bestFit="1" customWidth="1"/>
    <col min="8708" max="8708" width="10.85546875" style="418" bestFit="1" customWidth="1"/>
    <col min="8709" max="8709" width="12.140625" style="418" bestFit="1" customWidth="1"/>
    <col min="8710" max="8710" width="18.42578125" style="418" bestFit="1" customWidth="1"/>
    <col min="8711" max="8711" width="10.85546875" style="418" customWidth="1"/>
    <col min="8712" max="8712" width="14.140625" style="418" bestFit="1" customWidth="1"/>
    <col min="8713" max="8713" width="12" style="418" bestFit="1" customWidth="1"/>
    <col min="8714" max="8960" width="11.42578125" style="418"/>
    <col min="8961" max="8961" width="15.85546875" style="418" bestFit="1" customWidth="1"/>
    <col min="8962" max="8962" width="23.85546875" style="418" customWidth="1"/>
    <col min="8963" max="8963" width="8.85546875" style="418" bestFit="1" customWidth="1"/>
    <col min="8964" max="8964" width="10.85546875" style="418" bestFit="1" customWidth="1"/>
    <col min="8965" max="8965" width="12.140625" style="418" bestFit="1" customWidth="1"/>
    <col min="8966" max="8966" width="18.42578125" style="418" bestFit="1" customWidth="1"/>
    <col min="8967" max="8967" width="10.85546875" style="418" customWidth="1"/>
    <col min="8968" max="8968" width="14.140625" style="418" bestFit="1" customWidth="1"/>
    <col min="8969" max="8969" width="12" style="418" bestFit="1" customWidth="1"/>
    <col min="8970" max="9216" width="11.42578125" style="418"/>
    <col min="9217" max="9217" width="15.85546875" style="418" bestFit="1" customWidth="1"/>
    <col min="9218" max="9218" width="23.85546875" style="418" customWidth="1"/>
    <col min="9219" max="9219" width="8.85546875" style="418" bestFit="1" customWidth="1"/>
    <col min="9220" max="9220" width="10.85546875" style="418" bestFit="1" customWidth="1"/>
    <col min="9221" max="9221" width="12.140625" style="418" bestFit="1" customWidth="1"/>
    <col min="9222" max="9222" width="18.42578125" style="418" bestFit="1" customWidth="1"/>
    <col min="9223" max="9223" width="10.85546875" style="418" customWidth="1"/>
    <col min="9224" max="9224" width="14.140625" style="418" bestFit="1" customWidth="1"/>
    <col min="9225" max="9225" width="12" style="418" bestFit="1" customWidth="1"/>
    <col min="9226" max="9472" width="11.42578125" style="418"/>
    <col min="9473" max="9473" width="15.85546875" style="418" bestFit="1" customWidth="1"/>
    <col min="9474" max="9474" width="23.85546875" style="418" customWidth="1"/>
    <col min="9475" max="9475" width="8.85546875" style="418" bestFit="1" customWidth="1"/>
    <col min="9476" max="9476" width="10.85546875" style="418" bestFit="1" customWidth="1"/>
    <col min="9477" max="9477" width="12.140625" style="418" bestFit="1" customWidth="1"/>
    <col min="9478" max="9478" width="18.42578125" style="418" bestFit="1" customWidth="1"/>
    <col min="9479" max="9479" width="10.85546875" style="418" customWidth="1"/>
    <col min="9480" max="9480" width="14.140625" style="418" bestFit="1" customWidth="1"/>
    <col min="9481" max="9481" width="12" style="418" bestFit="1" customWidth="1"/>
    <col min="9482" max="9728" width="11.42578125" style="418"/>
    <col min="9729" max="9729" width="15.85546875" style="418" bestFit="1" customWidth="1"/>
    <col min="9730" max="9730" width="23.85546875" style="418" customWidth="1"/>
    <col min="9731" max="9731" width="8.85546875" style="418" bestFit="1" customWidth="1"/>
    <col min="9732" max="9732" width="10.85546875" style="418" bestFit="1" customWidth="1"/>
    <col min="9733" max="9733" width="12.140625" style="418" bestFit="1" customWidth="1"/>
    <col min="9734" max="9734" width="18.42578125" style="418" bestFit="1" customWidth="1"/>
    <col min="9735" max="9735" width="10.85546875" style="418" customWidth="1"/>
    <col min="9736" max="9736" width="14.140625" style="418" bestFit="1" customWidth="1"/>
    <col min="9737" max="9737" width="12" style="418" bestFit="1" customWidth="1"/>
    <col min="9738" max="9984" width="11.42578125" style="418"/>
    <col min="9985" max="9985" width="15.85546875" style="418" bestFit="1" customWidth="1"/>
    <col min="9986" max="9986" width="23.85546875" style="418" customWidth="1"/>
    <col min="9987" max="9987" width="8.85546875" style="418" bestFit="1" customWidth="1"/>
    <col min="9988" max="9988" width="10.85546875" style="418" bestFit="1" customWidth="1"/>
    <col min="9989" max="9989" width="12.140625" style="418" bestFit="1" customWidth="1"/>
    <col min="9990" max="9990" width="18.42578125" style="418" bestFit="1" customWidth="1"/>
    <col min="9991" max="9991" width="10.85546875" style="418" customWidth="1"/>
    <col min="9992" max="9992" width="14.140625" style="418" bestFit="1" customWidth="1"/>
    <col min="9993" max="9993" width="12" style="418" bestFit="1" customWidth="1"/>
    <col min="9994" max="10240" width="11.42578125" style="418"/>
    <col min="10241" max="10241" width="15.85546875" style="418" bestFit="1" customWidth="1"/>
    <col min="10242" max="10242" width="23.85546875" style="418" customWidth="1"/>
    <col min="10243" max="10243" width="8.85546875" style="418" bestFit="1" customWidth="1"/>
    <col min="10244" max="10244" width="10.85546875" style="418" bestFit="1" customWidth="1"/>
    <col min="10245" max="10245" width="12.140625" style="418" bestFit="1" customWidth="1"/>
    <col min="10246" max="10246" width="18.42578125" style="418" bestFit="1" customWidth="1"/>
    <col min="10247" max="10247" width="10.85546875" style="418" customWidth="1"/>
    <col min="10248" max="10248" width="14.140625" style="418" bestFit="1" customWidth="1"/>
    <col min="10249" max="10249" width="12" style="418" bestFit="1" customWidth="1"/>
    <col min="10250" max="10496" width="11.42578125" style="418"/>
    <col min="10497" max="10497" width="15.85546875" style="418" bestFit="1" customWidth="1"/>
    <col min="10498" max="10498" width="23.85546875" style="418" customWidth="1"/>
    <col min="10499" max="10499" width="8.85546875" style="418" bestFit="1" customWidth="1"/>
    <col min="10500" max="10500" width="10.85546875" style="418" bestFit="1" customWidth="1"/>
    <col min="10501" max="10501" width="12.140625" style="418" bestFit="1" customWidth="1"/>
    <col min="10502" max="10502" width="18.42578125" style="418" bestFit="1" customWidth="1"/>
    <col min="10503" max="10503" width="10.85546875" style="418" customWidth="1"/>
    <col min="10504" max="10504" width="14.140625" style="418" bestFit="1" customWidth="1"/>
    <col min="10505" max="10505" width="12" style="418" bestFit="1" customWidth="1"/>
    <col min="10506" max="10752" width="11.42578125" style="418"/>
    <col min="10753" max="10753" width="15.85546875" style="418" bestFit="1" customWidth="1"/>
    <col min="10754" max="10754" width="23.85546875" style="418" customWidth="1"/>
    <col min="10755" max="10755" width="8.85546875" style="418" bestFit="1" customWidth="1"/>
    <col min="10756" max="10756" width="10.85546875" style="418" bestFit="1" customWidth="1"/>
    <col min="10757" max="10757" width="12.140625" style="418" bestFit="1" customWidth="1"/>
    <col min="10758" max="10758" width="18.42578125" style="418" bestFit="1" customWidth="1"/>
    <col min="10759" max="10759" width="10.85546875" style="418" customWidth="1"/>
    <col min="10760" max="10760" width="14.140625" style="418" bestFit="1" customWidth="1"/>
    <col min="10761" max="10761" width="12" style="418" bestFit="1" customWidth="1"/>
    <col min="10762" max="11008" width="11.42578125" style="418"/>
    <col min="11009" max="11009" width="15.85546875" style="418" bestFit="1" customWidth="1"/>
    <col min="11010" max="11010" width="23.85546875" style="418" customWidth="1"/>
    <col min="11011" max="11011" width="8.85546875" style="418" bestFit="1" customWidth="1"/>
    <col min="11012" max="11012" width="10.85546875" style="418" bestFit="1" customWidth="1"/>
    <col min="11013" max="11013" width="12.140625" style="418" bestFit="1" customWidth="1"/>
    <col min="11014" max="11014" width="18.42578125" style="418" bestFit="1" customWidth="1"/>
    <col min="11015" max="11015" width="10.85546875" style="418" customWidth="1"/>
    <col min="11016" max="11016" width="14.140625" style="418" bestFit="1" customWidth="1"/>
    <col min="11017" max="11017" width="12" style="418" bestFit="1" customWidth="1"/>
    <col min="11018" max="11264" width="11.42578125" style="418"/>
    <col min="11265" max="11265" width="15.85546875" style="418" bestFit="1" customWidth="1"/>
    <col min="11266" max="11266" width="23.85546875" style="418" customWidth="1"/>
    <col min="11267" max="11267" width="8.85546875" style="418" bestFit="1" customWidth="1"/>
    <col min="11268" max="11268" width="10.85546875" style="418" bestFit="1" customWidth="1"/>
    <col min="11269" max="11269" width="12.140625" style="418" bestFit="1" customWidth="1"/>
    <col min="11270" max="11270" width="18.42578125" style="418" bestFit="1" customWidth="1"/>
    <col min="11271" max="11271" width="10.85546875" style="418" customWidth="1"/>
    <col min="11272" max="11272" width="14.140625" style="418" bestFit="1" customWidth="1"/>
    <col min="11273" max="11273" width="12" style="418" bestFit="1" customWidth="1"/>
    <col min="11274" max="11520" width="11.42578125" style="418"/>
    <col min="11521" max="11521" width="15.85546875" style="418" bestFit="1" customWidth="1"/>
    <col min="11522" max="11522" width="23.85546875" style="418" customWidth="1"/>
    <col min="11523" max="11523" width="8.85546875" style="418" bestFit="1" customWidth="1"/>
    <col min="11524" max="11524" width="10.85546875" style="418" bestFit="1" customWidth="1"/>
    <col min="11525" max="11525" width="12.140625" style="418" bestFit="1" customWidth="1"/>
    <col min="11526" max="11526" width="18.42578125" style="418" bestFit="1" customWidth="1"/>
    <col min="11527" max="11527" width="10.85546875" style="418" customWidth="1"/>
    <col min="11528" max="11528" width="14.140625" style="418" bestFit="1" customWidth="1"/>
    <col min="11529" max="11529" width="12" style="418" bestFit="1" customWidth="1"/>
    <col min="11530" max="11776" width="11.42578125" style="418"/>
    <col min="11777" max="11777" width="15.85546875" style="418" bestFit="1" customWidth="1"/>
    <col min="11778" max="11778" width="23.85546875" style="418" customWidth="1"/>
    <col min="11779" max="11779" width="8.85546875" style="418" bestFit="1" customWidth="1"/>
    <col min="11780" max="11780" width="10.85546875" style="418" bestFit="1" customWidth="1"/>
    <col min="11781" max="11781" width="12.140625" style="418" bestFit="1" customWidth="1"/>
    <col min="11782" max="11782" width="18.42578125" style="418" bestFit="1" customWidth="1"/>
    <col min="11783" max="11783" width="10.85546875" style="418" customWidth="1"/>
    <col min="11784" max="11784" width="14.140625" style="418" bestFit="1" customWidth="1"/>
    <col min="11785" max="11785" width="12" style="418" bestFit="1" customWidth="1"/>
    <col min="11786" max="12032" width="11.42578125" style="418"/>
    <col min="12033" max="12033" width="15.85546875" style="418" bestFit="1" customWidth="1"/>
    <col min="12034" max="12034" width="23.85546875" style="418" customWidth="1"/>
    <col min="12035" max="12035" width="8.85546875" style="418" bestFit="1" customWidth="1"/>
    <col min="12036" max="12036" width="10.85546875" style="418" bestFit="1" customWidth="1"/>
    <col min="12037" max="12037" width="12.140625" style="418" bestFit="1" customWidth="1"/>
    <col min="12038" max="12038" width="18.42578125" style="418" bestFit="1" customWidth="1"/>
    <col min="12039" max="12039" width="10.85546875" style="418" customWidth="1"/>
    <col min="12040" max="12040" width="14.140625" style="418" bestFit="1" customWidth="1"/>
    <col min="12041" max="12041" width="12" style="418" bestFit="1" customWidth="1"/>
    <col min="12042" max="12288" width="11.42578125" style="418"/>
    <col min="12289" max="12289" width="15.85546875" style="418" bestFit="1" customWidth="1"/>
    <col min="12290" max="12290" width="23.85546875" style="418" customWidth="1"/>
    <col min="12291" max="12291" width="8.85546875" style="418" bestFit="1" customWidth="1"/>
    <col min="12292" max="12292" width="10.85546875" style="418" bestFit="1" customWidth="1"/>
    <col min="12293" max="12293" width="12.140625" style="418" bestFit="1" customWidth="1"/>
    <col min="12294" max="12294" width="18.42578125" style="418" bestFit="1" customWidth="1"/>
    <col min="12295" max="12295" width="10.85546875" style="418" customWidth="1"/>
    <col min="12296" max="12296" width="14.140625" style="418" bestFit="1" customWidth="1"/>
    <col min="12297" max="12297" width="12" style="418" bestFit="1" customWidth="1"/>
    <col min="12298" max="12544" width="11.42578125" style="418"/>
    <col min="12545" max="12545" width="15.85546875" style="418" bestFit="1" customWidth="1"/>
    <col min="12546" max="12546" width="23.85546875" style="418" customWidth="1"/>
    <col min="12547" max="12547" width="8.85546875" style="418" bestFit="1" customWidth="1"/>
    <col min="12548" max="12548" width="10.85546875" style="418" bestFit="1" customWidth="1"/>
    <col min="12549" max="12549" width="12.140625" style="418" bestFit="1" customWidth="1"/>
    <col min="12550" max="12550" width="18.42578125" style="418" bestFit="1" customWidth="1"/>
    <col min="12551" max="12551" width="10.85546875" style="418" customWidth="1"/>
    <col min="12552" max="12552" width="14.140625" style="418" bestFit="1" customWidth="1"/>
    <col min="12553" max="12553" width="12" style="418" bestFit="1" customWidth="1"/>
    <col min="12554" max="12800" width="11.42578125" style="418"/>
    <col min="12801" max="12801" width="15.85546875" style="418" bestFit="1" customWidth="1"/>
    <col min="12802" max="12802" width="23.85546875" style="418" customWidth="1"/>
    <col min="12803" max="12803" width="8.85546875" style="418" bestFit="1" customWidth="1"/>
    <col min="12804" max="12804" width="10.85546875" style="418" bestFit="1" customWidth="1"/>
    <col min="12805" max="12805" width="12.140625" style="418" bestFit="1" customWidth="1"/>
    <col min="12806" max="12806" width="18.42578125" style="418" bestFit="1" customWidth="1"/>
    <col min="12807" max="12807" width="10.85546875" style="418" customWidth="1"/>
    <col min="12808" max="12808" width="14.140625" style="418" bestFit="1" customWidth="1"/>
    <col min="12809" max="12809" width="12" style="418" bestFit="1" customWidth="1"/>
    <col min="12810" max="13056" width="11.42578125" style="418"/>
    <col min="13057" max="13057" width="15.85546875" style="418" bestFit="1" customWidth="1"/>
    <col min="13058" max="13058" width="23.85546875" style="418" customWidth="1"/>
    <col min="13059" max="13059" width="8.85546875" style="418" bestFit="1" customWidth="1"/>
    <col min="13060" max="13060" width="10.85546875" style="418" bestFit="1" customWidth="1"/>
    <col min="13061" max="13061" width="12.140625" style="418" bestFit="1" customWidth="1"/>
    <col min="13062" max="13062" width="18.42578125" style="418" bestFit="1" customWidth="1"/>
    <col min="13063" max="13063" width="10.85546875" style="418" customWidth="1"/>
    <col min="13064" max="13064" width="14.140625" style="418" bestFit="1" customWidth="1"/>
    <col min="13065" max="13065" width="12" style="418" bestFit="1" customWidth="1"/>
    <col min="13066" max="13312" width="11.42578125" style="418"/>
    <col min="13313" max="13313" width="15.85546875" style="418" bestFit="1" customWidth="1"/>
    <col min="13314" max="13314" width="23.85546875" style="418" customWidth="1"/>
    <col min="13315" max="13315" width="8.85546875" style="418" bestFit="1" customWidth="1"/>
    <col min="13316" max="13316" width="10.85546875" style="418" bestFit="1" customWidth="1"/>
    <col min="13317" max="13317" width="12.140625" style="418" bestFit="1" customWidth="1"/>
    <col min="13318" max="13318" width="18.42578125" style="418" bestFit="1" customWidth="1"/>
    <col min="13319" max="13319" width="10.85546875" style="418" customWidth="1"/>
    <col min="13320" max="13320" width="14.140625" style="418" bestFit="1" customWidth="1"/>
    <col min="13321" max="13321" width="12" style="418" bestFit="1" customWidth="1"/>
    <col min="13322" max="13568" width="11.42578125" style="418"/>
    <col min="13569" max="13569" width="15.85546875" style="418" bestFit="1" customWidth="1"/>
    <col min="13570" max="13570" width="23.85546875" style="418" customWidth="1"/>
    <col min="13571" max="13571" width="8.85546875" style="418" bestFit="1" customWidth="1"/>
    <col min="13572" max="13572" width="10.85546875" style="418" bestFit="1" customWidth="1"/>
    <col min="13573" max="13573" width="12.140625" style="418" bestFit="1" customWidth="1"/>
    <col min="13574" max="13574" width="18.42578125" style="418" bestFit="1" customWidth="1"/>
    <col min="13575" max="13575" width="10.85546875" style="418" customWidth="1"/>
    <col min="13576" max="13576" width="14.140625" style="418" bestFit="1" customWidth="1"/>
    <col min="13577" max="13577" width="12" style="418" bestFit="1" customWidth="1"/>
    <col min="13578" max="13824" width="11.42578125" style="418"/>
    <col min="13825" max="13825" width="15.85546875" style="418" bestFit="1" customWidth="1"/>
    <col min="13826" max="13826" width="23.85546875" style="418" customWidth="1"/>
    <col min="13827" max="13827" width="8.85546875" style="418" bestFit="1" customWidth="1"/>
    <col min="13828" max="13828" width="10.85546875" style="418" bestFit="1" customWidth="1"/>
    <col min="13829" max="13829" width="12.140625" style="418" bestFit="1" customWidth="1"/>
    <col min="13830" max="13830" width="18.42578125" style="418" bestFit="1" customWidth="1"/>
    <col min="13831" max="13831" width="10.85546875" style="418" customWidth="1"/>
    <col min="13832" max="13832" width="14.140625" style="418" bestFit="1" customWidth="1"/>
    <col min="13833" max="13833" width="12" style="418" bestFit="1" customWidth="1"/>
    <col min="13834" max="14080" width="11.42578125" style="418"/>
    <col min="14081" max="14081" width="15.85546875" style="418" bestFit="1" customWidth="1"/>
    <col min="14082" max="14082" width="23.85546875" style="418" customWidth="1"/>
    <col min="14083" max="14083" width="8.85546875" style="418" bestFit="1" customWidth="1"/>
    <col min="14084" max="14084" width="10.85546875" style="418" bestFit="1" customWidth="1"/>
    <col min="14085" max="14085" width="12.140625" style="418" bestFit="1" customWidth="1"/>
    <col min="14086" max="14086" width="18.42578125" style="418" bestFit="1" customWidth="1"/>
    <col min="14087" max="14087" width="10.85546875" style="418" customWidth="1"/>
    <col min="14088" max="14088" width="14.140625" style="418" bestFit="1" customWidth="1"/>
    <col min="14089" max="14089" width="12" style="418" bestFit="1" customWidth="1"/>
    <col min="14090" max="14336" width="11.42578125" style="418"/>
    <col min="14337" max="14337" width="15.85546875" style="418" bestFit="1" customWidth="1"/>
    <col min="14338" max="14338" width="23.85546875" style="418" customWidth="1"/>
    <col min="14339" max="14339" width="8.85546875" style="418" bestFit="1" customWidth="1"/>
    <col min="14340" max="14340" width="10.85546875" style="418" bestFit="1" customWidth="1"/>
    <col min="14341" max="14341" width="12.140625" style="418" bestFit="1" customWidth="1"/>
    <col min="14342" max="14342" width="18.42578125" style="418" bestFit="1" customWidth="1"/>
    <col min="14343" max="14343" width="10.85546875" style="418" customWidth="1"/>
    <col min="14344" max="14344" width="14.140625" style="418" bestFit="1" customWidth="1"/>
    <col min="14345" max="14345" width="12" style="418" bestFit="1" customWidth="1"/>
    <col min="14346" max="14592" width="11.42578125" style="418"/>
    <col min="14593" max="14593" width="15.85546875" style="418" bestFit="1" customWidth="1"/>
    <col min="14594" max="14594" width="23.85546875" style="418" customWidth="1"/>
    <col min="14595" max="14595" width="8.85546875" style="418" bestFit="1" customWidth="1"/>
    <col min="14596" max="14596" width="10.85546875" style="418" bestFit="1" customWidth="1"/>
    <col min="14597" max="14597" width="12.140625" style="418" bestFit="1" customWidth="1"/>
    <col min="14598" max="14598" width="18.42578125" style="418" bestFit="1" customWidth="1"/>
    <col min="14599" max="14599" width="10.85546875" style="418" customWidth="1"/>
    <col min="14600" max="14600" width="14.140625" style="418" bestFit="1" customWidth="1"/>
    <col min="14601" max="14601" width="12" style="418" bestFit="1" customWidth="1"/>
    <col min="14602" max="14848" width="11.42578125" style="418"/>
    <col min="14849" max="14849" width="15.85546875" style="418" bestFit="1" customWidth="1"/>
    <col min="14850" max="14850" width="23.85546875" style="418" customWidth="1"/>
    <col min="14851" max="14851" width="8.85546875" style="418" bestFit="1" customWidth="1"/>
    <col min="14852" max="14852" width="10.85546875" style="418" bestFit="1" customWidth="1"/>
    <col min="14853" max="14853" width="12.140625" style="418" bestFit="1" customWidth="1"/>
    <col min="14854" max="14854" width="18.42578125" style="418" bestFit="1" customWidth="1"/>
    <col min="14855" max="14855" width="10.85546875" style="418" customWidth="1"/>
    <col min="14856" max="14856" width="14.140625" style="418" bestFit="1" customWidth="1"/>
    <col min="14857" max="14857" width="12" style="418" bestFit="1" customWidth="1"/>
    <col min="14858" max="15104" width="11.42578125" style="418"/>
    <col min="15105" max="15105" width="15.85546875" style="418" bestFit="1" customWidth="1"/>
    <col min="15106" max="15106" width="23.85546875" style="418" customWidth="1"/>
    <col min="15107" max="15107" width="8.85546875" style="418" bestFit="1" customWidth="1"/>
    <col min="15108" max="15108" width="10.85546875" style="418" bestFit="1" customWidth="1"/>
    <col min="15109" max="15109" width="12.140625" style="418" bestFit="1" customWidth="1"/>
    <col min="15110" max="15110" width="18.42578125" style="418" bestFit="1" customWidth="1"/>
    <col min="15111" max="15111" width="10.85546875" style="418" customWidth="1"/>
    <col min="15112" max="15112" width="14.140625" style="418" bestFit="1" customWidth="1"/>
    <col min="15113" max="15113" width="12" style="418" bestFit="1" customWidth="1"/>
    <col min="15114" max="15360" width="11.42578125" style="418"/>
    <col min="15361" max="15361" width="15.85546875" style="418" bestFit="1" customWidth="1"/>
    <col min="15362" max="15362" width="23.85546875" style="418" customWidth="1"/>
    <col min="15363" max="15363" width="8.85546875" style="418" bestFit="1" customWidth="1"/>
    <col min="15364" max="15364" width="10.85546875" style="418" bestFit="1" customWidth="1"/>
    <col min="15365" max="15365" width="12.140625" style="418" bestFit="1" customWidth="1"/>
    <col min="15366" max="15366" width="18.42578125" style="418" bestFit="1" customWidth="1"/>
    <col min="15367" max="15367" width="10.85546875" style="418" customWidth="1"/>
    <col min="15368" max="15368" width="14.140625" style="418" bestFit="1" customWidth="1"/>
    <col min="15369" max="15369" width="12" style="418" bestFit="1" customWidth="1"/>
    <col min="15370" max="15616" width="11.42578125" style="418"/>
    <col min="15617" max="15617" width="15.85546875" style="418" bestFit="1" customWidth="1"/>
    <col min="15618" max="15618" width="23.85546875" style="418" customWidth="1"/>
    <col min="15619" max="15619" width="8.85546875" style="418" bestFit="1" customWidth="1"/>
    <col min="15620" max="15620" width="10.85546875" style="418" bestFit="1" customWidth="1"/>
    <col min="15621" max="15621" width="12.140625" style="418" bestFit="1" customWidth="1"/>
    <col min="15622" max="15622" width="18.42578125" style="418" bestFit="1" customWidth="1"/>
    <col min="15623" max="15623" width="10.85546875" style="418" customWidth="1"/>
    <col min="15624" max="15624" width="14.140625" style="418" bestFit="1" customWidth="1"/>
    <col min="15625" max="15625" width="12" style="418" bestFit="1" customWidth="1"/>
    <col min="15626" max="15872" width="11.42578125" style="418"/>
    <col min="15873" max="15873" width="15.85546875" style="418" bestFit="1" customWidth="1"/>
    <col min="15874" max="15874" width="23.85546875" style="418" customWidth="1"/>
    <col min="15875" max="15875" width="8.85546875" style="418" bestFit="1" customWidth="1"/>
    <col min="15876" max="15876" width="10.85546875" style="418" bestFit="1" customWidth="1"/>
    <col min="15877" max="15877" width="12.140625" style="418" bestFit="1" customWidth="1"/>
    <col min="15878" max="15878" width="18.42578125" style="418" bestFit="1" customWidth="1"/>
    <col min="15879" max="15879" width="10.85546875" style="418" customWidth="1"/>
    <col min="15880" max="15880" width="14.140625" style="418" bestFit="1" customWidth="1"/>
    <col min="15881" max="15881" width="12" style="418" bestFit="1" customWidth="1"/>
    <col min="15882" max="16128" width="11.42578125" style="418"/>
    <col min="16129" max="16129" width="15.85546875" style="418" bestFit="1" customWidth="1"/>
    <col min="16130" max="16130" width="23.85546875" style="418" customWidth="1"/>
    <col min="16131" max="16131" width="8.85546875" style="418" bestFit="1" customWidth="1"/>
    <col min="16132" max="16132" width="10.85546875" style="418" bestFit="1" customWidth="1"/>
    <col min="16133" max="16133" width="12.140625" style="418" bestFit="1" customWidth="1"/>
    <col min="16134" max="16134" width="18.42578125" style="418" bestFit="1" customWidth="1"/>
    <col min="16135" max="16135" width="10.85546875" style="418" customWidth="1"/>
    <col min="16136" max="16136" width="14.140625" style="418" bestFit="1" customWidth="1"/>
    <col min="16137" max="16137" width="12" style="418" bestFit="1" customWidth="1"/>
    <col min="16138" max="16384" width="11.42578125" style="418"/>
  </cols>
  <sheetData>
    <row r="1" spans="1:11" ht="22.5" customHeight="1" x14ac:dyDescent="0.25">
      <c r="H1" s="1454"/>
      <c r="K1" s="418" t="s">
        <v>559</v>
      </c>
    </row>
    <row r="2" spans="1:11" s="419" customFormat="1" ht="11.25" customHeight="1" x14ac:dyDescent="0.2">
      <c r="A2" s="421" t="s">
        <v>560</v>
      </c>
      <c r="B2" s="422"/>
      <c r="C2" s="422"/>
      <c r="D2" s="423"/>
      <c r="E2" s="424"/>
      <c r="F2" s="425"/>
      <c r="G2" s="426"/>
      <c r="H2" s="426"/>
    </row>
    <row r="3" spans="1:11" s="419" customFormat="1" ht="12" customHeight="1" x14ac:dyDescent="0.2">
      <c r="A3" s="428" t="s">
        <v>561</v>
      </c>
      <c r="B3" s="429"/>
      <c r="C3" s="429"/>
      <c r="D3" s="430"/>
      <c r="E3" s="431"/>
      <c r="F3" s="432"/>
      <c r="G3" s="433"/>
      <c r="H3" s="433" t="s">
        <v>562</v>
      </c>
    </row>
    <row r="4" spans="1:11" s="441" customFormat="1" ht="12" customHeight="1" x14ac:dyDescent="0.2">
      <c r="A4" s="435" t="s">
        <v>564</v>
      </c>
      <c r="B4" s="436">
        <f ca="1">+TODAY()</f>
        <v>45763</v>
      </c>
      <c r="C4" s="436"/>
      <c r="D4" s="435"/>
      <c r="E4" s="437"/>
      <c r="F4" s="438" t="s">
        <v>565</v>
      </c>
      <c r="G4" s="435"/>
      <c r="H4" s="440" t="s">
        <v>566</v>
      </c>
    </row>
    <row r="5" spans="1:11" s="441" customFormat="1" ht="12" customHeight="1" x14ac:dyDescent="0.2">
      <c r="A5" s="435"/>
      <c r="B5" s="436"/>
      <c r="C5" s="436"/>
      <c r="D5" s="442"/>
      <c r="F5" s="443"/>
      <c r="G5" s="442"/>
      <c r="H5" s="445">
        <v>3</v>
      </c>
    </row>
    <row r="6" spans="1:11" ht="11.25" customHeight="1" x14ac:dyDescent="0.25">
      <c r="A6" s="446" t="s">
        <v>572</v>
      </c>
      <c r="B6" s="447">
        <v>932</v>
      </c>
      <c r="C6" s="448" t="s">
        <v>34</v>
      </c>
      <c r="D6" s="449" t="s">
        <v>571</v>
      </c>
      <c r="E6" s="450"/>
      <c r="F6" s="425" t="s">
        <v>561</v>
      </c>
      <c r="G6" s="563"/>
      <c r="H6" s="453">
        <v>3</v>
      </c>
    </row>
    <row r="7" spans="1:11" ht="11.25" customHeight="1" x14ac:dyDescent="0.25">
      <c r="A7" s="454"/>
      <c r="B7" s="419"/>
      <c r="C7" s="455"/>
      <c r="D7" s="454" t="s">
        <v>573</v>
      </c>
      <c r="F7" s="443" t="s">
        <v>574</v>
      </c>
      <c r="G7" s="456"/>
      <c r="H7" s="458">
        <v>280</v>
      </c>
      <c r="I7" s="418">
        <f>+H7*J20</f>
        <v>235.2</v>
      </c>
    </row>
    <row r="8" spans="1:11" ht="11.25" customHeight="1" x14ac:dyDescent="0.25">
      <c r="A8" s="454"/>
      <c r="B8" s="419"/>
      <c r="C8" s="455"/>
      <c r="D8" s="454" t="s">
        <v>573</v>
      </c>
      <c r="F8" s="443" t="s">
        <v>575</v>
      </c>
      <c r="G8" s="460"/>
      <c r="H8" s="462">
        <f>H7*B6</f>
        <v>260960</v>
      </c>
    </row>
    <row r="9" spans="1:11" ht="11.25" customHeight="1" x14ac:dyDescent="0.25">
      <c r="A9" s="454"/>
      <c r="B9" s="419"/>
      <c r="C9" s="455"/>
      <c r="D9" s="454"/>
      <c r="F9" s="443"/>
      <c r="G9" s="460"/>
      <c r="H9" s="456"/>
    </row>
    <row r="10" spans="1:11" ht="11.25" customHeight="1" x14ac:dyDescent="0.25">
      <c r="A10" s="463" t="s">
        <v>576</v>
      </c>
      <c r="B10" s="464"/>
      <c r="C10" s="465"/>
      <c r="D10" s="463" t="s">
        <v>577</v>
      </c>
      <c r="E10" s="464"/>
      <c r="F10" s="432" t="s">
        <v>575</v>
      </c>
      <c r="G10" s="466"/>
      <c r="H10" s="468">
        <f>+H7*H5</f>
        <v>840</v>
      </c>
    </row>
    <row r="11" spans="1:11" ht="11.25" customHeight="1" x14ac:dyDescent="0.25">
      <c r="A11" s="449"/>
      <c r="B11" s="450"/>
      <c r="C11" s="469">
        <v>0.105</v>
      </c>
      <c r="D11" s="449"/>
      <c r="E11" s="450"/>
      <c r="F11" s="470" t="s">
        <v>578</v>
      </c>
      <c r="G11" s="471"/>
      <c r="H11" s="473"/>
    </row>
    <row r="12" spans="1:11" ht="11.25" customHeight="1" x14ac:dyDescent="0.25">
      <c r="A12" s="449" t="s">
        <v>579</v>
      </c>
      <c r="B12" s="450" t="s">
        <v>580</v>
      </c>
      <c r="C12" s="469"/>
      <c r="D12" s="474">
        <v>42</v>
      </c>
      <c r="E12" s="450">
        <f>D12*B6</f>
        <v>39144</v>
      </c>
      <c r="F12" s="475"/>
      <c r="G12" s="476"/>
      <c r="H12" s="478">
        <f>D12*H5</f>
        <v>126</v>
      </c>
    </row>
    <row r="13" spans="1:11" ht="11.25" customHeight="1" x14ac:dyDescent="0.25">
      <c r="A13" s="454"/>
      <c r="B13" s="418" t="s">
        <v>581</v>
      </c>
      <c r="C13" s="479"/>
      <c r="D13" s="480">
        <v>42</v>
      </c>
      <c r="E13" s="418">
        <f>+D13*B6</f>
        <v>39144</v>
      </c>
      <c r="F13" s="481">
        <f>+E13*1.21</f>
        <v>47364.24</v>
      </c>
      <c r="G13" s="460"/>
      <c r="H13" s="456"/>
    </row>
    <row r="14" spans="1:11" ht="11.25" customHeight="1" x14ac:dyDescent="0.25">
      <c r="A14" s="454"/>
      <c r="B14" s="441" t="s">
        <v>582</v>
      </c>
      <c r="C14" s="479"/>
      <c r="D14" s="454"/>
      <c r="F14" s="482">
        <v>6.0000000000000001E-3</v>
      </c>
      <c r="G14" s="460"/>
      <c r="H14" s="456"/>
    </row>
    <row r="15" spans="1:11" ht="11.25" customHeight="1" x14ac:dyDescent="0.25">
      <c r="A15" s="454"/>
      <c r="B15" s="441" t="s">
        <v>583</v>
      </c>
      <c r="C15" s="479"/>
      <c r="D15" s="454"/>
      <c r="F15" s="483">
        <v>1.4999999999999999E-2</v>
      </c>
      <c r="G15" s="460"/>
      <c r="H15" s="456"/>
    </row>
    <row r="16" spans="1:11" ht="11.25" customHeight="1" x14ac:dyDescent="0.25">
      <c r="A16" s="454"/>
      <c r="B16" s="441" t="s">
        <v>584</v>
      </c>
      <c r="C16" s="479"/>
      <c r="D16" s="454"/>
      <c r="F16" s="483">
        <v>1.6299999999999999E-2</v>
      </c>
      <c r="G16" s="460"/>
      <c r="H16" s="456"/>
    </row>
    <row r="17" spans="1:23" ht="11.25" customHeight="1" x14ac:dyDescent="0.25">
      <c r="A17" s="454"/>
      <c r="B17" s="441" t="s">
        <v>585</v>
      </c>
      <c r="C17" s="479"/>
      <c r="D17" s="454"/>
      <c r="F17" s="483">
        <v>0.08</v>
      </c>
      <c r="G17" s="460"/>
      <c r="H17" s="456"/>
    </row>
    <row r="18" spans="1:23" ht="11.25" customHeight="1" x14ac:dyDescent="0.25">
      <c r="A18" s="454"/>
      <c r="B18" s="418" t="s">
        <v>586</v>
      </c>
      <c r="C18" s="479"/>
      <c r="D18" s="454"/>
      <c r="F18" s="483">
        <v>0</v>
      </c>
      <c r="G18" s="460"/>
      <c r="H18" s="456"/>
    </row>
    <row r="19" spans="1:23" ht="11.25" customHeight="1" x14ac:dyDescent="0.25">
      <c r="A19" s="454"/>
      <c r="B19" s="418" t="s">
        <v>587</v>
      </c>
      <c r="C19" s="479"/>
      <c r="D19" s="454"/>
      <c r="F19" s="482">
        <v>0.01</v>
      </c>
      <c r="G19" s="460"/>
      <c r="H19" s="456">
        <f>+F19*H10</f>
        <v>8.4</v>
      </c>
    </row>
    <row r="20" spans="1:23" ht="11.25" customHeight="1" x14ac:dyDescent="0.25">
      <c r="A20" s="484" t="s">
        <v>588</v>
      </c>
      <c r="B20" s="464"/>
      <c r="C20" s="485"/>
      <c r="D20" s="463"/>
      <c r="E20" s="464"/>
      <c r="F20" s="486"/>
      <c r="G20" s="564"/>
      <c r="H20" s="489">
        <f>SUM(H12:H19)</f>
        <v>134.4</v>
      </c>
      <c r="I20" s="565">
        <f>+H20/H10</f>
        <v>0.16</v>
      </c>
      <c r="J20" s="565">
        <f>1-I20</f>
        <v>0.84</v>
      </c>
      <c r="K20" s="491"/>
      <c r="L20" s="491"/>
      <c r="M20" s="491"/>
      <c r="N20" s="491"/>
      <c r="O20" s="491"/>
      <c r="P20" s="491"/>
      <c r="Q20" s="491"/>
      <c r="R20" s="491"/>
      <c r="S20" s="491"/>
      <c r="T20" s="491"/>
      <c r="U20" s="491"/>
      <c r="V20" s="491"/>
      <c r="W20" s="491"/>
    </row>
    <row r="21" spans="1:23" ht="35.450000000000003" customHeight="1" x14ac:dyDescent="0.25">
      <c r="A21" s="463" t="s">
        <v>589</v>
      </c>
      <c r="B21" s="464"/>
      <c r="C21" s="464" t="s">
        <v>565</v>
      </c>
      <c r="D21" s="566" t="s">
        <v>590</v>
      </c>
      <c r="E21" s="567" t="s">
        <v>591</v>
      </c>
      <c r="F21" s="568" t="s">
        <v>592</v>
      </c>
      <c r="G21" s="498" t="s">
        <v>594</v>
      </c>
      <c r="H21" s="499">
        <f>+H10-H20</f>
        <v>705.6</v>
      </c>
      <c r="I21" s="491"/>
      <c r="J21" s="491"/>
      <c r="K21" s="491"/>
      <c r="L21" s="491"/>
      <c r="M21" s="491"/>
      <c r="N21" s="491"/>
      <c r="O21" s="491"/>
      <c r="P21" s="491"/>
      <c r="Q21" s="491"/>
      <c r="R21" s="491"/>
      <c r="S21" s="491"/>
      <c r="T21" s="491"/>
      <c r="U21" s="491"/>
      <c r="V21" s="491"/>
      <c r="W21" s="491"/>
    </row>
    <row r="22" spans="1:23" ht="15" customHeight="1" x14ac:dyDescent="0.25">
      <c r="A22" s="442" t="s">
        <v>596</v>
      </c>
      <c r="B22" s="418" t="s">
        <v>597</v>
      </c>
      <c r="C22" s="418" t="s">
        <v>565</v>
      </c>
      <c r="D22" s="569">
        <v>50</v>
      </c>
      <c r="E22" s="504">
        <f t="shared" ref="E22:E37" si="0">+D22*$B$6</f>
        <v>46600</v>
      </c>
      <c r="F22" s="505">
        <f>+D22*$B$6*1.105</f>
        <v>51493</v>
      </c>
      <c r="G22" s="570">
        <v>1</v>
      </c>
      <c r="H22" s="571">
        <f>+G22*D22</f>
        <v>50</v>
      </c>
      <c r="I22" s="491">
        <f>+SUM(H22:H24)</f>
        <v>78</v>
      </c>
      <c r="J22" s="491" t="s">
        <v>890</v>
      </c>
      <c r="K22" s="491"/>
      <c r="L22" s="491"/>
      <c r="M22" s="491"/>
      <c r="N22" s="491"/>
      <c r="O22" s="491"/>
      <c r="P22" s="491"/>
      <c r="Q22" s="491"/>
      <c r="R22" s="491"/>
      <c r="S22" s="491"/>
      <c r="T22" s="491"/>
      <c r="U22" s="491"/>
      <c r="V22" s="491"/>
      <c r="W22" s="491"/>
    </row>
    <row r="23" spans="1:23" ht="15" customHeight="1" x14ac:dyDescent="0.25">
      <c r="A23" s="442" t="s">
        <v>596</v>
      </c>
      <c r="B23" s="418" t="s">
        <v>598</v>
      </c>
      <c r="C23" s="418" t="s">
        <v>565</v>
      </c>
      <c r="D23" s="503">
        <v>7</v>
      </c>
      <c r="E23" s="504">
        <f t="shared" si="0"/>
        <v>6524</v>
      </c>
      <c r="F23" s="505">
        <f>+D23*$B$6*1.105</f>
        <v>7209.0199999999995</v>
      </c>
      <c r="G23" s="570">
        <v>4</v>
      </c>
      <c r="H23" s="508">
        <f>G23*D23</f>
        <v>28</v>
      </c>
      <c r="I23" s="572"/>
      <c r="J23" s="573"/>
      <c r="K23" s="501"/>
      <c r="L23" s="501"/>
      <c r="M23" s="501"/>
      <c r="N23" s="501"/>
      <c r="O23" s="501"/>
      <c r="P23" s="501"/>
      <c r="Q23" s="501"/>
      <c r="R23" s="501"/>
      <c r="S23" s="501"/>
      <c r="T23" s="501"/>
      <c r="U23" s="501"/>
      <c r="V23" s="501"/>
      <c r="W23" s="501"/>
    </row>
    <row r="24" spans="1:23" ht="15" customHeight="1" x14ac:dyDescent="0.25">
      <c r="A24" s="442" t="s">
        <v>596</v>
      </c>
      <c r="B24" s="418" t="s">
        <v>599</v>
      </c>
      <c r="C24" s="418" t="s">
        <v>565</v>
      </c>
      <c r="D24" s="503">
        <v>0</v>
      </c>
      <c r="E24" s="504">
        <f t="shared" si="0"/>
        <v>0</v>
      </c>
      <c r="F24" s="505">
        <f t="shared" ref="F24:F37" si="1">+D24*$B$6*1.21</f>
        <v>0</v>
      </c>
      <c r="G24" s="570">
        <v>1</v>
      </c>
      <c r="H24" s="508">
        <f>+G24*D24</f>
        <v>0</v>
      </c>
      <c r="I24" s="491"/>
      <c r="J24" s="491"/>
      <c r="K24" s="491"/>
      <c r="L24" s="491"/>
      <c r="M24" s="491"/>
      <c r="N24" s="491"/>
      <c r="O24" s="491"/>
      <c r="P24" s="491"/>
      <c r="Q24" s="491"/>
      <c r="R24" s="491"/>
      <c r="S24" s="491"/>
      <c r="T24" s="491"/>
      <c r="U24" s="491"/>
      <c r="V24" s="491"/>
      <c r="W24" s="491"/>
    </row>
    <row r="25" spans="1:23" ht="15" customHeight="1" x14ac:dyDescent="0.25">
      <c r="A25" s="442" t="s">
        <v>891</v>
      </c>
      <c r="B25" s="418" t="s">
        <v>892</v>
      </c>
      <c r="C25" s="418" t="s">
        <v>893</v>
      </c>
      <c r="D25" s="503">
        <v>282</v>
      </c>
      <c r="E25" s="504"/>
      <c r="F25" s="505"/>
      <c r="G25" s="570">
        <v>0.1</v>
      </c>
      <c r="H25" s="508">
        <f>+G25*D25</f>
        <v>28.200000000000003</v>
      </c>
      <c r="I25" s="491"/>
      <c r="J25" s="491"/>
      <c r="K25" s="491"/>
      <c r="L25" s="491"/>
      <c r="M25" s="491"/>
      <c r="N25" s="491"/>
      <c r="O25" s="491"/>
      <c r="P25" s="491"/>
      <c r="Q25" s="491"/>
      <c r="R25" s="491"/>
      <c r="S25" s="491"/>
      <c r="T25" s="491"/>
      <c r="U25" s="491"/>
      <c r="V25" s="491"/>
      <c r="W25" s="491"/>
    </row>
    <row r="26" spans="1:23" ht="15" customHeight="1" thickBot="1" x14ac:dyDescent="0.3">
      <c r="A26" s="442" t="s">
        <v>600</v>
      </c>
      <c r="B26" s="418" t="s">
        <v>894</v>
      </c>
      <c r="C26" s="418" t="s">
        <v>602</v>
      </c>
      <c r="D26" s="503">
        <v>0.44</v>
      </c>
      <c r="E26" s="504">
        <f>+D26*$B$6</f>
        <v>410.08</v>
      </c>
      <c r="F26" s="505">
        <f>+D26*$B$6*1.21</f>
        <v>496.19679999999994</v>
      </c>
      <c r="G26" s="574">
        <v>65</v>
      </c>
      <c r="H26" s="508">
        <f>G26*D26</f>
        <v>28.6</v>
      </c>
      <c r="I26" s="575"/>
      <c r="J26" s="509"/>
      <c r="K26" s="509"/>
      <c r="L26" s="509"/>
      <c r="M26" s="509"/>
      <c r="N26" s="509"/>
      <c r="O26" s="509"/>
      <c r="P26" s="509"/>
      <c r="Q26" s="509"/>
      <c r="R26" s="509"/>
      <c r="S26" s="509"/>
      <c r="T26" s="509"/>
      <c r="U26" s="509"/>
      <c r="V26" s="509"/>
      <c r="W26" s="509"/>
    </row>
    <row r="27" spans="1:23" ht="15" customHeight="1" thickBot="1" x14ac:dyDescent="0.3">
      <c r="A27" s="442" t="s">
        <v>389</v>
      </c>
      <c r="B27" s="576" t="s">
        <v>895</v>
      </c>
      <c r="C27" s="418" t="s">
        <v>603</v>
      </c>
      <c r="D27" s="503">
        <v>1</v>
      </c>
      <c r="E27" s="504">
        <f>+D27*$B$6</f>
        <v>932</v>
      </c>
      <c r="F27" s="505">
        <f>+D27*$B$6*1.21</f>
        <v>1127.72</v>
      </c>
      <c r="G27" s="570">
        <v>3</v>
      </c>
      <c r="H27" s="508">
        <f>G27*D27</f>
        <v>3</v>
      </c>
      <c r="I27" s="491"/>
      <c r="J27" s="491"/>
      <c r="K27" s="491"/>
      <c r="L27" s="491"/>
      <c r="M27" s="491"/>
      <c r="N27" s="491"/>
      <c r="O27" s="491"/>
      <c r="P27" s="491"/>
      <c r="Q27" s="491"/>
      <c r="R27" s="491"/>
      <c r="S27" s="491"/>
      <c r="T27" s="491"/>
      <c r="U27" s="491"/>
      <c r="V27" s="491"/>
      <c r="W27" s="491"/>
    </row>
    <row r="28" spans="1:23" ht="15" customHeight="1" thickBot="1" x14ac:dyDescent="0.3">
      <c r="A28" s="442" t="s">
        <v>389</v>
      </c>
      <c r="B28" s="576" t="s">
        <v>718</v>
      </c>
      <c r="C28" s="1454" t="s">
        <v>896</v>
      </c>
      <c r="D28" s="511">
        <v>18</v>
      </c>
      <c r="E28" s="512">
        <f>+D28*$B$6</f>
        <v>16776</v>
      </c>
      <c r="F28" s="513">
        <f>+D28*$B$6*1.21</f>
        <v>20298.96</v>
      </c>
      <c r="G28" s="577">
        <v>0.5</v>
      </c>
      <c r="H28" s="520">
        <f>G28*D28</f>
        <v>9</v>
      </c>
      <c r="I28" s="491"/>
      <c r="J28" s="491"/>
      <c r="K28" s="491"/>
      <c r="L28" s="491"/>
      <c r="M28" s="491"/>
      <c r="N28" s="491"/>
      <c r="O28" s="491"/>
      <c r="P28" s="491"/>
      <c r="Q28" s="491"/>
      <c r="R28" s="491"/>
      <c r="S28" s="491"/>
      <c r="T28" s="491"/>
      <c r="U28" s="491"/>
      <c r="V28" s="491"/>
      <c r="W28" s="491"/>
    </row>
    <row r="29" spans="1:23" ht="15" customHeight="1" thickBot="1" x14ac:dyDescent="0.3">
      <c r="A29" s="442" t="s">
        <v>389</v>
      </c>
      <c r="B29" s="576" t="s">
        <v>897</v>
      </c>
      <c r="C29" s="418" t="s">
        <v>608</v>
      </c>
      <c r="D29" s="503">
        <v>26</v>
      </c>
      <c r="E29" s="504">
        <f>+D29*$B$6</f>
        <v>24232</v>
      </c>
      <c r="F29" s="505">
        <f>+D29*$B$6*1.21</f>
        <v>29320.719999999998</v>
      </c>
      <c r="G29" s="570">
        <v>0.3</v>
      </c>
      <c r="H29" s="508">
        <f>+D29*G29</f>
        <v>7.8</v>
      </c>
      <c r="I29" s="491"/>
      <c r="J29" s="491"/>
      <c r="K29" s="491"/>
      <c r="L29" s="491"/>
      <c r="M29" s="491"/>
      <c r="N29" s="491"/>
      <c r="O29" s="491"/>
      <c r="P29" s="491"/>
      <c r="Q29" s="491"/>
      <c r="R29" s="491"/>
      <c r="S29" s="491"/>
      <c r="T29" s="491"/>
      <c r="U29" s="491"/>
      <c r="V29" s="491"/>
      <c r="W29" s="491"/>
    </row>
    <row r="30" spans="1:23" ht="15" customHeight="1" thickBot="1" x14ac:dyDescent="0.3">
      <c r="A30" s="442" t="s">
        <v>604</v>
      </c>
      <c r="B30" s="576" t="s">
        <v>898</v>
      </c>
      <c r="C30" s="418" t="s">
        <v>606</v>
      </c>
      <c r="D30" s="503">
        <v>7</v>
      </c>
      <c r="E30" s="504">
        <f t="shared" si="0"/>
        <v>6524</v>
      </c>
      <c r="F30" s="505">
        <f t="shared" si="1"/>
        <v>7894.04</v>
      </c>
      <c r="G30" s="570">
        <v>4.5</v>
      </c>
      <c r="H30" s="508">
        <f t="shared" ref="H30:H37" si="2">G30*D30</f>
        <v>31.5</v>
      </c>
    </row>
    <row r="31" spans="1:23" ht="15" customHeight="1" thickBot="1" x14ac:dyDescent="0.3">
      <c r="A31" s="442" t="s">
        <v>604</v>
      </c>
      <c r="B31" s="576" t="s">
        <v>899</v>
      </c>
      <c r="C31" s="418" t="s">
        <v>606</v>
      </c>
      <c r="D31" s="503">
        <v>6</v>
      </c>
      <c r="E31" s="504">
        <f t="shared" si="0"/>
        <v>5592</v>
      </c>
      <c r="F31" s="505">
        <f t="shared" si="1"/>
        <v>6766.32</v>
      </c>
      <c r="G31" s="570">
        <v>1.2653167185877465</v>
      </c>
      <c r="H31" s="508">
        <f t="shared" si="2"/>
        <v>7.5919003115264792</v>
      </c>
    </row>
    <row r="32" spans="1:23" ht="15" customHeight="1" thickBot="1" x14ac:dyDescent="0.3">
      <c r="A32" s="442" t="s">
        <v>604</v>
      </c>
      <c r="B32" s="576" t="s">
        <v>900</v>
      </c>
      <c r="C32" s="1454" t="s">
        <v>602</v>
      </c>
      <c r="D32" s="511">
        <v>9.67</v>
      </c>
      <c r="E32" s="512">
        <f t="shared" si="0"/>
        <v>9012.44</v>
      </c>
      <c r="F32" s="513">
        <f t="shared" si="1"/>
        <v>10905.0524</v>
      </c>
      <c r="G32" s="577">
        <v>0.8</v>
      </c>
      <c r="H32" s="520">
        <f t="shared" si="2"/>
        <v>7.7360000000000007</v>
      </c>
    </row>
    <row r="33" spans="1:10" ht="24" customHeight="1" thickBot="1" x14ac:dyDescent="0.3">
      <c r="A33" s="442" t="s">
        <v>604</v>
      </c>
      <c r="B33" s="576" t="s">
        <v>721</v>
      </c>
      <c r="C33" s="418" t="s">
        <v>606</v>
      </c>
      <c r="D33" s="503">
        <v>95</v>
      </c>
      <c r="E33" s="504">
        <f t="shared" si="0"/>
        <v>88540</v>
      </c>
      <c r="F33" s="505">
        <f t="shared" si="1"/>
        <v>107133.4</v>
      </c>
      <c r="G33" s="570">
        <v>0.45</v>
      </c>
      <c r="H33" s="508">
        <f t="shared" si="2"/>
        <v>42.75</v>
      </c>
    </row>
    <row r="34" spans="1:10" ht="15" customHeight="1" thickBot="1" x14ac:dyDescent="0.3">
      <c r="A34" s="442" t="s">
        <v>604</v>
      </c>
      <c r="B34" s="576" t="s">
        <v>901</v>
      </c>
      <c r="C34" s="1454" t="s">
        <v>606</v>
      </c>
      <c r="D34" s="511">
        <v>9</v>
      </c>
      <c r="E34" s="512">
        <f t="shared" si="0"/>
        <v>8388</v>
      </c>
      <c r="F34" s="513">
        <f t="shared" si="1"/>
        <v>10149.48</v>
      </c>
      <c r="G34" s="577">
        <v>0.46884735202492211</v>
      </c>
      <c r="H34" s="520">
        <f t="shared" si="2"/>
        <v>4.2196261682242993</v>
      </c>
    </row>
    <row r="35" spans="1:10" ht="15" customHeight="1" thickBot="1" x14ac:dyDescent="0.3">
      <c r="A35" s="442" t="s">
        <v>604</v>
      </c>
      <c r="B35" s="576" t="s">
        <v>902</v>
      </c>
      <c r="C35" s="418" t="s">
        <v>896</v>
      </c>
      <c r="D35" s="503">
        <v>300</v>
      </c>
      <c r="E35" s="504">
        <f t="shared" si="0"/>
        <v>279600</v>
      </c>
      <c r="F35" s="505">
        <f t="shared" si="1"/>
        <v>338316</v>
      </c>
      <c r="G35" s="570">
        <v>0.03</v>
      </c>
      <c r="H35" s="508">
        <f t="shared" si="2"/>
        <v>9</v>
      </c>
    </row>
    <row r="36" spans="1:10" ht="15" customHeight="1" thickBot="1" x14ac:dyDescent="0.3">
      <c r="A36" s="442" t="s">
        <v>604</v>
      </c>
      <c r="B36" s="576" t="s">
        <v>400</v>
      </c>
      <c r="C36" s="418" t="s">
        <v>608</v>
      </c>
      <c r="D36" s="503">
        <v>3</v>
      </c>
      <c r="E36" s="504">
        <f t="shared" si="0"/>
        <v>2796</v>
      </c>
      <c r="F36" s="505">
        <f t="shared" si="1"/>
        <v>3383.16</v>
      </c>
      <c r="G36" s="570">
        <v>2</v>
      </c>
      <c r="H36" s="508">
        <f t="shared" si="2"/>
        <v>6</v>
      </c>
    </row>
    <row r="37" spans="1:10" ht="18" customHeight="1" x14ac:dyDescent="0.25">
      <c r="A37" s="442" t="s">
        <v>604</v>
      </c>
      <c r="B37" s="576" t="s">
        <v>402</v>
      </c>
      <c r="C37" s="418" t="s">
        <v>606</v>
      </c>
      <c r="D37" s="503">
        <v>10.199999999999999</v>
      </c>
      <c r="E37" s="504">
        <f t="shared" si="0"/>
        <v>9506.4</v>
      </c>
      <c r="F37" s="505">
        <f t="shared" si="1"/>
        <v>11502.743999999999</v>
      </c>
      <c r="G37" s="570">
        <v>0.12000000000000002</v>
      </c>
      <c r="H37" s="508">
        <f t="shared" si="2"/>
        <v>1.2240000000000002</v>
      </c>
      <c r="I37" s="446">
        <f>SUM(H27:H37)</f>
        <v>129.82152647975076</v>
      </c>
      <c r="J37" s="418" t="s">
        <v>903</v>
      </c>
    </row>
    <row r="38" spans="1:10" s="441" customFormat="1" ht="12.75" x14ac:dyDescent="0.2">
      <c r="A38" s="484" t="s">
        <v>609</v>
      </c>
      <c r="B38" s="484" t="s">
        <v>610</v>
      </c>
      <c r="C38" s="484"/>
      <c r="D38" s="578"/>
      <c r="E38" s="579"/>
      <c r="F38" s="580"/>
      <c r="G38" s="581"/>
      <c r="H38" s="582">
        <f>SUM(H22:H37)</f>
        <v>264.6215264797508</v>
      </c>
    </row>
    <row r="39" spans="1:10" ht="15" x14ac:dyDescent="0.25">
      <c r="A39" s="454" t="s">
        <v>611</v>
      </c>
      <c r="B39" s="418" t="s">
        <v>904</v>
      </c>
      <c r="D39" s="524">
        <v>90</v>
      </c>
      <c r="E39" s="418">
        <f>+D39*B6</f>
        <v>83880</v>
      </c>
      <c r="F39" s="525">
        <f>+E39*1.105</f>
        <v>92687.4</v>
      </c>
      <c r="G39" s="526"/>
      <c r="H39" s="528">
        <f>+D39</f>
        <v>90</v>
      </c>
      <c r="I39" s="418">
        <f>+H39*B6</f>
        <v>83880</v>
      </c>
      <c r="J39" s="418" t="s">
        <v>904</v>
      </c>
    </row>
    <row r="40" spans="1:10" ht="12" customHeight="1" x14ac:dyDescent="0.25">
      <c r="A40" s="442"/>
      <c r="C40" s="441"/>
      <c r="D40" s="529"/>
      <c r="E40" s="530"/>
      <c r="F40" s="525"/>
      <c r="G40" s="526"/>
      <c r="H40" s="528"/>
    </row>
    <row r="41" spans="1:10" ht="12" customHeight="1" x14ac:dyDescent="0.25">
      <c r="A41" s="442" t="s">
        <v>613</v>
      </c>
      <c r="B41" s="491" t="s">
        <v>614</v>
      </c>
      <c r="D41" s="529"/>
      <c r="F41" s="418"/>
      <c r="G41" s="526"/>
      <c r="H41" s="528"/>
    </row>
    <row r="42" spans="1:10" ht="12" customHeight="1" x14ac:dyDescent="0.25">
      <c r="A42" s="442"/>
      <c r="B42" s="441" t="s">
        <v>615</v>
      </c>
      <c r="C42" s="441"/>
      <c r="D42" s="529"/>
      <c r="F42" s="418"/>
      <c r="G42" s="526"/>
      <c r="H42" s="528"/>
    </row>
    <row r="43" spans="1:10" ht="12" customHeight="1" x14ac:dyDescent="0.25">
      <c r="A43" s="442"/>
      <c r="B43" s="441" t="s">
        <v>616</v>
      </c>
      <c r="C43" s="441"/>
      <c r="D43" s="529"/>
      <c r="E43" s="530" t="s">
        <v>566</v>
      </c>
      <c r="F43" s="525" t="s">
        <v>617</v>
      </c>
      <c r="G43" s="526">
        <v>0.8</v>
      </c>
      <c r="H43" s="528">
        <f>+C45*G43</f>
        <v>224</v>
      </c>
    </row>
    <row r="44" spans="1:10" ht="12" customHeight="1" x14ac:dyDescent="0.25">
      <c r="A44" s="442"/>
      <c r="B44" s="441"/>
      <c r="C44" s="532"/>
      <c r="D44" s="529"/>
      <c r="E44" s="34">
        <v>220</v>
      </c>
      <c r="F44" s="34">
        <v>143</v>
      </c>
      <c r="G44" s="583"/>
      <c r="H44" s="528"/>
    </row>
    <row r="45" spans="1:10" ht="12" customHeight="1" x14ac:dyDescent="0.25">
      <c r="A45" s="454" t="s">
        <v>619</v>
      </c>
      <c r="B45" s="441" t="s">
        <v>620</v>
      </c>
      <c r="C45" s="584">
        <v>280</v>
      </c>
      <c r="D45" s="529"/>
      <c r="E45" s="155"/>
      <c r="F45" s="155"/>
      <c r="G45" s="585" t="s">
        <v>621</v>
      </c>
      <c r="H45" s="528">
        <v>36</v>
      </c>
    </row>
    <row r="46" spans="1:10" s="419" customFormat="1" ht="13.5" customHeight="1" x14ac:dyDescent="0.2">
      <c r="A46" s="428" t="s">
        <v>622</v>
      </c>
      <c r="B46" s="429"/>
      <c r="C46" s="429"/>
      <c r="D46" s="536" t="s">
        <v>623</v>
      </c>
      <c r="E46" s="537"/>
      <c r="F46" s="538"/>
      <c r="G46" s="539"/>
      <c r="H46" s="541">
        <f>SUM(H38:H45)</f>
        <v>614.62152647975086</v>
      </c>
    </row>
    <row r="47" spans="1:10" s="419" customFormat="1" ht="12" customHeight="1" x14ac:dyDescent="0.2">
      <c r="A47" s="428" t="s">
        <v>564</v>
      </c>
      <c r="B47" s="429"/>
      <c r="C47" s="429"/>
      <c r="D47" s="536" t="s">
        <v>564</v>
      </c>
      <c r="E47" s="537"/>
      <c r="F47" s="542"/>
      <c r="G47" s="543"/>
      <c r="H47" s="545">
        <f>H21-H46</f>
        <v>90.978473520249167</v>
      </c>
    </row>
    <row r="48" spans="1:10" s="554" customFormat="1" ht="18" x14ac:dyDescent="0.25">
      <c r="A48" s="546" t="s">
        <v>624</v>
      </c>
      <c r="B48" s="547"/>
      <c r="C48" s="547"/>
      <c r="D48" s="548"/>
      <c r="E48" s="549"/>
      <c r="F48" s="550"/>
      <c r="G48" s="551"/>
      <c r="H48" s="553">
        <f>+H47</f>
        <v>90.978473520249167</v>
      </c>
    </row>
    <row r="49" spans="1:8" s="559" customFormat="1" x14ac:dyDescent="0.2">
      <c r="A49" s="555"/>
      <c r="B49" s="556"/>
      <c r="C49" s="556"/>
      <c r="D49" s="557"/>
      <c r="E49" s="557"/>
      <c r="F49" s="556"/>
      <c r="G49" s="556"/>
      <c r="H49" s="556"/>
    </row>
    <row r="50" spans="1:8" ht="11.25" customHeight="1" x14ac:dyDescent="0.25">
      <c r="G50" s="586" t="s">
        <v>625</v>
      </c>
      <c r="H50" s="561">
        <f>H21/H5</f>
        <v>235.20000000000002</v>
      </c>
    </row>
    <row r="51" spans="1:8" ht="11.25" customHeight="1" x14ac:dyDescent="0.25">
      <c r="F51" s="34" t="s">
        <v>626</v>
      </c>
      <c r="G51" s="419" t="s">
        <v>627</v>
      </c>
      <c r="H51" s="562">
        <f>H46/H50</f>
        <v>2.6131867622438385</v>
      </c>
    </row>
    <row r="54" spans="1:8" ht="18" customHeight="1" x14ac:dyDescent="0.25"/>
  </sheetData>
  <conditionalFormatting sqref="H22:H3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11811023622047245" right="0.70866141732283472" top="0.74803149606299213" bottom="0" header="0.31496062992125984" footer="0.31496062992125984"/>
  <pageSetup paperSize="9" scale="80" orientation="landscape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ABBED-FC85-483A-B6B3-8D53C7048B0F}">
  <sheetPr>
    <pageSetUpPr fitToPage="1"/>
  </sheetPr>
  <dimension ref="A1:Y53"/>
  <sheetViews>
    <sheetView showGridLines="0" topLeftCell="A34" zoomScale="80" zoomScaleNormal="80" workbookViewId="0">
      <selection activeCell="L27" sqref="L27"/>
    </sheetView>
  </sheetViews>
  <sheetFormatPr baseColWidth="10" defaultColWidth="16.85546875" defaultRowHeight="11.25" customHeight="1" x14ac:dyDescent="0.25"/>
  <cols>
    <col min="1" max="1" width="15.85546875" style="418" bestFit="1" customWidth="1"/>
    <col min="2" max="2" width="27.140625" style="418" bestFit="1" customWidth="1"/>
    <col min="3" max="3" width="11.42578125" style="418" customWidth="1"/>
    <col min="4" max="4" width="11" style="418" bestFit="1" customWidth="1"/>
    <col min="5" max="5" width="11.7109375" style="418" bestFit="1" customWidth="1"/>
    <col min="6" max="6" width="18.5703125" style="34" bestFit="1" customWidth="1"/>
    <col min="7" max="7" width="8.140625" style="419" bestFit="1" customWidth="1"/>
    <col min="8" max="8" width="11.42578125" style="419" bestFit="1" customWidth="1"/>
    <col min="9" max="9" width="11.85546875" style="420" customWidth="1"/>
    <col min="10" max="10" width="14.42578125" style="418" bestFit="1" customWidth="1"/>
    <col min="11" max="218" width="11.42578125" style="418" customWidth="1"/>
    <col min="219" max="220" width="15.85546875" style="418" bestFit="1" customWidth="1"/>
    <col min="221" max="221" width="17.42578125" style="418" bestFit="1" customWidth="1"/>
    <col min="222" max="222" width="15.140625" style="418" bestFit="1" customWidth="1"/>
    <col min="223" max="223" width="13" style="418" bestFit="1" customWidth="1"/>
    <col min="224" max="224" width="14.140625" style="418" bestFit="1" customWidth="1"/>
    <col min="225" max="256" width="16.85546875" style="418"/>
    <col min="257" max="257" width="15.85546875" style="418" bestFit="1" customWidth="1"/>
    <col min="258" max="258" width="27.140625" style="418" bestFit="1" customWidth="1"/>
    <col min="259" max="259" width="11.42578125" style="418" customWidth="1"/>
    <col min="260" max="260" width="11" style="418" bestFit="1" customWidth="1"/>
    <col min="261" max="261" width="11.7109375" style="418" bestFit="1" customWidth="1"/>
    <col min="262" max="262" width="18.5703125" style="418" bestFit="1" customWidth="1"/>
    <col min="263" max="263" width="8.140625" style="418" bestFit="1" customWidth="1"/>
    <col min="264" max="264" width="10.5703125" style="418" bestFit="1" customWidth="1"/>
    <col min="265" max="265" width="11.85546875" style="418" customWidth="1"/>
    <col min="266" max="266" width="14.42578125" style="418" bestFit="1" customWidth="1"/>
    <col min="267" max="474" width="11.42578125" style="418" customWidth="1"/>
    <col min="475" max="476" width="15.85546875" style="418" bestFit="1" customWidth="1"/>
    <col min="477" max="477" width="17.42578125" style="418" bestFit="1" customWidth="1"/>
    <col min="478" max="478" width="15.140625" style="418" bestFit="1" customWidth="1"/>
    <col min="479" max="479" width="13" style="418" bestFit="1" customWidth="1"/>
    <col min="480" max="480" width="14.140625" style="418" bestFit="1" customWidth="1"/>
    <col min="481" max="512" width="16.85546875" style="418"/>
    <col min="513" max="513" width="15.85546875" style="418" bestFit="1" customWidth="1"/>
    <col min="514" max="514" width="27.140625" style="418" bestFit="1" customWidth="1"/>
    <col min="515" max="515" width="11.42578125" style="418" customWidth="1"/>
    <col min="516" max="516" width="11" style="418" bestFit="1" customWidth="1"/>
    <col min="517" max="517" width="11.7109375" style="418" bestFit="1" customWidth="1"/>
    <col min="518" max="518" width="18.5703125" style="418" bestFit="1" customWidth="1"/>
    <col min="519" max="519" width="8.140625" style="418" bestFit="1" customWidth="1"/>
    <col min="520" max="520" width="10.5703125" style="418" bestFit="1" customWidth="1"/>
    <col min="521" max="521" width="11.85546875" style="418" customWidth="1"/>
    <col min="522" max="522" width="14.42578125" style="418" bestFit="1" customWidth="1"/>
    <col min="523" max="730" width="11.42578125" style="418" customWidth="1"/>
    <col min="731" max="732" width="15.85546875" style="418" bestFit="1" customWidth="1"/>
    <col min="733" max="733" width="17.42578125" style="418" bestFit="1" customWidth="1"/>
    <col min="734" max="734" width="15.140625" style="418" bestFit="1" customWidth="1"/>
    <col min="735" max="735" width="13" style="418" bestFit="1" customWidth="1"/>
    <col min="736" max="736" width="14.140625" style="418" bestFit="1" customWidth="1"/>
    <col min="737" max="768" width="16.85546875" style="418"/>
    <col min="769" max="769" width="15.85546875" style="418" bestFit="1" customWidth="1"/>
    <col min="770" max="770" width="27.140625" style="418" bestFit="1" customWidth="1"/>
    <col min="771" max="771" width="11.42578125" style="418" customWidth="1"/>
    <col min="772" max="772" width="11" style="418" bestFit="1" customWidth="1"/>
    <col min="773" max="773" width="11.7109375" style="418" bestFit="1" customWidth="1"/>
    <col min="774" max="774" width="18.5703125" style="418" bestFit="1" customWidth="1"/>
    <col min="775" max="775" width="8.140625" style="418" bestFit="1" customWidth="1"/>
    <col min="776" max="776" width="10.5703125" style="418" bestFit="1" customWidth="1"/>
    <col min="777" max="777" width="11.85546875" style="418" customWidth="1"/>
    <col min="778" max="778" width="14.42578125" style="418" bestFit="1" customWidth="1"/>
    <col min="779" max="986" width="11.42578125" style="418" customWidth="1"/>
    <col min="987" max="988" width="15.85546875" style="418" bestFit="1" customWidth="1"/>
    <col min="989" max="989" width="17.42578125" style="418" bestFit="1" customWidth="1"/>
    <col min="990" max="990" width="15.140625" style="418" bestFit="1" customWidth="1"/>
    <col min="991" max="991" width="13" style="418" bestFit="1" customWidth="1"/>
    <col min="992" max="992" width="14.140625" style="418" bestFit="1" customWidth="1"/>
    <col min="993" max="1024" width="16.85546875" style="418"/>
    <col min="1025" max="1025" width="15.85546875" style="418" bestFit="1" customWidth="1"/>
    <col min="1026" max="1026" width="27.140625" style="418" bestFit="1" customWidth="1"/>
    <col min="1027" max="1027" width="11.42578125" style="418" customWidth="1"/>
    <col min="1028" max="1028" width="11" style="418" bestFit="1" customWidth="1"/>
    <col min="1029" max="1029" width="11.7109375" style="418" bestFit="1" customWidth="1"/>
    <col min="1030" max="1030" width="18.5703125" style="418" bestFit="1" customWidth="1"/>
    <col min="1031" max="1031" width="8.140625" style="418" bestFit="1" customWidth="1"/>
    <col min="1032" max="1032" width="10.5703125" style="418" bestFit="1" customWidth="1"/>
    <col min="1033" max="1033" width="11.85546875" style="418" customWidth="1"/>
    <col min="1034" max="1034" width="14.42578125" style="418" bestFit="1" customWidth="1"/>
    <col min="1035" max="1242" width="11.42578125" style="418" customWidth="1"/>
    <col min="1243" max="1244" width="15.85546875" style="418" bestFit="1" customWidth="1"/>
    <col min="1245" max="1245" width="17.42578125" style="418" bestFit="1" customWidth="1"/>
    <col min="1246" max="1246" width="15.140625" style="418" bestFit="1" customWidth="1"/>
    <col min="1247" max="1247" width="13" style="418" bestFit="1" customWidth="1"/>
    <col min="1248" max="1248" width="14.140625" style="418" bestFit="1" customWidth="1"/>
    <col min="1249" max="1280" width="16.85546875" style="418"/>
    <col min="1281" max="1281" width="15.85546875" style="418" bestFit="1" customWidth="1"/>
    <col min="1282" max="1282" width="27.140625" style="418" bestFit="1" customWidth="1"/>
    <col min="1283" max="1283" width="11.42578125" style="418" customWidth="1"/>
    <col min="1284" max="1284" width="11" style="418" bestFit="1" customWidth="1"/>
    <col min="1285" max="1285" width="11.7109375" style="418" bestFit="1" customWidth="1"/>
    <col min="1286" max="1286" width="18.5703125" style="418" bestFit="1" customWidth="1"/>
    <col min="1287" max="1287" width="8.140625" style="418" bestFit="1" customWidth="1"/>
    <col min="1288" max="1288" width="10.5703125" style="418" bestFit="1" customWidth="1"/>
    <col min="1289" max="1289" width="11.85546875" style="418" customWidth="1"/>
    <col min="1290" max="1290" width="14.42578125" style="418" bestFit="1" customWidth="1"/>
    <col min="1291" max="1498" width="11.42578125" style="418" customWidth="1"/>
    <col min="1499" max="1500" width="15.85546875" style="418" bestFit="1" customWidth="1"/>
    <col min="1501" max="1501" width="17.42578125" style="418" bestFit="1" customWidth="1"/>
    <col min="1502" max="1502" width="15.140625" style="418" bestFit="1" customWidth="1"/>
    <col min="1503" max="1503" width="13" style="418" bestFit="1" customWidth="1"/>
    <col min="1504" max="1504" width="14.140625" style="418" bestFit="1" customWidth="1"/>
    <col min="1505" max="1536" width="16.85546875" style="418"/>
    <col min="1537" max="1537" width="15.85546875" style="418" bestFit="1" customWidth="1"/>
    <col min="1538" max="1538" width="27.140625" style="418" bestFit="1" customWidth="1"/>
    <col min="1539" max="1539" width="11.42578125" style="418" customWidth="1"/>
    <col min="1540" max="1540" width="11" style="418" bestFit="1" customWidth="1"/>
    <col min="1541" max="1541" width="11.7109375" style="418" bestFit="1" customWidth="1"/>
    <col min="1542" max="1542" width="18.5703125" style="418" bestFit="1" customWidth="1"/>
    <col min="1543" max="1543" width="8.140625" style="418" bestFit="1" customWidth="1"/>
    <col min="1544" max="1544" width="10.5703125" style="418" bestFit="1" customWidth="1"/>
    <col min="1545" max="1545" width="11.85546875" style="418" customWidth="1"/>
    <col min="1546" max="1546" width="14.42578125" style="418" bestFit="1" customWidth="1"/>
    <col min="1547" max="1754" width="11.42578125" style="418" customWidth="1"/>
    <col min="1755" max="1756" width="15.85546875" style="418" bestFit="1" customWidth="1"/>
    <col min="1757" max="1757" width="17.42578125" style="418" bestFit="1" customWidth="1"/>
    <col min="1758" max="1758" width="15.140625" style="418" bestFit="1" customWidth="1"/>
    <col min="1759" max="1759" width="13" style="418" bestFit="1" customWidth="1"/>
    <col min="1760" max="1760" width="14.140625" style="418" bestFit="1" customWidth="1"/>
    <col min="1761" max="1792" width="16.85546875" style="418"/>
    <col min="1793" max="1793" width="15.85546875" style="418" bestFit="1" customWidth="1"/>
    <col min="1794" max="1794" width="27.140625" style="418" bestFit="1" customWidth="1"/>
    <col min="1795" max="1795" width="11.42578125" style="418" customWidth="1"/>
    <col min="1796" max="1796" width="11" style="418" bestFit="1" customWidth="1"/>
    <col min="1797" max="1797" width="11.7109375" style="418" bestFit="1" customWidth="1"/>
    <col min="1798" max="1798" width="18.5703125" style="418" bestFit="1" customWidth="1"/>
    <col min="1799" max="1799" width="8.140625" style="418" bestFit="1" customWidth="1"/>
    <col min="1800" max="1800" width="10.5703125" style="418" bestFit="1" customWidth="1"/>
    <col min="1801" max="1801" width="11.85546875" style="418" customWidth="1"/>
    <col min="1802" max="1802" width="14.42578125" style="418" bestFit="1" customWidth="1"/>
    <col min="1803" max="2010" width="11.42578125" style="418" customWidth="1"/>
    <col min="2011" max="2012" width="15.85546875" style="418" bestFit="1" customWidth="1"/>
    <col min="2013" max="2013" width="17.42578125" style="418" bestFit="1" customWidth="1"/>
    <col min="2014" max="2014" width="15.140625" style="418" bestFit="1" customWidth="1"/>
    <col min="2015" max="2015" width="13" style="418" bestFit="1" customWidth="1"/>
    <col min="2016" max="2016" width="14.140625" style="418" bestFit="1" customWidth="1"/>
    <col min="2017" max="2048" width="16.85546875" style="418"/>
    <col min="2049" max="2049" width="15.85546875" style="418" bestFit="1" customWidth="1"/>
    <col min="2050" max="2050" width="27.140625" style="418" bestFit="1" customWidth="1"/>
    <col min="2051" max="2051" width="11.42578125" style="418" customWidth="1"/>
    <col min="2052" max="2052" width="11" style="418" bestFit="1" customWidth="1"/>
    <col min="2053" max="2053" width="11.7109375" style="418" bestFit="1" customWidth="1"/>
    <col min="2054" max="2054" width="18.5703125" style="418" bestFit="1" customWidth="1"/>
    <col min="2055" max="2055" width="8.140625" style="418" bestFit="1" customWidth="1"/>
    <col min="2056" max="2056" width="10.5703125" style="418" bestFit="1" customWidth="1"/>
    <col min="2057" max="2057" width="11.85546875" style="418" customWidth="1"/>
    <col min="2058" max="2058" width="14.42578125" style="418" bestFit="1" customWidth="1"/>
    <col min="2059" max="2266" width="11.42578125" style="418" customWidth="1"/>
    <col min="2267" max="2268" width="15.85546875" style="418" bestFit="1" customWidth="1"/>
    <col min="2269" max="2269" width="17.42578125" style="418" bestFit="1" customWidth="1"/>
    <col min="2270" max="2270" width="15.140625" style="418" bestFit="1" customWidth="1"/>
    <col min="2271" max="2271" width="13" style="418" bestFit="1" customWidth="1"/>
    <col min="2272" max="2272" width="14.140625" style="418" bestFit="1" customWidth="1"/>
    <col min="2273" max="2304" width="16.85546875" style="418"/>
    <col min="2305" max="2305" width="15.85546875" style="418" bestFit="1" customWidth="1"/>
    <col min="2306" max="2306" width="27.140625" style="418" bestFit="1" customWidth="1"/>
    <col min="2307" max="2307" width="11.42578125" style="418" customWidth="1"/>
    <col min="2308" max="2308" width="11" style="418" bestFit="1" customWidth="1"/>
    <col min="2309" max="2309" width="11.7109375" style="418" bestFit="1" customWidth="1"/>
    <col min="2310" max="2310" width="18.5703125" style="418" bestFit="1" customWidth="1"/>
    <col min="2311" max="2311" width="8.140625" style="418" bestFit="1" customWidth="1"/>
    <col min="2312" max="2312" width="10.5703125" style="418" bestFit="1" customWidth="1"/>
    <col min="2313" max="2313" width="11.85546875" style="418" customWidth="1"/>
    <col min="2314" max="2314" width="14.42578125" style="418" bestFit="1" customWidth="1"/>
    <col min="2315" max="2522" width="11.42578125" style="418" customWidth="1"/>
    <col min="2523" max="2524" width="15.85546875" style="418" bestFit="1" customWidth="1"/>
    <col min="2525" max="2525" width="17.42578125" style="418" bestFit="1" customWidth="1"/>
    <col min="2526" max="2526" width="15.140625" style="418" bestFit="1" customWidth="1"/>
    <col min="2527" max="2527" width="13" style="418" bestFit="1" customWidth="1"/>
    <col min="2528" max="2528" width="14.140625" style="418" bestFit="1" customWidth="1"/>
    <col min="2529" max="2560" width="16.85546875" style="418"/>
    <col min="2561" max="2561" width="15.85546875" style="418" bestFit="1" customWidth="1"/>
    <col min="2562" max="2562" width="27.140625" style="418" bestFit="1" customWidth="1"/>
    <col min="2563" max="2563" width="11.42578125" style="418" customWidth="1"/>
    <col min="2564" max="2564" width="11" style="418" bestFit="1" customWidth="1"/>
    <col min="2565" max="2565" width="11.7109375" style="418" bestFit="1" customWidth="1"/>
    <col min="2566" max="2566" width="18.5703125" style="418" bestFit="1" customWidth="1"/>
    <col min="2567" max="2567" width="8.140625" style="418" bestFit="1" customWidth="1"/>
    <col min="2568" max="2568" width="10.5703125" style="418" bestFit="1" customWidth="1"/>
    <col min="2569" max="2569" width="11.85546875" style="418" customWidth="1"/>
    <col min="2570" max="2570" width="14.42578125" style="418" bestFit="1" customWidth="1"/>
    <col min="2571" max="2778" width="11.42578125" style="418" customWidth="1"/>
    <col min="2779" max="2780" width="15.85546875" style="418" bestFit="1" customWidth="1"/>
    <col min="2781" max="2781" width="17.42578125" style="418" bestFit="1" customWidth="1"/>
    <col min="2782" max="2782" width="15.140625" style="418" bestFit="1" customWidth="1"/>
    <col min="2783" max="2783" width="13" style="418" bestFit="1" customWidth="1"/>
    <col min="2784" max="2784" width="14.140625" style="418" bestFit="1" customWidth="1"/>
    <col min="2785" max="2816" width="16.85546875" style="418"/>
    <col min="2817" max="2817" width="15.85546875" style="418" bestFit="1" customWidth="1"/>
    <col min="2818" max="2818" width="27.140625" style="418" bestFit="1" customWidth="1"/>
    <col min="2819" max="2819" width="11.42578125" style="418" customWidth="1"/>
    <col min="2820" max="2820" width="11" style="418" bestFit="1" customWidth="1"/>
    <col min="2821" max="2821" width="11.7109375" style="418" bestFit="1" customWidth="1"/>
    <col min="2822" max="2822" width="18.5703125" style="418" bestFit="1" customWidth="1"/>
    <col min="2823" max="2823" width="8.140625" style="418" bestFit="1" customWidth="1"/>
    <col min="2824" max="2824" width="10.5703125" style="418" bestFit="1" customWidth="1"/>
    <col min="2825" max="2825" width="11.85546875" style="418" customWidth="1"/>
    <col min="2826" max="2826" width="14.42578125" style="418" bestFit="1" customWidth="1"/>
    <col min="2827" max="3034" width="11.42578125" style="418" customWidth="1"/>
    <col min="3035" max="3036" width="15.85546875" style="418" bestFit="1" customWidth="1"/>
    <col min="3037" max="3037" width="17.42578125" style="418" bestFit="1" customWidth="1"/>
    <col min="3038" max="3038" width="15.140625" style="418" bestFit="1" customWidth="1"/>
    <col min="3039" max="3039" width="13" style="418" bestFit="1" customWidth="1"/>
    <col min="3040" max="3040" width="14.140625" style="418" bestFit="1" customWidth="1"/>
    <col min="3041" max="3072" width="16.85546875" style="418"/>
    <col min="3073" max="3073" width="15.85546875" style="418" bestFit="1" customWidth="1"/>
    <col min="3074" max="3074" width="27.140625" style="418" bestFit="1" customWidth="1"/>
    <col min="3075" max="3075" width="11.42578125" style="418" customWidth="1"/>
    <col min="3076" max="3076" width="11" style="418" bestFit="1" customWidth="1"/>
    <col min="3077" max="3077" width="11.7109375" style="418" bestFit="1" customWidth="1"/>
    <col min="3078" max="3078" width="18.5703125" style="418" bestFit="1" customWidth="1"/>
    <col min="3079" max="3079" width="8.140625" style="418" bestFit="1" customWidth="1"/>
    <col min="3080" max="3080" width="10.5703125" style="418" bestFit="1" customWidth="1"/>
    <col min="3081" max="3081" width="11.85546875" style="418" customWidth="1"/>
    <col min="3082" max="3082" width="14.42578125" style="418" bestFit="1" customWidth="1"/>
    <col min="3083" max="3290" width="11.42578125" style="418" customWidth="1"/>
    <col min="3291" max="3292" width="15.85546875" style="418" bestFit="1" customWidth="1"/>
    <col min="3293" max="3293" width="17.42578125" style="418" bestFit="1" customWidth="1"/>
    <col min="3294" max="3294" width="15.140625" style="418" bestFit="1" customWidth="1"/>
    <col min="3295" max="3295" width="13" style="418" bestFit="1" customWidth="1"/>
    <col min="3296" max="3296" width="14.140625" style="418" bestFit="1" customWidth="1"/>
    <col min="3297" max="3328" width="16.85546875" style="418"/>
    <col min="3329" max="3329" width="15.85546875" style="418" bestFit="1" customWidth="1"/>
    <col min="3330" max="3330" width="27.140625" style="418" bestFit="1" customWidth="1"/>
    <col min="3331" max="3331" width="11.42578125" style="418" customWidth="1"/>
    <col min="3332" max="3332" width="11" style="418" bestFit="1" customWidth="1"/>
    <col min="3333" max="3333" width="11.7109375" style="418" bestFit="1" customWidth="1"/>
    <col min="3334" max="3334" width="18.5703125" style="418" bestFit="1" customWidth="1"/>
    <col min="3335" max="3335" width="8.140625" style="418" bestFit="1" customWidth="1"/>
    <col min="3336" max="3336" width="10.5703125" style="418" bestFit="1" customWidth="1"/>
    <col min="3337" max="3337" width="11.85546875" style="418" customWidth="1"/>
    <col min="3338" max="3338" width="14.42578125" style="418" bestFit="1" customWidth="1"/>
    <col min="3339" max="3546" width="11.42578125" style="418" customWidth="1"/>
    <col min="3547" max="3548" width="15.85546875" style="418" bestFit="1" customWidth="1"/>
    <col min="3549" max="3549" width="17.42578125" style="418" bestFit="1" customWidth="1"/>
    <col min="3550" max="3550" width="15.140625" style="418" bestFit="1" customWidth="1"/>
    <col min="3551" max="3551" width="13" style="418" bestFit="1" customWidth="1"/>
    <col min="3552" max="3552" width="14.140625" style="418" bestFit="1" customWidth="1"/>
    <col min="3553" max="3584" width="16.85546875" style="418"/>
    <col min="3585" max="3585" width="15.85546875" style="418" bestFit="1" customWidth="1"/>
    <col min="3586" max="3586" width="27.140625" style="418" bestFit="1" customWidth="1"/>
    <col min="3587" max="3587" width="11.42578125" style="418" customWidth="1"/>
    <col min="3588" max="3588" width="11" style="418" bestFit="1" customWidth="1"/>
    <col min="3589" max="3589" width="11.7109375" style="418" bestFit="1" customWidth="1"/>
    <col min="3590" max="3590" width="18.5703125" style="418" bestFit="1" customWidth="1"/>
    <col min="3591" max="3591" width="8.140625" style="418" bestFit="1" customWidth="1"/>
    <col min="3592" max="3592" width="10.5703125" style="418" bestFit="1" customWidth="1"/>
    <col min="3593" max="3593" width="11.85546875" style="418" customWidth="1"/>
    <col min="3594" max="3594" width="14.42578125" style="418" bestFit="1" customWidth="1"/>
    <col min="3595" max="3802" width="11.42578125" style="418" customWidth="1"/>
    <col min="3803" max="3804" width="15.85546875" style="418" bestFit="1" customWidth="1"/>
    <col min="3805" max="3805" width="17.42578125" style="418" bestFit="1" customWidth="1"/>
    <col min="3806" max="3806" width="15.140625" style="418" bestFit="1" customWidth="1"/>
    <col min="3807" max="3807" width="13" style="418" bestFit="1" customWidth="1"/>
    <col min="3808" max="3808" width="14.140625" style="418" bestFit="1" customWidth="1"/>
    <col min="3809" max="3840" width="16.85546875" style="418"/>
    <col min="3841" max="3841" width="15.85546875" style="418" bestFit="1" customWidth="1"/>
    <col min="3842" max="3842" width="27.140625" style="418" bestFit="1" customWidth="1"/>
    <col min="3843" max="3843" width="11.42578125" style="418" customWidth="1"/>
    <col min="3844" max="3844" width="11" style="418" bestFit="1" customWidth="1"/>
    <col min="3845" max="3845" width="11.7109375" style="418" bestFit="1" customWidth="1"/>
    <col min="3846" max="3846" width="18.5703125" style="418" bestFit="1" customWidth="1"/>
    <col min="3847" max="3847" width="8.140625" style="418" bestFit="1" customWidth="1"/>
    <col min="3848" max="3848" width="10.5703125" style="418" bestFit="1" customWidth="1"/>
    <col min="3849" max="3849" width="11.85546875" style="418" customWidth="1"/>
    <col min="3850" max="3850" width="14.42578125" style="418" bestFit="1" customWidth="1"/>
    <col min="3851" max="4058" width="11.42578125" style="418" customWidth="1"/>
    <col min="4059" max="4060" width="15.85546875" style="418" bestFit="1" customWidth="1"/>
    <col min="4061" max="4061" width="17.42578125" style="418" bestFit="1" customWidth="1"/>
    <col min="4062" max="4062" width="15.140625" style="418" bestFit="1" customWidth="1"/>
    <col min="4063" max="4063" width="13" style="418" bestFit="1" customWidth="1"/>
    <col min="4064" max="4064" width="14.140625" style="418" bestFit="1" customWidth="1"/>
    <col min="4065" max="4096" width="16.85546875" style="418"/>
    <col min="4097" max="4097" width="15.85546875" style="418" bestFit="1" customWidth="1"/>
    <col min="4098" max="4098" width="27.140625" style="418" bestFit="1" customWidth="1"/>
    <col min="4099" max="4099" width="11.42578125" style="418" customWidth="1"/>
    <col min="4100" max="4100" width="11" style="418" bestFit="1" customWidth="1"/>
    <col min="4101" max="4101" width="11.7109375" style="418" bestFit="1" customWidth="1"/>
    <col min="4102" max="4102" width="18.5703125" style="418" bestFit="1" customWidth="1"/>
    <col min="4103" max="4103" width="8.140625" style="418" bestFit="1" customWidth="1"/>
    <col min="4104" max="4104" width="10.5703125" style="418" bestFit="1" customWidth="1"/>
    <col min="4105" max="4105" width="11.85546875" style="418" customWidth="1"/>
    <col min="4106" max="4106" width="14.42578125" style="418" bestFit="1" customWidth="1"/>
    <col min="4107" max="4314" width="11.42578125" style="418" customWidth="1"/>
    <col min="4315" max="4316" width="15.85546875" style="418" bestFit="1" customWidth="1"/>
    <col min="4317" max="4317" width="17.42578125" style="418" bestFit="1" customWidth="1"/>
    <col min="4318" max="4318" width="15.140625" style="418" bestFit="1" customWidth="1"/>
    <col min="4319" max="4319" width="13" style="418" bestFit="1" customWidth="1"/>
    <col min="4320" max="4320" width="14.140625" style="418" bestFit="1" customWidth="1"/>
    <col min="4321" max="4352" width="16.85546875" style="418"/>
    <col min="4353" max="4353" width="15.85546875" style="418" bestFit="1" customWidth="1"/>
    <col min="4354" max="4354" width="27.140625" style="418" bestFit="1" customWidth="1"/>
    <col min="4355" max="4355" width="11.42578125" style="418" customWidth="1"/>
    <col min="4356" max="4356" width="11" style="418" bestFit="1" customWidth="1"/>
    <col min="4357" max="4357" width="11.7109375" style="418" bestFit="1" customWidth="1"/>
    <col min="4358" max="4358" width="18.5703125" style="418" bestFit="1" customWidth="1"/>
    <col min="4359" max="4359" width="8.140625" style="418" bestFit="1" customWidth="1"/>
    <col min="4360" max="4360" width="10.5703125" style="418" bestFit="1" customWidth="1"/>
    <col min="4361" max="4361" width="11.85546875" style="418" customWidth="1"/>
    <col min="4362" max="4362" width="14.42578125" style="418" bestFit="1" customWidth="1"/>
    <col min="4363" max="4570" width="11.42578125" style="418" customWidth="1"/>
    <col min="4571" max="4572" width="15.85546875" style="418" bestFit="1" customWidth="1"/>
    <col min="4573" max="4573" width="17.42578125" style="418" bestFit="1" customWidth="1"/>
    <col min="4574" max="4574" width="15.140625" style="418" bestFit="1" customWidth="1"/>
    <col min="4575" max="4575" width="13" style="418" bestFit="1" customWidth="1"/>
    <col min="4576" max="4576" width="14.140625" style="418" bestFit="1" customWidth="1"/>
    <col min="4577" max="4608" width="16.85546875" style="418"/>
    <col min="4609" max="4609" width="15.85546875" style="418" bestFit="1" customWidth="1"/>
    <col min="4610" max="4610" width="27.140625" style="418" bestFit="1" customWidth="1"/>
    <col min="4611" max="4611" width="11.42578125" style="418" customWidth="1"/>
    <col min="4612" max="4612" width="11" style="418" bestFit="1" customWidth="1"/>
    <col min="4613" max="4613" width="11.7109375" style="418" bestFit="1" customWidth="1"/>
    <col min="4614" max="4614" width="18.5703125" style="418" bestFit="1" customWidth="1"/>
    <col min="4615" max="4615" width="8.140625" style="418" bestFit="1" customWidth="1"/>
    <col min="4616" max="4616" width="10.5703125" style="418" bestFit="1" customWidth="1"/>
    <col min="4617" max="4617" width="11.85546875" style="418" customWidth="1"/>
    <col min="4618" max="4618" width="14.42578125" style="418" bestFit="1" customWidth="1"/>
    <col min="4619" max="4826" width="11.42578125" style="418" customWidth="1"/>
    <col min="4827" max="4828" width="15.85546875" style="418" bestFit="1" customWidth="1"/>
    <col min="4829" max="4829" width="17.42578125" style="418" bestFit="1" customWidth="1"/>
    <col min="4830" max="4830" width="15.140625" style="418" bestFit="1" customWidth="1"/>
    <col min="4831" max="4831" width="13" style="418" bestFit="1" customWidth="1"/>
    <col min="4832" max="4832" width="14.140625" style="418" bestFit="1" customWidth="1"/>
    <col min="4833" max="4864" width="16.85546875" style="418"/>
    <col min="4865" max="4865" width="15.85546875" style="418" bestFit="1" customWidth="1"/>
    <col min="4866" max="4866" width="27.140625" style="418" bestFit="1" customWidth="1"/>
    <col min="4867" max="4867" width="11.42578125" style="418" customWidth="1"/>
    <col min="4868" max="4868" width="11" style="418" bestFit="1" customWidth="1"/>
    <col min="4869" max="4869" width="11.7109375" style="418" bestFit="1" customWidth="1"/>
    <col min="4870" max="4870" width="18.5703125" style="418" bestFit="1" customWidth="1"/>
    <col min="4871" max="4871" width="8.140625" style="418" bestFit="1" customWidth="1"/>
    <col min="4872" max="4872" width="10.5703125" style="418" bestFit="1" customWidth="1"/>
    <col min="4873" max="4873" width="11.85546875" style="418" customWidth="1"/>
    <col min="4874" max="4874" width="14.42578125" style="418" bestFit="1" customWidth="1"/>
    <col min="4875" max="5082" width="11.42578125" style="418" customWidth="1"/>
    <col min="5083" max="5084" width="15.85546875" style="418" bestFit="1" customWidth="1"/>
    <col min="5085" max="5085" width="17.42578125" style="418" bestFit="1" customWidth="1"/>
    <col min="5086" max="5086" width="15.140625" style="418" bestFit="1" customWidth="1"/>
    <col min="5087" max="5087" width="13" style="418" bestFit="1" customWidth="1"/>
    <col min="5088" max="5088" width="14.140625" style="418" bestFit="1" customWidth="1"/>
    <col min="5089" max="5120" width="16.85546875" style="418"/>
    <col min="5121" max="5121" width="15.85546875" style="418" bestFit="1" customWidth="1"/>
    <col min="5122" max="5122" width="27.140625" style="418" bestFit="1" customWidth="1"/>
    <col min="5123" max="5123" width="11.42578125" style="418" customWidth="1"/>
    <col min="5124" max="5124" width="11" style="418" bestFit="1" customWidth="1"/>
    <col min="5125" max="5125" width="11.7109375" style="418" bestFit="1" customWidth="1"/>
    <col min="5126" max="5126" width="18.5703125" style="418" bestFit="1" customWidth="1"/>
    <col min="5127" max="5127" width="8.140625" style="418" bestFit="1" customWidth="1"/>
    <col min="5128" max="5128" width="10.5703125" style="418" bestFit="1" customWidth="1"/>
    <col min="5129" max="5129" width="11.85546875" style="418" customWidth="1"/>
    <col min="5130" max="5130" width="14.42578125" style="418" bestFit="1" customWidth="1"/>
    <col min="5131" max="5338" width="11.42578125" style="418" customWidth="1"/>
    <col min="5339" max="5340" width="15.85546875" style="418" bestFit="1" customWidth="1"/>
    <col min="5341" max="5341" width="17.42578125" style="418" bestFit="1" customWidth="1"/>
    <col min="5342" max="5342" width="15.140625" style="418" bestFit="1" customWidth="1"/>
    <col min="5343" max="5343" width="13" style="418" bestFit="1" customWidth="1"/>
    <col min="5344" max="5344" width="14.140625" style="418" bestFit="1" customWidth="1"/>
    <col min="5345" max="5376" width="16.85546875" style="418"/>
    <col min="5377" max="5377" width="15.85546875" style="418" bestFit="1" customWidth="1"/>
    <col min="5378" max="5378" width="27.140625" style="418" bestFit="1" customWidth="1"/>
    <col min="5379" max="5379" width="11.42578125" style="418" customWidth="1"/>
    <col min="5380" max="5380" width="11" style="418" bestFit="1" customWidth="1"/>
    <col min="5381" max="5381" width="11.7109375" style="418" bestFit="1" customWidth="1"/>
    <col min="5382" max="5382" width="18.5703125" style="418" bestFit="1" customWidth="1"/>
    <col min="5383" max="5383" width="8.140625" style="418" bestFit="1" customWidth="1"/>
    <col min="5384" max="5384" width="10.5703125" style="418" bestFit="1" customWidth="1"/>
    <col min="5385" max="5385" width="11.85546875" style="418" customWidth="1"/>
    <col min="5386" max="5386" width="14.42578125" style="418" bestFit="1" customWidth="1"/>
    <col min="5387" max="5594" width="11.42578125" style="418" customWidth="1"/>
    <col min="5595" max="5596" width="15.85546875" style="418" bestFit="1" customWidth="1"/>
    <col min="5597" max="5597" width="17.42578125" style="418" bestFit="1" customWidth="1"/>
    <col min="5598" max="5598" width="15.140625" style="418" bestFit="1" customWidth="1"/>
    <col min="5599" max="5599" width="13" style="418" bestFit="1" customWidth="1"/>
    <col min="5600" max="5600" width="14.140625" style="418" bestFit="1" customWidth="1"/>
    <col min="5601" max="5632" width="16.85546875" style="418"/>
    <col min="5633" max="5633" width="15.85546875" style="418" bestFit="1" customWidth="1"/>
    <col min="5634" max="5634" width="27.140625" style="418" bestFit="1" customWidth="1"/>
    <col min="5635" max="5635" width="11.42578125" style="418" customWidth="1"/>
    <col min="5636" max="5636" width="11" style="418" bestFit="1" customWidth="1"/>
    <col min="5637" max="5637" width="11.7109375" style="418" bestFit="1" customWidth="1"/>
    <col min="5638" max="5638" width="18.5703125" style="418" bestFit="1" customWidth="1"/>
    <col min="5639" max="5639" width="8.140625" style="418" bestFit="1" customWidth="1"/>
    <col min="5640" max="5640" width="10.5703125" style="418" bestFit="1" customWidth="1"/>
    <col min="5641" max="5641" width="11.85546875" style="418" customWidth="1"/>
    <col min="5642" max="5642" width="14.42578125" style="418" bestFit="1" customWidth="1"/>
    <col min="5643" max="5850" width="11.42578125" style="418" customWidth="1"/>
    <col min="5851" max="5852" width="15.85546875" style="418" bestFit="1" customWidth="1"/>
    <col min="5853" max="5853" width="17.42578125" style="418" bestFit="1" customWidth="1"/>
    <col min="5854" max="5854" width="15.140625" style="418" bestFit="1" customWidth="1"/>
    <col min="5855" max="5855" width="13" style="418" bestFit="1" customWidth="1"/>
    <col min="5856" max="5856" width="14.140625" style="418" bestFit="1" customWidth="1"/>
    <col min="5857" max="5888" width="16.85546875" style="418"/>
    <col min="5889" max="5889" width="15.85546875" style="418" bestFit="1" customWidth="1"/>
    <col min="5890" max="5890" width="27.140625" style="418" bestFit="1" customWidth="1"/>
    <col min="5891" max="5891" width="11.42578125" style="418" customWidth="1"/>
    <col min="5892" max="5892" width="11" style="418" bestFit="1" customWidth="1"/>
    <col min="5893" max="5893" width="11.7109375" style="418" bestFit="1" customWidth="1"/>
    <col min="5894" max="5894" width="18.5703125" style="418" bestFit="1" customWidth="1"/>
    <col min="5895" max="5895" width="8.140625" style="418" bestFit="1" customWidth="1"/>
    <col min="5896" max="5896" width="10.5703125" style="418" bestFit="1" customWidth="1"/>
    <col min="5897" max="5897" width="11.85546875" style="418" customWidth="1"/>
    <col min="5898" max="5898" width="14.42578125" style="418" bestFit="1" customWidth="1"/>
    <col min="5899" max="6106" width="11.42578125" style="418" customWidth="1"/>
    <col min="6107" max="6108" width="15.85546875" style="418" bestFit="1" customWidth="1"/>
    <col min="6109" max="6109" width="17.42578125" style="418" bestFit="1" customWidth="1"/>
    <col min="6110" max="6110" width="15.140625" style="418" bestFit="1" customWidth="1"/>
    <col min="6111" max="6111" width="13" style="418" bestFit="1" customWidth="1"/>
    <col min="6112" max="6112" width="14.140625" style="418" bestFit="1" customWidth="1"/>
    <col min="6113" max="6144" width="16.85546875" style="418"/>
    <col min="6145" max="6145" width="15.85546875" style="418" bestFit="1" customWidth="1"/>
    <col min="6146" max="6146" width="27.140625" style="418" bestFit="1" customWidth="1"/>
    <col min="6147" max="6147" width="11.42578125" style="418" customWidth="1"/>
    <col min="6148" max="6148" width="11" style="418" bestFit="1" customWidth="1"/>
    <col min="6149" max="6149" width="11.7109375" style="418" bestFit="1" customWidth="1"/>
    <col min="6150" max="6150" width="18.5703125" style="418" bestFit="1" customWidth="1"/>
    <col min="6151" max="6151" width="8.140625" style="418" bestFit="1" customWidth="1"/>
    <col min="6152" max="6152" width="10.5703125" style="418" bestFit="1" customWidth="1"/>
    <col min="6153" max="6153" width="11.85546875" style="418" customWidth="1"/>
    <col min="6154" max="6154" width="14.42578125" style="418" bestFit="1" customWidth="1"/>
    <col min="6155" max="6362" width="11.42578125" style="418" customWidth="1"/>
    <col min="6363" max="6364" width="15.85546875" style="418" bestFit="1" customWidth="1"/>
    <col min="6365" max="6365" width="17.42578125" style="418" bestFit="1" customWidth="1"/>
    <col min="6366" max="6366" width="15.140625" style="418" bestFit="1" customWidth="1"/>
    <col min="6367" max="6367" width="13" style="418" bestFit="1" customWidth="1"/>
    <col min="6368" max="6368" width="14.140625" style="418" bestFit="1" customWidth="1"/>
    <col min="6369" max="6400" width="16.85546875" style="418"/>
    <col min="6401" max="6401" width="15.85546875" style="418" bestFit="1" customWidth="1"/>
    <col min="6402" max="6402" width="27.140625" style="418" bestFit="1" customWidth="1"/>
    <col min="6403" max="6403" width="11.42578125" style="418" customWidth="1"/>
    <col min="6404" max="6404" width="11" style="418" bestFit="1" customWidth="1"/>
    <col min="6405" max="6405" width="11.7109375" style="418" bestFit="1" customWidth="1"/>
    <col min="6406" max="6406" width="18.5703125" style="418" bestFit="1" customWidth="1"/>
    <col min="6407" max="6407" width="8.140625" style="418" bestFit="1" customWidth="1"/>
    <col min="6408" max="6408" width="10.5703125" style="418" bestFit="1" customWidth="1"/>
    <col min="6409" max="6409" width="11.85546875" style="418" customWidth="1"/>
    <col min="6410" max="6410" width="14.42578125" style="418" bestFit="1" customWidth="1"/>
    <col min="6411" max="6618" width="11.42578125" style="418" customWidth="1"/>
    <col min="6619" max="6620" width="15.85546875" style="418" bestFit="1" customWidth="1"/>
    <col min="6621" max="6621" width="17.42578125" style="418" bestFit="1" customWidth="1"/>
    <col min="6622" max="6622" width="15.140625" style="418" bestFit="1" customWidth="1"/>
    <col min="6623" max="6623" width="13" style="418" bestFit="1" customWidth="1"/>
    <col min="6624" max="6624" width="14.140625" style="418" bestFit="1" customWidth="1"/>
    <col min="6625" max="6656" width="16.85546875" style="418"/>
    <col min="6657" max="6657" width="15.85546875" style="418" bestFit="1" customWidth="1"/>
    <col min="6658" max="6658" width="27.140625" style="418" bestFit="1" customWidth="1"/>
    <col min="6659" max="6659" width="11.42578125" style="418" customWidth="1"/>
    <col min="6660" max="6660" width="11" style="418" bestFit="1" customWidth="1"/>
    <col min="6661" max="6661" width="11.7109375" style="418" bestFit="1" customWidth="1"/>
    <col min="6662" max="6662" width="18.5703125" style="418" bestFit="1" customWidth="1"/>
    <col min="6663" max="6663" width="8.140625" style="418" bestFit="1" customWidth="1"/>
    <col min="6664" max="6664" width="10.5703125" style="418" bestFit="1" customWidth="1"/>
    <col min="6665" max="6665" width="11.85546875" style="418" customWidth="1"/>
    <col min="6666" max="6666" width="14.42578125" style="418" bestFit="1" customWidth="1"/>
    <col min="6667" max="6874" width="11.42578125" style="418" customWidth="1"/>
    <col min="6875" max="6876" width="15.85546875" style="418" bestFit="1" customWidth="1"/>
    <col min="6877" max="6877" width="17.42578125" style="418" bestFit="1" customWidth="1"/>
    <col min="6878" max="6878" width="15.140625" style="418" bestFit="1" customWidth="1"/>
    <col min="6879" max="6879" width="13" style="418" bestFit="1" customWidth="1"/>
    <col min="6880" max="6880" width="14.140625" style="418" bestFit="1" customWidth="1"/>
    <col min="6881" max="6912" width="16.85546875" style="418"/>
    <col min="6913" max="6913" width="15.85546875" style="418" bestFit="1" customWidth="1"/>
    <col min="6914" max="6914" width="27.140625" style="418" bestFit="1" customWidth="1"/>
    <col min="6915" max="6915" width="11.42578125" style="418" customWidth="1"/>
    <col min="6916" max="6916" width="11" style="418" bestFit="1" customWidth="1"/>
    <col min="6917" max="6917" width="11.7109375" style="418" bestFit="1" customWidth="1"/>
    <col min="6918" max="6918" width="18.5703125" style="418" bestFit="1" customWidth="1"/>
    <col min="6919" max="6919" width="8.140625" style="418" bestFit="1" customWidth="1"/>
    <col min="6920" max="6920" width="10.5703125" style="418" bestFit="1" customWidth="1"/>
    <col min="6921" max="6921" width="11.85546875" style="418" customWidth="1"/>
    <col min="6922" max="6922" width="14.42578125" style="418" bestFit="1" customWidth="1"/>
    <col min="6923" max="7130" width="11.42578125" style="418" customWidth="1"/>
    <col min="7131" max="7132" width="15.85546875" style="418" bestFit="1" customWidth="1"/>
    <col min="7133" max="7133" width="17.42578125" style="418" bestFit="1" customWidth="1"/>
    <col min="7134" max="7134" width="15.140625" style="418" bestFit="1" customWidth="1"/>
    <col min="7135" max="7135" width="13" style="418" bestFit="1" customWidth="1"/>
    <col min="7136" max="7136" width="14.140625" style="418" bestFit="1" customWidth="1"/>
    <col min="7137" max="7168" width="16.85546875" style="418"/>
    <col min="7169" max="7169" width="15.85546875" style="418" bestFit="1" customWidth="1"/>
    <col min="7170" max="7170" width="27.140625" style="418" bestFit="1" customWidth="1"/>
    <col min="7171" max="7171" width="11.42578125" style="418" customWidth="1"/>
    <col min="7172" max="7172" width="11" style="418" bestFit="1" customWidth="1"/>
    <col min="7173" max="7173" width="11.7109375" style="418" bestFit="1" customWidth="1"/>
    <col min="7174" max="7174" width="18.5703125" style="418" bestFit="1" customWidth="1"/>
    <col min="7175" max="7175" width="8.140625" style="418" bestFit="1" customWidth="1"/>
    <col min="7176" max="7176" width="10.5703125" style="418" bestFit="1" customWidth="1"/>
    <col min="7177" max="7177" width="11.85546875" style="418" customWidth="1"/>
    <col min="7178" max="7178" width="14.42578125" style="418" bestFit="1" customWidth="1"/>
    <col min="7179" max="7386" width="11.42578125" style="418" customWidth="1"/>
    <col min="7387" max="7388" width="15.85546875" style="418" bestFit="1" customWidth="1"/>
    <col min="7389" max="7389" width="17.42578125" style="418" bestFit="1" customWidth="1"/>
    <col min="7390" max="7390" width="15.140625" style="418" bestFit="1" customWidth="1"/>
    <col min="7391" max="7391" width="13" style="418" bestFit="1" customWidth="1"/>
    <col min="7392" max="7392" width="14.140625" style="418" bestFit="1" customWidth="1"/>
    <col min="7393" max="7424" width="16.85546875" style="418"/>
    <col min="7425" max="7425" width="15.85546875" style="418" bestFit="1" customWidth="1"/>
    <col min="7426" max="7426" width="27.140625" style="418" bestFit="1" customWidth="1"/>
    <col min="7427" max="7427" width="11.42578125" style="418" customWidth="1"/>
    <col min="7428" max="7428" width="11" style="418" bestFit="1" customWidth="1"/>
    <col min="7429" max="7429" width="11.7109375" style="418" bestFit="1" customWidth="1"/>
    <col min="7430" max="7430" width="18.5703125" style="418" bestFit="1" customWidth="1"/>
    <col min="7431" max="7431" width="8.140625" style="418" bestFit="1" customWidth="1"/>
    <col min="7432" max="7432" width="10.5703125" style="418" bestFit="1" customWidth="1"/>
    <col min="7433" max="7433" width="11.85546875" style="418" customWidth="1"/>
    <col min="7434" max="7434" width="14.42578125" style="418" bestFit="1" customWidth="1"/>
    <col min="7435" max="7642" width="11.42578125" style="418" customWidth="1"/>
    <col min="7643" max="7644" width="15.85546875" style="418" bestFit="1" customWidth="1"/>
    <col min="7645" max="7645" width="17.42578125" style="418" bestFit="1" customWidth="1"/>
    <col min="7646" max="7646" width="15.140625" style="418" bestFit="1" customWidth="1"/>
    <col min="7647" max="7647" width="13" style="418" bestFit="1" customWidth="1"/>
    <col min="7648" max="7648" width="14.140625" style="418" bestFit="1" customWidth="1"/>
    <col min="7649" max="7680" width="16.85546875" style="418"/>
    <col min="7681" max="7681" width="15.85546875" style="418" bestFit="1" customWidth="1"/>
    <col min="7682" max="7682" width="27.140625" style="418" bestFit="1" customWidth="1"/>
    <col min="7683" max="7683" width="11.42578125" style="418" customWidth="1"/>
    <col min="7684" max="7684" width="11" style="418" bestFit="1" customWidth="1"/>
    <col min="7685" max="7685" width="11.7109375" style="418" bestFit="1" customWidth="1"/>
    <col min="7686" max="7686" width="18.5703125" style="418" bestFit="1" customWidth="1"/>
    <col min="7687" max="7687" width="8.140625" style="418" bestFit="1" customWidth="1"/>
    <col min="7688" max="7688" width="10.5703125" style="418" bestFit="1" customWidth="1"/>
    <col min="7689" max="7689" width="11.85546875" style="418" customWidth="1"/>
    <col min="7690" max="7690" width="14.42578125" style="418" bestFit="1" customWidth="1"/>
    <col min="7691" max="7898" width="11.42578125" style="418" customWidth="1"/>
    <col min="7899" max="7900" width="15.85546875" style="418" bestFit="1" customWidth="1"/>
    <col min="7901" max="7901" width="17.42578125" style="418" bestFit="1" customWidth="1"/>
    <col min="7902" max="7902" width="15.140625" style="418" bestFit="1" customWidth="1"/>
    <col min="7903" max="7903" width="13" style="418" bestFit="1" customWidth="1"/>
    <col min="7904" max="7904" width="14.140625" style="418" bestFit="1" customWidth="1"/>
    <col min="7905" max="7936" width="16.85546875" style="418"/>
    <col min="7937" max="7937" width="15.85546875" style="418" bestFit="1" customWidth="1"/>
    <col min="7938" max="7938" width="27.140625" style="418" bestFit="1" customWidth="1"/>
    <col min="7939" max="7939" width="11.42578125" style="418" customWidth="1"/>
    <col min="7940" max="7940" width="11" style="418" bestFit="1" customWidth="1"/>
    <col min="7941" max="7941" width="11.7109375" style="418" bestFit="1" customWidth="1"/>
    <col min="7942" max="7942" width="18.5703125" style="418" bestFit="1" customWidth="1"/>
    <col min="7943" max="7943" width="8.140625" style="418" bestFit="1" customWidth="1"/>
    <col min="7944" max="7944" width="10.5703125" style="418" bestFit="1" customWidth="1"/>
    <col min="7945" max="7945" width="11.85546875" style="418" customWidth="1"/>
    <col min="7946" max="7946" width="14.42578125" style="418" bestFit="1" customWidth="1"/>
    <col min="7947" max="8154" width="11.42578125" style="418" customWidth="1"/>
    <col min="8155" max="8156" width="15.85546875" style="418" bestFit="1" customWidth="1"/>
    <col min="8157" max="8157" width="17.42578125" style="418" bestFit="1" customWidth="1"/>
    <col min="8158" max="8158" width="15.140625" style="418" bestFit="1" customWidth="1"/>
    <col min="8159" max="8159" width="13" style="418" bestFit="1" customWidth="1"/>
    <col min="8160" max="8160" width="14.140625" style="418" bestFit="1" customWidth="1"/>
    <col min="8161" max="8192" width="16.85546875" style="418"/>
    <col min="8193" max="8193" width="15.85546875" style="418" bestFit="1" customWidth="1"/>
    <col min="8194" max="8194" width="27.140625" style="418" bestFit="1" customWidth="1"/>
    <col min="8195" max="8195" width="11.42578125" style="418" customWidth="1"/>
    <col min="8196" max="8196" width="11" style="418" bestFit="1" customWidth="1"/>
    <col min="8197" max="8197" width="11.7109375" style="418" bestFit="1" customWidth="1"/>
    <col min="8198" max="8198" width="18.5703125" style="418" bestFit="1" customWidth="1"/>
    <col min="8199" max="8199" width="8.140625" style="418" bestFit="1" customWidth="1"/>
    <col min="8200" max="8200" width="10.5703125" style="418" bestFit="1" customWidth="1"/>
    <col min="8201" max="8201" width="11.85546875" style="418" customWidth="1"/>
    <col min="8202" max="8202" width="14.42578125" style="418" bestFit="1" customWidth="1"/>
    <col min="8203" max="8410" width="11.42578125" style="418" customWidth="1"/>
    <col min="8411" max="8412" width="15.85546875" style="418" bestFit="1" customWidth="1"/>
    <col min="8413" max="8413" width="17.42578125" style="418" bestFit="1" customWidth="1"/>
    <col min="8414" max="8414" width="15.140625" style="418" bestFit="1" customWidth="1"/>
    <col min="8415" max="8415" width="13" style="418" bestFit="1" customWidth="1"/>
    <col min="8416" max="8416" width="14.140625" style="418" bestFit="1" customWidth="1"/>
    <col min="8417" max="8448" width="16.85546875" style="418"/>
    <col min="8449" max="8449" width="15.85546875" style="418" bestFit="1" customWidth="1"/>
    <col min="8450" max="8450" width="27.140625" style="418" bestFit="1" customWidth="1"/>
    <col min="8451" max="8451" width="11.42578125" style="418" customWidth="1"/>
    <col min="8452" max="8452" width="11" style="418" bestFit="1" customWidth="1"/>
    <col min="8453" max="8453" width="11.7109375" style="418" bestFit="1" customWidth="1"/>
    <col min="8454" max="8454" width="18.5703125" style="418" bestFit="1" customWidth="1"/>
    <col min="8455" max="8455" width="8.140625" style="418" bestFit="1" customWidth="1"/>
    <col min="8456" max="8456" width="10.5703125" style="418" bestFit="1" customWidth="1"/>
    <col min="8457" max="8457" width="11.85546875" style="418" customWidth="1"/>
    <col min="8458" max="8458" width="14.42578125" style="418" bestFit="1" customWidth="1"/>
    <col min="8459" max="8666" width="11.42578125" style="418" customWidth="1"/>
    <col min="8667" max="8668" width="15.85546875" style="418" bestFit="1" customWidth="1"/>
    <col min="8669" max="8669" width="17.42578125" style="418" bestFit="1" customWidth="1"/>
    <col min="8670" max="8670" width="15.140625" style="418" bestFit="1" customWidth="1"/>
    <col min="8671" max="8671" width="13" style="418" bestFit="1" customWidth="1"/>
    <col min="8672" max="8672" width="14.140625" style="418" bestFit="1" customWidth="1"/>
    <col min="8673" max="8704" width="16.85546875" style="418"/>
    <col min="8705" max="8705" width="15.85546875" style="418" bestFit="1" customWidth="1"/>
    <col min="8706" max="8706" width="27.140625" style="418" bestFit="1" customWidth="1"/>
    <col min="8707" max="8707" width="11.42578125" style="418" customWidth="1"/>
    <col min="8708" max="8708" width="11" style="418" bestFit="1" customWidth="1"/>
    <col min="8709" max="8709" width="11.7109375" style="418" bestFit="1" customWidth="1"/>
    <col min="8710" max="8710" width="18.5703125" style="418" bestFit="1" customWidth="1"/>
    <col min="8711" max="8711" width="8.140625" style="418" bestFit="1" customWidth="1"/>
    <col min="8712" max="8712" width="10.5703125" style="418" bestFit="1" customWidth="1"/>
    <col min="8713" max="8713" width="11.85546875" style="418" customWidth="1"/>
    <col min="8714" max="8714" width="14.42578125" style="418" bestFit="1" customWidth="1"/>
    <col min="8715" max="8922" width="11.42578125" style="418" customWidth="1"/>
    <col min="8923" max="8924" width="15.85546875" style="418" bestFit="1" customWidth="1"/>
    <col min="8925" max="8925" width="17.42578125" style="418" bestFit="1" customWidth="1"/>
    <col min="8926" max="8926" width="15.140625" style="418" bestFit="1" customWidth="1"/>
    <col min="8927" max="8927" width="13" style="418" bestFit="1" customWidth="1"/>
    <col min="8928" max="8928" width="14.140625" style="418" bestFit="1" customWidth="1"/>
    <col min="8929" max="8960" width="16.85546875" style="418"/>
    <col min="8961" max="8961" width="15.85546875" style="418" bestFit="1" customWidth="1"/>
    <col min="8962" max="8962" width="27.140625" style="418" bestFit="1" customWidth="1"/>
    <col min="8963" max="8963" width="11.42578125" style="418" customWidth="1"/>
    <col min="8964" max="8964" width="11" style="418" bestFit="1" customWidth="1"/>
    <col min="8965" max="8965" width="11.7109375" style="418" bestFit="1" customWidth="1"/>
    <col min="8966" max="8966" width="18.5703125" style="418" bestFit="1" customWidth="1"/>
    <col min="8967" max="8967" width="8.140625" style="418" bestFit="1" customWidth="1"/>
    <col min="8968" max="8968" width="10.5703125" style="418" bestFit="1" customWidth="1"/>
    <col min="8969" max="8969" width="11.85546875" style="418" customWidth="1"/>
    <col min="8970" max="8970" width="14.42578125" style="418" bestFit="1" customWidth="1"/>
    <col min="8971" max="9178" width="11.42578125" style="418" customWidth="1"/>
    <col min="9179" max="9180" width="15.85546875" style="418" bestFit="1" customWidth="1"/>
    <col min="9181" max="9181" width="17.42578125" style="418" bestFit="1" customWidth="1"/>
    <col min="9182" max="9182" width="15.140625" style="418" bestFit="1" customWidth="1"/>
    <col min="9183" max="9183" width="13" style="418" bestFit="1" customWidth="1"/>
    <col min="9184" max="9184" width="14.140625" style="418" bestFit="1" customWidth="1"/>
    <col min="9185" max="9216" width="16.85546875" style="418"/>
    <col min="9217" max="9217" width="15.85546875" style="418" bestFit="1" customWidth="1"/>
    <col min="9218" max="9218" width="27.140625" style="418" bestFit="1" customWidth="1"/>
    <col min="9219" max="9219" width="11.42578125" style="418" customWidth="1"/>
    <col min="9220" max="9220" width="11" style="418" bestFit="1" customWidth="1"/>
    <col min="9221" max="9221" width="11.7109375" style="418" bestFit="1" customWidth="1"/>
    <col min="9222" max="9222" width="18.5703125" style="418" bestFit="1" customWidth="1"/>
    <col min="9223" max="9223" width="8.140625" style="418" bestFit="1" customWidth="1"/>
    <col min="9224" max="9224" width="10.5703125" style="418" bestFit="1" customWidth="1"/>
    <col min="9225" max="9225" width="11.85546875" style="418" customWidth="1"/>
    <col min="9226" max="9226" width="14.42578125" style="418" bestFit="1" customWidth="1"/>
    <col min="9227" max="9434" width="11.42578125" style="418" customWidth="1"/>
    <col min="9435" max="9436" width="15.85546875" style="418" bestFit="1" customWidth="1"/>
    <col min="9437" max="9437" width="17.42578125" style="418" bestFit="1" customWidth="1"/>
    <col min="9438" max="9438" width="15.140625" style="418" bestFit="1" customWidth="1"/>
    <col min="9439" max="9439" width="13" style="418" bestFit="1" customWidth="1"/>
    <col min="9440" max="9440" width="14.140625" style="418" bestFit="1" customWidth="1"/>
    <col min="9441" max="9472" width="16.85546875" style="418"/>
    <col min="9473" max="9473" width="15.85546875" style="418" bestFit="1" customWidth="1"/>
    <col min="9474" max="9474" width="27.140625" style="418" bestFit="1" customWidth="1"/>
    <col min="9475" max="9475" width="11.42578125" style="418" customWidth="1"/>
    <col min="9476" max="9476" width="11" style="418" bestFit="1" customWidth="1"/>
    <col min="9477" max="9477" width="11.7109375" style="418" bestFit="1" customWidth="1"/>
    <col min="9478" max="9478" width="18.5703125" style="418" bestFit="1" customWidth="1"/>
    <col min="9479" max="9479" width="8.140625" style="418" bestFit="1" customWidth="1"/>
    <col min="9480" max="9480" width="10.5703125" style="418" bestFit="1" customWidth="1"/>
    <col min="9481" max="9481" width="11.85546875" style="418" customWidth="1"/>
    <col min="9482" max="9482" width="14.42578125" style="418" bestFit="1" customWidth="1"/>
    <col min="9483" max="9690" width="11.42578125" style="418" customWidth="1"/>
    <col min="9691" max="9692" width="15.85546875" style="418" bestFit="1" customWidth="1"/>
    <col min="9693" max="9693" width="17.42578125" style="418" bestFit="1" customWidth="1"/>
    <col min="9694" max="9694" width="15.140625" style="418" bestFit="1" customWidth="1"/>
    <col min="9695" max="9695" width="13" style="418" bestFit="1" customWidth="1"/>
    <col min="9696" max="9696" width="14.140625" style="418" bestFit="1" customWidth="1"/>
    <col min="9697" max="9728" width="16.85546875" style="418"/>
    <col min="9729" max="9729" width="15.85546875" style="418" bestFit="1" customWidth="1"/>
    <col min="9730" max="9730" width="27.140625" style="418" bestFit="1" customWidth="1"/>
    <col min="9731" max="9731" width="11.42578125" style="418" customWidth="1"/>
    <col min="9732" max="9732" width="11" style="418" bestFit="1" customWidth="1"/>
    <col min="9733" max="9733" width="11.7109375" style="418" bestFit="1" customWidth="1"/>
    <col min="9734" max="9734" width="18.5703125" style="418" bestFit="1" customWidth="1"/>
    <col min="9735" max="9735" width="8.140625" style="418" bestFit="1" customWidth="1"/>
    <col min="9736" max="9736" width="10.5703125" style="418" bestFit="1" customWidth="1"/>
    <col min="9737" max="9737" width="11.85546875" style="418" customWidth="1"/>
    <col min="9738" max="9738" width="14.42578125" style="418" bestFit="1" customWidth="1"/>
    <col min="9739" max="9946" width="11.42578125" style="418" customWidth="1"/>
    <col min="9947" max="9948" width="15.85546875" style="418" bestFit="1" customWidth="1"/>
    <col min="9949" max="9949" width="17.42578125" style="418" bestFit="1" customWidth="1"/>
    <col min="9950" max="9950" width="15.140625" style="418" bestFit="1" customWidth="1"/>
    <col min="9951" max="9951" width="13" style="418" bestFit="1" customWidth="1"/>
    <col min="9952" max="9952" width="14.140625" style="418" bestFit="1" customWidth="1"/>
    <col min="9953" max="9984" width="16.85546875" style="418"/>
    <col min="9985" max="9985" width="15.85546875" style="418" bestFit="1" customWidth="1"/>
    <col min="9986" max="9986" width="27.140625" style="418" bestFit="1" customWidth="1"/>
    <col min="9987" max="9987" width="11.42578125" style="418" customWidth="1"/>
    <col min="9988" max="9988" width="11" style="418" bestFit="1" customWidth="1"/>
    <col min="9989" max="9989" width="11.7109375" style="418" bestFit="1" customWidth="1"/>
    <col min="9990" max="9990" width="18.5703125" style="418" bestFit="1" customWidth="1"/>
    <col min="9991" max="9991" width="8.140625" style="418" bestFit="1" customWidth="1"/>
    <col min="9992" max="9992" width="10.5703125" style="418" bestFit="1" customWidth="1"/>
    <col min="9993" max="9993" width="11.85546875" style="418" customWidth="1"/>
    <col min="9994" max="9994" width="14.42578125" style="418" bestFit="1" customWidth="1"/>
    <col min="9995" max="10202" width="11.42578125" style="418" customWidth="1"/>
    <col min="10203" max="10204" width="15.85546875" style="418" bestFit="1" customWidth="1"/>
    <col min="10205" max="10205" width="17.42578125" style="418" bestFit="1" customWidth="1"/>
    <col min="10206" max="10206" width="15.140625" style="418" bestFit="1" customWidth="1"/>
    <col min="10207" max="10207" width="13" style="418" bestFit="1" customWidth="1"/>
    <col min="10208" max="10208" width="14.140625" style="418" bestFit="1" customWidth="1"/>
    <col min="10209" max="10240" width="16.85546875" style="418"/>
    <col min="10241" max="10241" width="15.85546875" style="418" bestFit="1" customWidth="1"/>
    <col min="10242" max="10242" width="27.140625" style="418" bestFit="1" customWidth="1"/>
    <col min="10243" max="10243" width="11.42578125" style="418" customWidth="1"/>
    <col min="10244" max="10244" width="11" style="418" bestFit="1" customWidth="1"/>
    <col min="10245" max="10245" width="11.7109375" style="418" bestFit="1" customWidth="1"/>
    <col min="10246" max="10246" width="18.5703125" style="418" bestFit="1" customWidth="1"/>
    <col min="10247" max="10247" width="8.140625" style="418" bestFit="1" customWidth="1"/>
    <col min="10248" max="10248" width="10.5703125" style="418" bestFit="1" customWidth="1"/>
    <col min="10249" max="10249" width="11.85546875" style="418" customWidth="1"/>
    <col min="10250" max="10250" width="14.42578125" style="418" bestFit="1" customWidth="1"/>
    <col min="10251" max="10458" width="11.42578125" style="418" customWidth="1"/>
    <col min="10459" max="10460" width="15.85546875" style="418" bestFit="1" customWidth="1"/>
    <col min="10461" max="10461" width="17.42578125" style="418" bestFit="1" customWidth="1"/>
    <col min="10462" max="10462" width="15.140625" style="418" bestFit="1" customWidth="1"/>
    <col min="10463" max="10463" width="13" style="418" bestFit="1" customWidth="1"/>
    <col min="10464" max="10464" width="14.140625" style="418" bestFit="1" customWidth="1"/>
    <col min="10465" max="10496" width="16.85546875" style="418"/>
    <col min="10497" max="10497" width="15.85546875" style="418" bestFit="1" customWidth="1"/>
    <col min="10498" max="10498" width="27.140625" style="418" bestFit="1" customWidth="1"/>
    <col min="10499" max="10499" width="11.42578125" style="418" customWidth="1"/>
    <col min="10500" max="10500" width="11" style="418" bestFit="1" customWidth="1"/>
    <col min="10501" max="10501" width="11.7109375" style="418" bestFit="1" customWidth="1"/>
    <col min="10502" max="10502" width="18.5703125" style="418" bestFit="1" customWidth="1"/>
    <col min="10503" max="10503" width="8.140625" style="418" bestFit="1" customWidth="1"/>
    <col min="10504" max="10504" width="10.5703125" style="418" bestFit="1" customWidth="1"/>
    <col min="10505" max="10505" width="11.85546875" style="418" customWidth="1"/>
    <col min="10506" max="10506" width="14.42578125" style="418" bestFit="1" customWidth="1"/>
    <col min="10507" max="10714" width="11.42578125" style="418" customWidth="1"/>
    <col min="10715" max="10716" width="15.85546875" style="418" bestFit="1" customWidth="1"/>
    <col min="10717" max="10717" width="17.42578125" style="418" bestFit="1" customWidth="1"/>
    <col min="10718" max="10718" width="15.140625" style="418" bestFit="1" customWidth="1"/>
    <col min="10719" max="10719" width="13" style="418" bestFit="1" customWidth="1"/>
    <col min="10720" max="10720" width="14.140625" style="418" bestFit="1" customWidth="1"/>
    <col min="10721" max="10752" width="16.85546875" style="418"/>
    <col min="10753" max="10753" width="15.85546875" style="418" bestFit="1" customWidth="1"/>
    <col min="10754" max="10754" width="27.140625" style="418" bestFit="1" customWidth="1"/>
    <col min="10755" max="10755" width="11.42578125" style="418" customWidth="1"/>
    <col min="10756" max="10756" width="11" style="418" bestFit="1" customWidth="1"/>
    <col min="10757" max="10757" width="11.7109375" style="418" bestFit="1" customWidth="1"/>
    <col min="10758" max="10758" width="18.5703125" style="418" bestFit="1" customWidth="1"/>
    <col min="10759" max="10759" width="8.140625" style="418" bestFit="1" customWidth="1"/>
    <col min="10760" max="10760" width="10.5703125" style="418" bestFit="1" customWidth="1"/>
    <col min="10761" max="10761" width="11.85546875" style="418" customWidth="1"/>
    <col min="10762" max="10762" width="14.42578125" style="418" bestFit="1" customWidth="1"/>
    <col min="10763" max="10970" width="11.42578125" style="418" customWidth="1"/>
    <col min="10971" max="10972" width="15.85546875" style="418" bestFit="1" customWidth="1"/>
    <col min="10973" max="10973" width="17.42578125" style="418" bestFit="1" customWidth="1"/>
    <col min="10974" max="10974" width="15.140625" style="418" bestFit="1" customWidth="1"/>
    <col min="10975" max="10975" width="13" style="418" bestFit="1" customWidth="1"/>
    <col min="10976" max="10976" width="14.140625" style="418" bestFit="1" customWidth="1"/>
    <col min="10977" max="11008" width="16.85546875" style="418"/>
    <col min="11009" max="11009" width="15.85546875" style="418" bestFit="1" customWidth="1"/>
    <col min="11010" max="11010" width="27.140625" style="418" bestFit="1" customWidth="1"/>
    <col min="11011" max="11011" width="11.42578125" style="418" customWidth="1"/>
    <col min="11012" max="11012" width="11" style="418" bestFit="1" customWidth="1"/>
    <col min="11013" max="11013" width="11.7109375" style="418" bestFit="1" customWidth="1"/>
    <col min="11014" max="11014" width="18.5703125" style="418" bestFit="1" customWidth="1"/>
    <col min="11015" max="11015" width="8.140625" style="418" bestFit="1" customWidth="1"/>
    <col min="11016" max="11016" width="10.5703125" style="418" bestFit="1" customWidth="1"/>
    <col min="11017" max="11017" width="11.85546875" style="418" customWidth="1"/>
    <col min="11018" max="11018" width="14.42578125" style="418" bestFit="1" customWidth="1"/>
    <col min="11019" max="11226" width="11.42578125" style="418" customWidth="1"/>
    <col min="11227" max="11228" width="15.85546875" style="418" bestFit="1" customWidth="1"/>
    <col min="11229" max="11229" width="17.42578125" style="418" bestFit="1" customWidth="1"/>
    <col min="11230" max="11230" width="15.140625" style="418" bestFit="1" customWidth="1"/>
    <col min="11231" max="11231" width="13" style="418" bestFit="1" customWidth="1"/>
    <col min="11232" max="11232" width="14.140625" style="418" bestFit="1" customWidth="1"/>
    <col min="11233" max="11264" width="16.85546875" style="418"/>
    <col min="11265" max="11265" width="15.85546875" style="418" bestFit="1" customWidth="1"/>
    <col min="11266" max="11266" width="27.140625" style="418" bestFit="1" customWidth="1"/>
    <col min="11267" max="11267" width="11.42578125" style="418" customWidth="1"/>
    <col min="11268" max="11268" width="11" style="418" bestFit="1" customWidth="1"/>
    <col min="11269" max="11269" width="11.7109375" style="418" bestFit="1" customWidth="1"/>
    <col min="11270" max="11270" width="18.5703125" style="418" bestFit="1" customWidth="1"/>
    <col min="11271" max="11271" width="8.140625" style="418" bestFit="1" customWidth="1"/>
    <col min="11272" max="11272" width="10.5703125" style="418" bestFit="1" customWidth="1"/>
    <col min="11273" max="11273" width="11.85546875" style="418" customWidth="1"/>
    <col min="11274" max="11274" width="14.42578125" style="418" bestFit="1" customWidth="1"/>
    <col min="11275" max="11482" width="11.42578125" style="418" customWidth="1"/>
    <col min="11483" max="11484" width="15.85546875" style="418" bestFit="1" customWidth="1"/>
    <col min="11485" max="11485" width="17.42578125" style="418" bestFit="1" customWidth="1"/>
    <col min="11486" max="11486" width="15.140625" style="418" bestFit="1" customWidth="1"/>
    <col min="11487" max="11487" width="13" style="418" bestFit="1" customWidth="1"/>
    <col min="11488" max="11488" width="14.140625" style="418" bestFit="1" customWidth="1"/>
    <col min="11489" max="11520" width="16.85546875" style="418"/>
    <col min="11521" max="11521" width="15.85546875" style="418" bestFit="1" customWidth="1"/>
    <col min="11522" max="11522" width="27.140625" style="418" bestFit="1" customWidth="1"/>
    <col min="11523" max="11523" width="11.42578125" style="418" customWidth="1"/>
    <col min="11524" max="11524" width="11" style="418" bestFit="1" customWidth="1"/>
    <col min="11525" max="11525" width="11.7109375" style="418" bestFit="1" customWidth="1"/>
    <col min="11526" max="11526" width="18.5703125" style="418" bestFit="1" customWidth="1"/>
    <col min="11527" max="11527" width="8.140625" style="418" bestFit="1" customWidth="1"/>
    <col min="11528" max="11528" width="10.5703125" style="418" bestFit="1" customWidth="1"/>
    <col min="11529" max="11529" width="11.85546875" style="418" customWidth="1"/>
    <col min="11530" max="11530" width="14.42578125" style="418" bestFit="1" customWidth="1"/>
    <col min="11531" max="11738" width="11.42578125" style="418" customWidth="1"/>
    <col min="11739" max="11740" width="15.85546875" style="418" bestFit="1" customWidth="1"/>
    <col min="11741" max="11741" width="17.42578125" style="418" bestFit="1" customWidth="1"/>
    <col min="11742" max="11742" width="15.140625" style="418" bestFit="1" customWidth="1"/>
    <col min="11743" max="11743" width="13" style="418" bestFit="1" customWidth="1"/>
    <col min="11744" max="11744" width="14.140625" style="418" bestFit="1" customWidth="1"/>
    <col min="11745" max="11776" width="16.85546875" style="418"/>
    <col min="11777" max="11777" width="15.85546875" style="418" bestFit="1" customWidth="1"/>
    <col min="11778" max="11778" width="27.140625" style="418" bestFit="1" customWidth="1"/>
    <col min="11779" max="11779" width="11.42578125" style="418" customWidth="1"/>
    <col min="11780" max="11780" width="11" style="418" bestFit="1" customWidth="1"/>
    <col min="11781" max="11781" width="11.7109375" style="418" bestFit="1" customWidth="1"/>
    <col min="11782" max="11782" width="18.5703125" style="418" bestFit="1" customWidth="1"/>
    <col min="11783" max="11783" width="8.140625" style="418" bestFit="1" customWidth="1"/>
    <col min="11784" max="11784" width="10.5703125" style="418" bestFit="1" customWidth="1"/>
    <col min="11785" max="11785" width="11.85546875" style="418" customWidth="1"/>
    <col min="11786" max="11786" width="14.42578125" style="418" bestFit="1" customWidth="1"/>
    <col min="11787" max="11994" width="11.42578125" style="418" customWidth="1"/>
    <col min="11995" max="11996" width="15.85546875" style="418" bestFit="1" customWidth="1"/>
    <col min="11997" max="11997" width="17.42578125" style="418" bestFit="1" customWidth="1"/>
    <col min="11998" max="11998" width="15.140625" style="418" bestFit="1" customWidth="1"/>
    <col min="11999" max="11999" width="13" style="418" bestFit="1" customWidth="1"/>
    <col min="12000" max="12000" width="14.140625" style="418" bestFit="1" customWidth="1"/>
    <col min="12001" max="12032" width="16.85546875" style="418"/>
    <col min="12033" max="12033" width="15.85546875" style="418" bestFit="1" customWidth="1"/>
    <col min="12034" max="12034" width="27.140625" style="418" bestFit="1" customWidth="1"/>
    <col min="12035" max="12035" width="11.42578125" style="418" customWidth="1"/>
    <col min="12036" max="12036" width="11" style="418" bestFit="1" customWidth="1"/>
    <col min="12037" max="12037" width="11.7109375" style="418" bestFit="1" customWidth="1"/>
    <col min="12038" max="12038" width="18.5703125" style="418" bestFit="1" customWidth="1"/>
    <col min="12039" max="12039" width="8.140625" style="418" bestFit="1" customWidth="1"/>
    <col min="12040" max="12040" width="10.5703125" style="418" bestFit="1" customWidth="1"/>
    <col min="12041" max="12041" width="11.85546875" style="418" customWidth="1"/>
    <col min="12042" max="12042" width="14.42578125" style="418" bestFit="1" customWidth="1"/>
    <col min="12043" max="12250" width="11.42578125" style="418" customWidth="1"/>
    <col min="12251" max="12252" width="15.85546875" style="418" bestFit="1" customWidth="1"/>
    <col min="12253" max="12253" width="17.42578125" style="418" bestFit="1" customWidth="1"/>
    <col min="12254" max="12254" width="15.140625" style="418" bestFit="1" customWidth="1"/>
    <col min="12255" max="12255" width="13" style="418" bestFit="1" customWidth="1"/>
    <col min="12256" max="12256" width="14.140625" style="418" bestFit="1" customWidth="1"/>
    <col min="12257" max="12288" width="16.85546875" style="418"/>
    <col min="12289" max="12289" width="15.85546875" style="418" bestFit="1" customWidth="1"/>
    <col min="12290" max="12290" width="27.140625" style="418" bestFit="1" customWidth="1"/>
    <col min="12291" max="12291" width="11.42578125" style="418" customWidth="1"/>
    <col min="12292" max="12292" width="11" style="418" bestFit="1" customWidth="1"/>
    <col min="12293" max="12293" width="11.7109375" style="418" bestFit="1" customWidth="1"/>
    <col min="12294" max="12294" width="18.5703125" style="418" bestFit="1" customWidth="1"/>
    <col min="12295" max="12295" width="8.140625" style="418" bestFit="1" customWidth="1"/>
    <col min="12296" max="12296" width="10.5703125" style="418" bestFit="1" customWidth="1"/>
    <col min="12297" max="12297" width="11.85546875" style="418" customWidth="1"/>
    <col min="12298" max="12298" width="14.42578125" style="418" bestFit="1" customWidth="1"/>
    <col min="12299" max="12506" width="11.42578125" style="418" customWidth="1"/>
    <col min="12507" max="12508" width="15.85546875" style="418" bestFit="1" customWidth="1"/>
    <col min="12509" max="12509" width="17.42578125" style="418" bestFit="1" customWidth="1"/>
    <col min="12510" max="12510" width="15.140625" style="418" bestFit="1" customWidth="1"/>
    <col min="12511" max="12511" width="13" style="418" bestFit="1" customWidth="1"/>
    <col min="12512" max="12512" width="14.140625" style="418" bestFit="1" customWidth="1"/>
    <col min="12513" max="12544" width="16.85546875" style="418"/>
    <col min="12545" max="12545" width="15.85546875" style="418" bestFit="1" customWidth="1"/>
    <col min="12546" max="12546" width="27.140625" style="418" bestFit="1" customWidth="1"/>
    <col min="12547" max="12547" width="11.42578125" style="418" customWidth="1"/>
    <col min="12548" max="12548" width="11" style="418" bestFit="1" customWidth="1"/>
    <col min="12549" max="12549" width="11.7109375" style="418" bestFit="1" customWidth="1"/>
    <col min="12550" max="12550" width="18.5703125" style="418" bestFit="1" customWidth="1"/>
    <col min="12551" max="12551" width="8.140625" style="418" bestFit="1" customWidth="1"/>
    <col min="12552" max="12552" width="10.5703125" style="418" bestFit="1" customWidth="1"/>
    <col min="12553" max="12553" width="11.85546875" style="418" customWidth="1"/>
    <col min="12554" max="12554" width="14.42578125" style="418" bestFit="1" customWidth="1"/>
    <col min="12555" max="12762" width="11.42578125" style="418" customWidth="1"/>
    <col min="12763" max="12764" width="15.85546875" style="418" bestFit="1" customWidth="1"/>
    <col min="12765" max="12765" width="17.42578125" style="418" bestFit="1" customWidth="1"/>
    <col min="12766" max="12766" width="15.140625" style="418" bestFit="1" customWidth="1"/>
    <col min="12767" max="12767" width="13" style="418" bestFit="1" customWidth="1"/>
    <col min="12768" max="12768" width="14.140625" style="418" bestFit="1" customWidth="1"/>
    <col min="12769" max="12800" width="16.85546875" style="418"/>
    <col min="12801" max="12801" width="15.85546875" style="418" bestFit="1" customWidth="1"/>
    <col min="12802" max="12802" width="27.140625" style="418" bestFit="1" customWidth="1"/>
    <col min="12803" max="12803" width="11.42578125" style="418" customWidth="1"/>
    <col min="12804" max="12804" width="11" style="418" bestFit="1" customWidth="1"/>
    <col min="12805" max="12805" width="11.7109375" style="418" bestFit="1" customWidth="1"/>
    <col min="12806" max="12806" width="18.5703125" style="418" bestFit="1" customWidth="1"/>
    <col min="12807" max="12807" width="8.140625" style="418" bestFit="1" customWidth="1"/>
    <col min="12808" max="12808" width="10.5703125" style="418" bestFit="1" customWidth="1"/>
    <col min="12809" max="12809" width="11.85546875" style="418" customWidth="1"/>
    <col min="12810" max="12810" width="14.42578125" style="418" bestFit="1" customWidth="1"/>
    <col min="12811" max="13018" width="11.42578125" style="418" customWidth="1"/>
    <col min="13019" max="13020" width="15.85546875" style="418" bestFit="1" customWidth="1"/>
    <col min="13021" max="13021" width="17.42578125" style="418" bestFit="1" customWidth="1"/>
    <col min="13022" max="13022" width="15.140625" style="418" bestFit="1" customWidth="1"/>
    <col min="13023" max="13023" width="13" style="418" bestFit="1" customWidth="1"/>
    <col min="13024" max="13024" width="14.140625" style="418" bestFit="1" customWidth="1"/>
    <col min="13025" max="13056" width="16.85546875" style="418"/>
    <col min="13057" max="13057" width="15.85546875" style="418" bestFit="1" customWidth="1"/>
    <col min="13058" max="13058" width="27.140625" style="418" bestFit="1" customWidth="1"/>
    <col min="13059" max="13059" width="11.42578125" style="418" customWidth="1"/>
    <col min="13060" max="13060" width="11" style="418" bestFit="1" customWidth="1"/>
    <col min="13061" max="13061" width="11.7109375" style="418" bestFit="1" customWidth="1"/>
    <col min="13062" max="13062" width="18.5703125" style="418" bestFit="1" customWidth="1"/>
    <col min="13063" max="13063" width="8.140625" style="418" bestFit="1" customWidth="1"/>
    <col min="13064" max="13064" width="10.5703125" style="418" bestFit="1" customWidth="1"/>
    <col min="13065" max="13065" width="11.85546875" style="418" customWidth="1"/>
    <col min="13066" max="13066" width="14.42578125" style="418" bestFit="1" customWidth="1"/>
    <col min="13067" max="13274" width="11.42578125" style="418" customWidth="1"/>
    <col min="13275" max="13276" width="15.85546875" style="418" bestFit="1" customWidth="1"/>
    <col min="13277" max="13277" width="17.42578125" style="418" bestFit="1" customWidth="1"/>
    <col min="13278" max="13278" width="15.140625" style="418" bestFit="1" customWidth="1"/>
    <col min="13279" max="13279" width="13" style="418" bestFit="1" customWidth="1"/>
    <col min="13280" max="13280" width="14.140625" style="418" bestFit="1" customWidth="1"/>
    <col min="13281" max="13312" width="16.85546875" style="418"/>
    <col min="13313" max="13313" width="15.85546875" style="418" bestFit="1" customWidth="1"/>
    <col min="13314" max="13314" width="27.140625" style="418" bestFit="1" customWidth="1"/>
    <col min="13315" max="13315" width="11.42578125" style="418" customWidth="1"/>
    <col min="13316" max="13316" width="11" style="418" bestFit="1" customWidth="1"/>
    <col min="13317" max="13317" width="11.7109375" style="418" bestFit="1" customWidth="1"/>
    <col min="13318" max="13318" width="18.5703125" style="418" bestFit="1" customWidth="1"/>
    <col min="13319" max="13319" width="8.140625" style="418" bestFit="1" customWidth="1"/>
    <col min="13320" max="13320" width="10.5703125" style="418" bestFit="1" customWidth="1"/>
    <col min="13321" max="13321" width="11.85546875" style="418" customWidth="1"/>
    <col min="13322" max="13322" width="14.42578125" style="418" bestFit="1" customWidth="1"/>
    <col min="13323" max="13530" width="11.42578125" style="418" customWidth="1"/>
    <col min="13531" max="13532" width="15.85546875" style="418" bestFit="1" customWidth="1"/>
    <col min="13533" max="13533" width="17.42578125" style="418" bestFit="1" customWidth="1"/>
    <col min="13534" max="13534" width="15.140625" style="418" bestFit="1" customWidth="1"/>
    <col min="13535" max="13535" width="13" style="418" bestFit="1" customWidth="1"/>
    <col min="13536" max="13536" width="14.140625" style="418" bestFit="1" customWidth="1"/>
    <col min="13537" max="13568" width="16.85546875" style="418"/>
    <col min="13569" max="13569" width="15.85546875" style="418" bestFit="1" customWidth="1"/>
    <col min="13570" max="13570" width="27.140625" style="418" bestFit="1" customWidth="1"/>
    <col min="13571" max="13571" width="11.42578125" style="418" customWidth="1"/>
    <col min="13572" max="13572" width="11" style="418" bestFit="1" customWidth="1"/>
    <col min="13573" max="13573" width="11.7109375" style="418" bestFit="1" customWidth="1"/>
    <col min="13574" max="13574" width="18.5703125" style="418" bestFit="1" customWidth="1"/>
    <col min="13575" max="13575" width="8.140625" style="418" bestFit="1" customWidth="1"/>
    <col min="13576" max="13576" width="10.5703125" style="418" bestFit="1" customWidth="1"/>
    <col min="13577" max="13577" width="11.85546875" style="418" customWidth="1"/>
    <col min="13578" max="13578" width="14.42578125" style="418" bestFit="1" customWidth="1"/>
    <col min="13579" max="13786" width="11.42578125" style="418" customWidth="1"/>
    <col min="13787" max="13788" width="15.85546875" style="418" bestFit="1" customWidth="1"/>
    <col min="13789" max="13789" width="17.42578125" style="418" bestFit="1" customWidth="1"/>
    <col min="13790" max="13790" width="15.140625" style="418" bestFit="1" customWidth="1"/>
    <col min="13791" max="13791" width="13" style="418" bestFit="1" customWidth="1"/>
    <col min="13792" max="13792" width="14.140625" style="418" bestFit="1" customWidth="1"/>
    <col min="13793" max="13824" width="16.85546875" style="418"/>
    <col min="13825" max="13825" width="15.85546875" style="418" bestFit="1" customWidth="1"/>
    <col min="13826" max="13826" width="27.140625" style="418" bestFit="1" customWidth="1"/>
    <col min="13827" max="13827" width="11.42578125" style="418" customWidth="1"/>
    <col min="13828" max="13828" width="11" style="418" bestFit="1" customWidth="1"/>
    <col min="13829" max="13829" width="11.7109375" style="418" bestFit="1" customWidth="1"/>
    <col min="13830" max="13830" width="18.5703125" style="418" bestFit="1" customWidth="1"/>
    <col min="13831" max="13831" width="8.140625" style="418" bestFit="1" customWidth="1"/>
    <col min="13832" max="13832" width="10.5703125" style="418" bestFit="1" customWidth="1"/>
    <col min="13833" max="13833" width="11.85546875" style="418" customWidth="1"/>
    <col min="13834" max="13834" width="14.42578125" style="418" bestFit="1" customWidth="1"/>
    <col min="13835" max="14042" width="11.42578125" style="418" customWidth="1"/>
    <col min="14043" max="14044" width="15.85546875" style="418" bestFit="1" customWidth="1"/>
    <col min="14045" max="14045" width="17.42578125" style="418" bestFit="1" customWidth="1"/>
    <col min="14046" max="14046" width="15.140625" style="418" bestFit="1" customWidth="1"/>
    <col min="14047" max="14047" width="13" style="418" bestFit="1" customWidth="1"/>
    <col min="14048" max="14048" width="14.140625" style="418" bestFit="1" customWidth="1"/>
    <col min="14049" max="14080" width="16.85546875" style="418"/>
    <col min="14081" max="14081" width="15.85546875" style="418" bestFit="1" customWidth="1"/>
    <col min="14082" max="14082" width="27.140625" style="418" bestFit="1" customWidth="1"/>
    <col min="14083" max="14083" width="11.42578125" style="418" customWidth="1"/>
    <col min="14084" max="14084" width="11" style="418" bestFit="1" customWidth="1"/>
    <col min="14085" max="14085" width="11.7109375" style="418" bestFit="1" customWidth="1"/>
    <col min="14086" max="14086" width="18.5703125" style="418" bestFit="1" customWidth="1"/>
    <col min="14087" max="14087" width="8.140625" style="418" bestFit="1" customWidth="1"/>
    <col min="14088" max="14088" width="10.5703125" style="418" bestFit="1" customWidth="1"/>
    <col min="14089" max="14089" width="11.85546875" style="418" customWidth="1"/>
    <col min="14090" max="14090" width="14.42578125" style="418" bestFit="1" customWidth="1"/>
    <col min="14091" max="14298" width="11.42578125" style="418" customWidth="1"/>
    <col min="14299" max="14300" width="15.85546875" style="418" bestFit="1" customWidth="1"/>
    <col min="14301" max="14301" width="17.42578125" style="418" bestFit="1" customWidth="1"/>
    <col min="14302" max="14302" width="15.140625" style="418" bestFit="1" customWidth="1"/>
    <col min="14303" max="14303" width="13" style="418" bestFit="1" customWidth="1"/>
    <col min="14304" max="14304" width="14.140625" style="418" bestFit="1" customWidth="1"/>
    <col min="14305" max="14336" width="16.85546875" style="418"/>
    <col min="14337" max="14337" width="15.85546875" style="418" bestFit="1" customWidth="1"/>
    <col min="14338" max="14338" width="27.140625" style="418" bestFit="1" customWidth="1"/>
    <col min="14339" max="14339" width="11.42578125" style="418" customWidth="1"/>
    <col min="14340" max="14340" width="11" style="418" bestFit="1" customWidth="1"/>
    <col min="14341" max="14341" width="11.7109375" style="418" bestFit="1" customWidth="1"/>
    <col min="14342" max="14342" width="18.5703125" style="418" bestFit="1" customWidth="1"/>
    <col min="14343" max="14343" width="8.140625" style="418" bestFit="1" customWidth="1"/>
    <col min="14344" max="14344" width="10.5703125" style="418" bestFit="1" customWidth="1"/>
    <col min="14345" max="14345" width="11.85546875" style="418" customWidth="1"/>
    <col min="14346" max="14346" width="14.42578125" style="418" bestFit="1" customWidth="1"/>
    <col min="14347" max="14554" width="11.42578125" style="418" customWidth="1"/>
    <col min="14555" max="14556" width="15.85546875" style="418" bestFit="1" customWidth="1"/>
    <col min="14557" max="14557" width="17.42578125" style="418" bestFit="1" customWidth="1"/>
    <col min="14558" max="14558" width="15.140625" style="418" bestFit="1" customWidth="1"/>
    <col min="14559" max="14559" width="13" style="418" bestFit="1" customWidth="1"/>
    <col min="14560" max="14560" width="14.140625" style="418" bestFit="1" customWidth="1"/>
    <col min="14561" max="14592" width="16.85546875" style="418"/>
    <col min="14593" max="14593" width="15.85546875" style="418" bestFit="1" customWidth="1"/>
    <col min="14594" max="14594" width="27.140625" style="418" bestFit="1" customWidth="1"/>
    <col min="14595" max="14595" width="11.42578125" style="418" customWidth="1"/>
    <col min="14596" max="14596" width="11" style="418" bestFit="1" customWidth="1"/>
    <col min="14597" max="14597" width="11.7109375" style="418" bestFit="1" customWidth="1"/>
    <col min="14598" max="14598" width="18.5703125" style="418" bestFit="1" customWidth="1"/>
    <col min="14599" max="14599" width="8.140625" style="418" bestFit="1" customWidth="1"/>
    <col min="14600" max="14600" width="10.5703125" style="418" bestFit="1" customWidth="1"/>
    <col min="14601" max="14601" width="11.85546875" style="418" customWidth="1"/>
    <col min="14602" max="14602" width="14.42578125" style="418" bestFit="1" customWidth="1"/>
    <col min="14603" max="14810" width="11.42578125" style="418" customWidth="1"/>
    <col min="14811" max="14812" width="15.85546875" style="418" bestFit="1" customWidth="1"/>
    <col min="14813" max="14813" width="17.42578125" style="418" bestFit="1" customWidth="1"/>
    <col min="14814" max="14814" width="15.140625" style="418" bestFit="1" customWidth="1"/>
    <col min="14815" max="14815" width="13" style="418" bestFit="1" customWidth="1"/>
    <col min="14816" max="14816" width="14.140625" style="418" bestFit="1" customWidth="1"/>
    <col min="14817" max="14848" width="16.85546875" style="418"/>
    <col min="14849" max="14849" width="15.85546875" style="418" bestFit="1" customWidth="1"/>
    <col min="14850" max="14850" width="27.140625" style="418" bestFit="1" customWidth="1"/>
    <col min="14851" max="14851" width="11.42578125" style="418" customWidth="1"/>
    <col min="14852" max="14852" width="11" style="418" bestFit="1" customWidth="1"/>
    <col min="14853" max="14853" width="11.7109375" style="418" bestFit="1" customWidth="1"/>
    <col min="14854" max="14854" width="18.5703125" style="418" bestFit="1" customWidth="1"/>
    <col min="14855" max="14855" width="8.140625" style="418" bestFit="1" customWidth="1"/>
    <col min="14856" max="14856" width="10.5703125" style="418" bestFit="1" customWidth="1"/>
    <col min="14857" max="14857" width="11.85546875" style="418" customWidth="1"/>
    <col min="14858" max="14858" width="14.42578125" style="418" bestFit="1" customWidth="1"/>
    <col min="14859" max="15066" width="11.42578125" style="418" customWidth="1"/>
    <col min="15067" max="15068" width="15.85546875" style="418" bestFit="1" customWidth="1"/>
    <col min="15069" max="15069" width="17.42578125" style="418" bestFit="1" customWidth="1"/>
    <col min="15070" max="15070" width="15.140625" style="418" bestFit="1" customWidth="1"/>
    <col min="15071" max="15071" width="13" style="418" bestFit="1" customWidth="1"/>
    <col min="15072" max="15072" width="14.140625" style="418" bestFit="1" customWidth="1"/>
    <col min="15073" max="15104" width="16.85546875" style="418"/>
    <col min="15105" max="15105" width="15.85546875" style="418" bestFit="1" customWidth="1"/>
    <col min="15106" max="15106" width="27.140625" style="418" bestFit="1" customWidth="1"/>
    <col min="15107" max="15107" width="11.42578125" style="418" customWidth="1"/>
    <col min="15108" max="15108" width="11" style="418" bestFit="1" customWidth="1"/>
    <col min="15109" max="15109" width="11.7109375" style="418" bestFit="1" customWidth="1"/>
    <col min="15110" max="15110" width="18.5703125" style="418" bestFit="1" customWidth="1"/>
    <col min="15111" max="15111" width="8.140625" style="418" bestFit="1" customWidth="1"/>
    <col min="15112" max="15112" width="10.5703125" style="418" bestFit="1" customWidth="1"/>
    <col min="15113" max="15113" width="11.85546875" style="418" customWidth="1"/>
    <col min="15114" max="15114" width="14.42578125" style="418" bestFit="1" customWidth="1"/>
    <col min="15115" max="15322" width="11.42578125" style="418" customWidth="1"/>
    <col min="15323" max="15324" width="15.85546875" style="418" bestFit="1" customWidth="1"/>
    <col min="15325" max="15325" width="17.42578125" style="418" bestFit="1" customWidth="1"/>
    <col min="15326" max="15326" width="15.140625" style="418" bestFit="1" customWidth="1"/>
    <col min="15327" max="15327" width="13" style="418" bestFit="1" customWidth="1"/>
    <col min="15328" max="15328" width="14.140625" style="418" bestFit="1" customWidth="1"/>
    <col min="15329" max="15360" width="16.85546875" style="418"/>
    <col min="15361" max="15361" width="15.85546875" style="418" bestFit="1" customWidth="1"/>
    <col min="15362" max="15362" width="27.140625" style="418" bestFit="1" customWidth="1"/>
    <col min="15363" max="15363" width="11.42578125" style="418" customWidth="1"/>
    <col min="15364" max="15364" width="11" style="418" bestFit="1" customWidth="1"/>
    <col min="15365" max="15365" width="11.7109375" style="418" bestFit="1" customWidth="1"/>
    <col min="15366" max="15366" width="18.5703125" style="418" bestFit="1" customWidth="1"/>
    <col min="15367" max="15367" width="8.140625" style="418" bestFit="1" customWidth="1"/>
    <col min="15368" max="15368" width="10.5703125" style="418" bestFit="1" customWidth="1"/>
    <col min="15369" max="15369" width="11.85546875" style="418" customWidth="1"/>
    <col min="15370" max="15370" width="14.42578125" style="418" bestFit="1" customWidth="1"/>
    <col min="15371" max="15578" width="11.42578125" style="418" customWidth="1"/>
    <col min="15579" max="15580" width="15.85546875" style="418" bestFit="1" customWidth="1"/>
    <col min="15581" max="15581" width="17.42578125" style="418" bestFit="1" customWidth="1"/>
    <col min="15582" max="15582" width="15.140625" style="418" bestFit="1" customWidth="1"/>
    <col min="15583" max="15583" width="13" style="418" bestFit="1" customWidth="1"/>
    <col min="15584" max="15584" width="14.140625" style="418" bestFit="1" customWidth="1"/>
    <col min="15585" max="15616" width="16.85546875" style="418"/>
    <col min="15617" max="15617" width="15.85546875" style="418" bestFit="1" customWidth="1"/>
    <col min="15618" max="15618" width="27.140625" style="418" bestFit="1" customWidth="1"/>
    <col min="15619" max="15619" width="11.42578125" style="418" customWidth="1"/>
    <col min="15620" max="15620" width="11" style="418" bestFit="1" customWidth="1"/>
    <col min="15621" max="15621" width="11.7109375" style="418" bestFit="1" customWidth="1"/>
    <col min="15622" max="15622" width="18.5703125" style="418" bestFit="1" customWidth="1"/>
    <col min="15623" max="15623" width="8.140625" style="418" bestFit="1" customWidth="1"/>
    <col min="15624" max="15624" width="10.5703125" style="418" bestFit="1" customWidth="1"/>
    <col min="15625" max="15625" width="11.85546875" style="418" customWidth="1"/>
    <col min="15626" max="15626" width="14.42578125" style="418" bestFit="1" customWidth="1"/>
    <col min="15627" max="15834" width="11.42578125" style="418" customWidth="1"/>
    <col min="15835" max="15836" width="15.85546875" style="418" bestFit="1" customWidth="1"/>
    <col min="15837" max="15837" width="17.42578125" style="418" bestFit="1" customWidth="1"/>
    <col min="15838" max="15838" width="15.140625" style="418" bestFit="1" customWidth="1"/>
    <col min="15839" max="15839" width="13" style="418" bestFit="1" customWidth="1"/>
    <col min="15840" max="15840" width="14.140625" style="418" bestFit="1" customWidth="1"/>
    <col min="15841" max="15872" width="16.85546875" style="418"/>
    <col min="15873" max="15873" width="15.85546875" style="418" bestFit="1" customWidth="1"/>
    <col min="15874" max="15874" width="27.140625" style="418" bestFit="1" customWidth="1"/>
    <col min="15875" max="15875" width="11.42578125" style="418" customWidth="1"/>
    <col min="15876" max="15876" width="11" style="418" bestFit="1" customWidth="1"/>
    <col min="15877" max="15877" width="11.7109375" style="418" bestFit="1" customWidth="1"/>
    <col min="15878" max="15878" width="18.5703125" style="418" bestFit="1" customWidth="1"/>
    <col min="15879" max="15879" width="8.140625" style="418" bestFit="1" customWidth="1"/>
    <col min="15880" max="15880" width="10.5703125" style="418" bestFit="1" customWidth="1"/>
    <col min="15881" max="15881" width="11.85546875" style="418" customWidth="1"/>
    <col min="15882" max="15882" width="14.42578125" style="418" bestFit="1" customWidth="1"/>
    <col min="15883" max="16090" width="11.42578125" style="418" customWidth="1"/>
    <col min="16091" max="16092" width="15.85546875" style="418" bestFit="1" customWidth="1"/>
    <col min="16093" max="16093" width="17.42578125" style="418" bestFit="1" customWidth="1"/>
    <col min="16094" max="16094" width="15.140625" style="418" bestFit="1" customWidth="1"/>
    <col min="16095" max="16095" width="13" style="418" bestFit="1" customWidth="1"/>
    <col min="16096" max="16096" width="14.140625" style="418" bestFit="1" customWidth="1"/>
    <col min="16097" max="16128" width="16.85546875" style="418"/>
    <col min="16129" max="16129" width="15.85546875" style="418" bestFit="1" customWidth="1"/>
    <col min="16130" max="16130" width="27.140625" style="418" bestFit="1" customWidth="1"/>
    <col min="16131" max="16131" width="11.42578125" style="418" customWidth="1"/>
    <col min="16132" max="16132" width="11" style="418" bestFit="1" customWidth="1"/>
    <col min="16133" max="16133" width="11.7109375" style="418" bestFit="1" customWidth="1"/>
    <col min="16134" max="16134" width="18.5703125" style="418" bestFit="1" customWidth="1"/>
    <col min="16135" max="16135" width="8.140625" style="418" bestFit="1" customWidth="1"/>
    <col min="16136" max="16136" width="10.5703125" style="418" bestFit="1" customWidth="1"/>
    <col min="16137" max="16137" width="11.85546875" style="418" customWidth="1"/>
    <col min="16138" max="16138" width="14.42578125" style="418" bestFit="1" customWidth="1"/>
    <col min="16139" max="16346" width="11.42578125" style="418" customWidth="1"/>
    <col min="16347" max="16348" width="15.85546875" style="418" bestFit="1" customWidth="1"/>
    <col min="16349" max="16349" width="17.42578125" style="418" bestFit="1" customWidth="1"/>
    <col min="16350" max="16350" width="15.140625" style="418" bestFit="1" customWidth="1"/>
    <col min="16351" max="16351" width="13" style="418" bestFit="1" customWidth="1"/>
    <col min="16352" max="16352" width="14.140625" style="418" bestFit="1" customWidth="1"/>
    <col min="16353" max="16384" width="16.85546875" style="418"/>
  </cols>
  <sheetData>
    <row r="1" spans="1:11" ht="22.5" customHeight="1" x14ac:dyDescent="0.25">
      <c r="J1" s="1454"/>
    </row>
    <row r="2" spans="1:11" s="419" customFormat="1" ht="11.25" customHeight="1" x14ac:dyDescent="0.2">
      <c r="A2" s="421" t="s">
        <v>560</v>
      </c>
      <c r="B2" s="422"/>
      <c r="C2" s="422"/>
      <c r="D2" s="423"/>
      <c r="E2" s="424"/>
      <c r="F2" s="425"/>
      <c r="G2" s="426"/>
      <c r="H2" s="426"/>
      <c r="I2" s="427"/>
      <c r="J2" s="426"/>
    </row>
    <row r="3" spans="1:11" s="419" customFormat="1" ht="12" customHeight="1" x14ac:dyDescent="0.2">
      <c r="A3" s="428" t="s">
        <v>561</v>
      </c>
      <c r="B3" s="429"/>
      <c r="C3" s="429"/>
      <c r="D3" s="430"/>
      <c r="E3" s="431"/>
      <c r="F3" s="432"/>
      <c r="G3" s="433"/>
      <c r="H3" s="433"/>
      <c r="I3" s="434"/>
      <c r="J3" s="433" t="s">
        <v>562</v>
      </c>
    </row>
    <row r="4" spans="1:11" s="441" customFormat="1" ht="12" customHeight="1" x14ac:dyDescent="0.2">
      <c r="A4" s="435" t="s">
        <v>564</v>
      </c>
      <c r="B4" s="436">
        <f ca="1">+TODAY()</f>
        <v>45763</v>
      </c>
      <c r="C4" s="436"/>
      <c r="D4" s="435"/>
      <c r="E4" s="437"/>
      <c r="F4" s="438" t="s">
        <v>565</v>
      </c>
      <c r="G4" s="435" t="s">
        <v>34</v>
      </c>
      <c r="H4" s="435"/>
      <c r="I4" s="439"/>
      <c r="J4" s="440" t="s">
        <v>617</v>
      </c>
    </row>
    <row r="5" spans="1:11" s="441" customFormat="1" ht="12" customHeight="1" x14ac:dyDescent="0.2">
      <c r="A5" s="435"/>
      <c r="B5" s="436"/>
      <c r="C5" s="436"/>
      <c r="D5" s="442"/>
      <c r="F5" s="443"/>
      <c r="G5" s="442" t="s">
        <v>571</v>
      </c>
      <c r="H5" s="442"/>
      <c r="I5" s="444"/>
      <c r="J5" s="445">
        <v>6.5</v>
      </c>
    </row>
    <row r="6" spans="1:11" ht="11.25" customHeight="1" x14ac:dyDescent="0.25">
      <c r="A6" s="446" t="s">
        <v>572</v>
      </c>
      <c r="B6" s="447">
        <v>932</v>
      </c>
      <c r="C6" s="448" t="s">
        <v>34</v>
      </c>
      <c r="D6" s="449" t="s">
        <v>571</v>
      </c>
      <c r="E6" s="450"/>
      <c r="F6" s="425" t="s">
        <v>561</v>
      </c>
      <c r="G6" s="451"/>
      <c r="H6" s="451"/>
      <c r="I6" s="452"/>
      <c r="J6" s="453">
        <v>6.5</v>
      </c>
    </row>
    <row r="7" spans="1:11" ht="11.25" customHeight="1" x14ac:dyDescent="0.25">
      <c r="A7" s="454"/>
      <c r="B7" s="419"/>
      <c r="C7" s="455"/>
      <c r="D7" s="454" t="s">
        <v>573</v>
      </c>
      <c r="F7" s="443" t="s">
        <v>574</v>
      </c>
      <c r="G7" s="456"/>
      <c r="H7" s="456"/>
      <c r="I7" s="457"/>
      <c r="J7" s="458">
        <v>175</v>
      </c>
      <c r="K7" s="459">
        <f>+J7*L20</f>
        <v>129.5</v>
      </c>
    </row>
    <row r="8" spans="1:11" ht="11.25" customHeight="1" x14ac:dyDescent="0.25">
      <c r="A8" s="454"/>
      <c r="B8" s="419"/>
      <c r="C8" s="455"/>
      <c r="D8" s="454" t="s">
        <v>573</v>
      </c>
      <c r="F8" s="443" t="s">
        <v>575</v>
      </c>
      <c r="G8" s="460"/>
      <c r="H8" s="460"/>
      <c r="I8" s="461"/>
      <c r="J8" s="462">
        <f>J7*B6</f>
        <v>163100</v>
      </c>
    </row>
    <row r="9" spans="1:11" ht="11.25" customHeight="1" x14ac:dyDescent="0.25">
      <c r="A9" s="454"/>
      <c r="B9" s="419"/>
      <c r="C9" s="455"/>
      <c r="D9" s="454"/>
      <c r="F9" s="443"/>
      <c r="G9" s="460"/>
      <c r="H9" s="460"/>
      <c r="I9" s="461"/>
      <c r="J9" s="456"/>
    </row>
    <row r="10" spans="1:11" ht="11.25" customHeight="1" x14ac:dyDescent="0.25">
      <c r="A10" s="463" t="s">
        <v>576</v>
      </c>
      <c r="B10" s="464"/>
      <c r="C10" s="465"/>
      <c r="D10" s="463" t="s">
        <v>577</v>
      </c>
      <c r="E10" s="464"/>
      <c r="F10" s="432" t="s">
        <v>575</v>
      </c>
      <c r="G10" s="466"/>
      <c r="H10" s="466"/>
      <c r="I10" s="467"/>
      <c r="J10" s="468">
        <f>+J7*J5</f>
        <v>1137.5</v>
      </c>
    </row>
    <row r="11" spans="1:11" ht="11.25" customHeight="1" x14ac:dyDescent="0.25">
      <c r="A11" s="449"/>
      <c r="B11" s="450"/>
      <c r="C11" s="469">
        <v>0.105</v>
      </c>
      <c r="D11" s="449"/>
      <c r="E11" s="450"/>
      <c r="F11" s="470" t="s">
        <v>578</v>
      </c>
      <c r="G11" s="471"/>
      <c r="H11" s="471"/>
      <c r="I11" s="472"/>
      <c r="J11" s="473"/>
    </row>
    <row r="12" spans="1:11" ht="11.25" customHeight="1" x14ac:dyDescent="0.25">
      <c r="A12" s="449" t="s">
        <v>579</v>
      </c>
      <c r="B12" s="450" t="s">
        <v>580</v>
      </c>
      <c r="C12" s="469"/>
      <c r="D12" s="474">
        <v>42</v>
      </c>
      <c r="E12" s="450">
        <f>D12*B6</f>
        <v>39144</v>
      </c>
      <c r="F12" s="475"/>
      <c r="G12" s="476"/>
      <c r="H12" s="476">
        <f>+D12*B6</f>
        <v>39144</v>
      </c>
      <c r="I12" s="477"/>
      <c r="J12" s="478">
        <f>D12*J5</f>
        <v>273</v>
      </c>
    </row>
    <row r="13" spans="1:11" ht="11.25" customHeight="1" x14ac:dyDescent="0.25">
      <c r="A13" s="454"/>
      <c r="B13" s="418" t="s">
        <v>581</v>
      </c>
      <c r="C13" s="479"/>
      <c r="D13" s="480">
        <v>42</v>
      </c>
      <c r="E13" s="418">
        <f>+D13*B6</f>
        <v>39144</v>
      </c>
      <c r="F13" s="481">
        <f>+E13*1.21</f>
        <v>47364.24</v>
      </c>
      <c r="G13" s="460"/>
      <c r="H13" s="460"/>
      <c r="I13" s="461"/>
      <c r="J13" s="456"/>
    </row>
    <row r="14" spans="1:11" ht="11.25" customHeight="1" x14ac:dyDescent="0.25">
      <c r="A14" s="454"/>
      <c r="B14" s="441" t="s">
        <v>582</v>
      </c>
      <c r="C14" s="479"/>
      <c r="D14" s="454"/>
      <c r="F14" s="482">
        <v>6.0000000000000001E-3</v>
      </c>
      <c r="G14" s="460"/>
      <c r="H14" s="460"/>
      <c r="I14" s="461"/>
      <c r="J14" s="456"/>
    </row>
    <row r="15" spans="1:11" ht="11.25" customHeight="1" x14ac:dyDescent="0.25">
      <c r="A15" s="454"/>
      <c r="B15" s="441" t="s">
        <v>583</v>
      </c>
      <c r="C15" s="479"/>
      <c r="D15" s="454"/>
      <c r="F15" s="483">
        <v>1.4999999999999999E-2</v>
      </c>
      <c r="G15" s="460"/>
      <c r="H15" s="460"/>
      <c r="I15" s="461"/>
      <c r="J15" s="456"/>
    </row>
    <row r="16" spans="1:11" ht="11.25" customHeight="1" x14ac:dyDescent="0.25">
      <c r="A16" s="454"/>
      <c r="B16" s="441" t="s">
        <v>584</v>
      </c>
      <c r="C16" s="479"/>
      <c r="D16" s="454" t="s">
        <v>905</v>
      </c>
      <c r="F16" s="483">
        <v>1.6299999999999999E-2</v>
      </c>
      <c r="G16" s="460"/>
      <c r="H16" s="460"/>
      <c r="I16" s="461"/>
      <c r="J16" s="456"/>
    </row>
    <row r="17" spans="1:25" ht="11.25" customHeight="1" x14ac:dyDescent="0.25">
      <c r="A17" s="454"/>
      <c r="B17" s="441" t="s">
        <v>585</v>
      </c>
      <c r="C17" s="479"/>
      <c r="D17" s="454"/>
      <c r="F17" s="483">
        <v>0.08</v>
      </c>
      <c r="G17" s="460"/>
      <c r="H17" s="460"/>
      <c r="I17" s="461"/>
      <c r="J17" s="456"/>
    </row>
    <row r="18" spans="1:25" ht="11.25" customHeight="1" x14ac:dyDescent="0.25">
      <c r="A18" s="454"/>
      <c r="B18" s="418" t="s">
        <v>586</v>
      </c>
      <c r="C18" s="479"/>
      <c r="D18" s="454"/>
      <c r="F18" s="483">
        <v>0</v>
      </c>
      <c r="G18" s="460"/>
      <c r="H18" s="460"/>
      <c r="I18" s="461"/>
      <c r="J18" s="456"/>
    </row>
    <row r="19" spans="1:25" ht="11.25" customHeight="1" x14ac:dyDescent="0.25">
      <c r="A19" s="454"/>
      <c r="B19" s="418" t="s">
        <v>587</v>
      </c>
      <c r="C19" s="479"/>
      <c r="D19" s="454"/>
      <c r="F19" s="482">
        <v>0.02</v>
      </c>
      <c r="G19" s="460"/>
      <c r="H19" s="460"/>
      <c r="I19" s="461"/>
      <c r="J19" s="456">
        <f>+F19*J10</f>
        <v>22.75</v>
      </c>
    </row>
    <row r="20" spans="1:25" ht="11.25" customHeight="1" x14ac:dyDescent="0.25">
      <c r="A20" s="484" t="s">
        <v>588</v>
      </c>
      <c r="B20" s="464"/>
      <c r="C20" s="485"/>
      <c r="D20" s="463"/>
      <c r="E20" s="464"/>
      <c r="F20" s="486"/>
      <c r="G20" s="487"/>
      <c r="H20" s="487"/>
      <c r="I20" s="488"/>
      <c r="J20" s="489">
        <f>SUM(J12:J19)</f>
        <v>295.75</v>
      </c>
      <c r="K20" s="490">
        <f>+J20/J10</f>
        <v>0.26</v>
      </c>
      <c r="L20" s="490">
        <f>1-K20</f>
        <v>0.74</v>
      </c>
      <c r="M20" s="491"/>
      <c r="N20" s="491"/>
      <c r="O20" s="491"/>
      <c r="P20" s="491"/>
      <c r="Q20" s="491"/>
      <c r="R20" s="491"/>
      <c r="S20" s="491"/>
      <c r="T20" s="491"/>
      <c r="U20" s="491"/>
      <c r="V20" s="491"/>
      <c r="W20" s="491"/>
      <c r="X20" s="491"/>
      <c r="Y20" s="491"/>
    </row>
    <row r="21" spans="1:25" s="502" customFormat="1" ht="39" customHeight="1" x14ac:dyDescent="0.25">
      <c r="A21" s="492" t="s">
        <v>589</v>
      </c>
      <c r="B21" s="493" t="s">
        <v>906</v>
      </c>
      <c r="C21" s="493" t="s">
        <v>565</v>
      </c>
      <c r="D21" s="494" t="s">
        <v>590</v>
      </c>
      <c r="E21" s="495" t="s">
        <v>591</v>
      </c>
      <c r="F21" s="496" t="s">
        <v>592</v>
      </c>
      <c r="G21" s="497"/>
      <c r="H21" s="498" t="s">
        <v>593</v>
      </c>
      <c r="I21" s="498" t="s">
        <v>907</v>
      </c>
      <c r="J21" s="499">
        <f>+J10-J20</f>
        <v>841.75</v>
      </c>
      <c r="K21" s="500"/>
      <c r="L21" s="501"/>
      <c r="M21" s="501"/>
      <c r="N21" s="501"/>
      <c r="O21" s="501"/>
      <c r="P21" s="501"/>
      <c r="Q21" s="501"/>
      <c r="R21" s="501"/>
      <c r="S21" s="501"/>
      <c r="T21" s="501"/>
      <c r="U21" s="501"/>
      <c r="V21" s="501"/>
      <c r="W21" s="501"/>
      <c r="X21" s="501"/>
      <c r="Y21" s="500"/>
    </row>
    <row r="22" spans="1:25" ht="15" customHeight="1" x14ac:dyDescent="0.25">
      <c r="A22" s="442" t="s">
        <v>596</v>
      </c>
      <c r="B22" s="418" t="s">
        <v>597</v>
      </c>
      <c r="C22" s="418" t="s">
        <v>565</v>
      </c>
      <c r="D22" s="503">
        <v>50</v>
      </c>
      <c r="E22" s="504">
        <f t="shared" ref="E22:E34" si="0">+D22*$B$6</f>
        <v>46600</v>
      </c>
      <c r="F22" s="505">
        <f>+D22*$B$6*1.105</f>
        <v>51493</v>
      </c>
      <c r="G22" s="506">
        <v>0.105</v>
      </c>
      <c r="H22" s="506">
        <v>1</v>
      </c>
      <c r="I22" s="507">
        <v>1</v>
      </c>
      <c r="J22" s="508">
        <f t="shared" ref="J22:J36" si="1">I22*D22</f>
        <v>50</v>
      </c>
      <c r="K22" s="509"/>
      <c r="L22" s="509"/>
      <c r="M22" s="509"/>
      <c r="N22" s="509"/>
      <c r="O22" s="509"/>
      <c r="P22" s="509"/>
      <c r="Q22" s="509"/>
      <c r="R22" s="509"/>
      <c r="S22" s="509"/>
      <c r="T22" s="509"/>
      <c r="U22" s="509"/>
      <c r="V22" s="509"/>
      <c r="W22" s="509"/>
      <c r="X22" s="509"/>
      <c r="Y22" s="491"/>
    </row>
    <row r="23" spans="1:25" ht="15" customHeight="1" x14ac:dyDescent="0.25">
      <c r="A23" s="442" t="s">
        <v>596</v>
      </c>
      <c r="B23" s="418" t="s">
        <v>598</v>
      </c>
      <c r="C23" s="418" t="s">
        <v>565</v>
      </c>
      <c r="D23" s="503">
        <v>7</v>
      </c>
      <c r="E23" s="504">
        <f t="shared" si="0"/>
        <v>6524</v>
      </c>
      <c r="F23" s="505">
        <f>+D23*$B$6*1.105</f>
        <v>7209.0199999999995</v>
      </c>
      <c r="G23" s="506">
        <v>0.105</v>
      </c>
      <c r="H23" s="506">
        <v>4</v>
      </c>
      <c r="I23" s="507">
        <v>3</v>
      </c>
      <c r="J23" s="508">
        <f t="shared" si="1"/>
        <v>21</v>
      </c>
      <c r="K23" s="491"/>
      <c r="L23" s="491"/>
      <c r="M23" s="491"/>
      <c r="N23" s="491"/>
      <c r="O23" s="491"/>
      <c r="P23" s="491"/>
      <c r="Q23" s="491"/>
      <c r="R23" s="491"/>
      <c r="S23" s="491"/>
      <c r="T23" s="491"/>
      <c r="U23" s="491"/>
      <c r="V23" s="491"/>
      <c r="W23" s="491"/>
      <c r="X23" s="491"/>
      <c r="Y23" s="491"/>
    </row>
    <row r="24" spans="1:25" ht="15" customHeight="1" x14ac:dyDescent="0.25">
      <c r="A24" s="442" t="s">
        <v>596</v>
      </c>
      <c r="B24" s="418" t="s">
        <v>908</v>
      </c>
      <c r="C24" s="418" t="s">
        <v>565</v>
      </c>
      <c r="D24" s="503">
        <v>11</v>
      </c>
      <c r="E24" s="504">
        <f>+D24*$B$6</f>
        <v>10252</v>
      </c>
      <c r="F24" s="505">
        <f>+D24*$B$6*1.105</f>
        <v>11328.46</v>
      </c>
      <c r="G24" s="506">
        <v>0.105</v>
      </c>
      <c r="H24" s="506">
        <v>1</v>
      </c>
      <c r="I24" s="507">
        <v>1</v>
      </c>
      <c r="J24" s="508">
        <f t="shared" si="1"/>
        <v>11</v>
      </c>
    </row>
    <row r="25" spans="1:25" ht="15" customHeight="1" x14ac:dyDescent="0.25">
      <c r="A25" s="442" t="s">
        <v>596</v>
      </c>
      <c r="B25" s="418" t="s">
        <v>909</v>
      </c>
      <c r="C25" s="418" t="s">
        <v>565</v>
      </c>
      <c r="D25" s="503">
        <v>13</v>
      </c>
      <c r="E25" s="504"/>
      <c r="F25" s="505"/>
      <c r="G25" s="506"/>
      <c r="H25" s="506"/>
      <c r="I25" s="507">
        <v>1</v>
      </c>
      <c r="J25" s="508">
        <f>+I25*D25</f>
        <v>13</v>
      </c>
    </row>
    <row r="26" spans="1:25" ht="15" customHeight="1" x14ac:dyDescent="0.25">
      <c r="A26" s="435" t="s">
        <v>600</v>
      </c>
      <c r="B26" s="510" t="s">
        <v>910</v>
      </c>
      <c r="C26" s="510" t="s">
        <v>911</v>
      </c>
      <c r="D26" s="511">
        <v>180</v>
      </c>
      <c r="E26" s="512">
        <f t="shared" si="0"/>
        <v>167760</v>
      </c>
      <c r="F26" s="513">
        <f t="shared" ref="F26:F34" si="2">+D26*$B$6*1.21</f>
        <v>202989.6</v>
      </c>
      <c r="G26" s="514">
        <v>0.21</v>
      </c>
      <c r="H26" s="514">
        <v>0.65</v>
      </c>
      <c r="I26" s="515">
        <v>0.7</v>
      </c>
      <c r="J26" s="516">
        <f t="shared" si="1"/>
        <v>125.99999999999999</v>
      </c>
    </row>
    <row r="27" spans="1:25" ht="15" customHeight="1" x14ac:dyDescent="0.25">
      <c r="A27" s="442" t="s">
        <v>604</v>
      </c>
      <c r="B27" s="517" t="s">
        <v>895</v>
      </c>
      <c r="C27" s="518" t="s">
        <v>606</v>
      </c>
      <c r="D27" s="503">
        <v>1</v>
      </c>
      <c r="E27" s="504">
        <f t="shared" si="0"/>
        <v>932</v>
      </c>
      <c r="F27" s="505">
        <f t="shared" si="2"/>
        <v>1127.72</v>
      </c>
      <c r="G27" s="506">
        <v>0.21</v>
      </c>
      <c r="H27" s="506">
        <v>1.5</v>
      </c>
      <c r="I27" s="507">
        <v>3</v>
      </c>
      <c r="J27" s="508">
        <f t="shared" si="1"/>
        <v>3</v>
      </c>
    </row>
    <row r="28" spans="1:25" ht="15" customHeight="1" x14ac:dyDescent="0.25">
      <c r="A28" s="442" t="s">
        <v>389</v>
      </c>
      <c r="B28" s="519" t="s">
        <v>718</v>
      </c>
      <c r="C28" s="510" t="s">
        <v>606</v>
      </c>
      <c r="D28" s="511">
        <v>16.2</v>
      </c>
      <c r="E28" s="512">
        <f t="shared" si="0"/>
        <v>15098.4</v>
      </c>
      <c r="F28" s="513">
        <f t="shared" si="2"/>
        <v>18269.063999999998</v>
      </c>
      <c r="G28" s="514">
        <v>0.21</v>
      </c>
      <c r="H28" s="514">
        <v>0.2</v>
      </c>
      <c r="I28" s="515">
        <v>0.6</v>
      </c>
      <c r="J28" s="520">
        <f t="shared" si="1"/>
        <v>9.7199999999999989</v>
      </c>
    </row>
    <row r="29" spans="1:25" ht="15" customHeight="1" x14ac:dyDescent="0.25">
      <c r="A29" s="442" t="s">
        <v>604</v>
      </c>
      <c r="B29" s="519" t="s">
        <v>912</v>
      </c>
      <c r="C29" s="518" t="s">
        <v>606</v>
      </c>
      <c r="D29" s="480">
        <v>7</v>
      </c>
      <c r="E29" s="504">
        <f t="shared" si="0"/>
        <v>6524</v>
      </c>
      <c r="F29" s="505">
        <f t="shared" si="2"/>
        <v>7894.04</v>
      </c>
      <c r="G29" s="506">
        <v>0.21</v>
      </c>
      <c r="H29" s="506">
        <v>1.5</v>
      </c>
      <c r="I29" s="507">
        <v>4</v>
      </c>
      <c r="J29" s="508">
        <f t="shared" si="1"/>
        <v>28</v>
      </c>
    </row>
    <row r="30" spans="1:25" ht="15" customHeight="1" x14ac:dyDescent="0.25">
      <c r="A30" s="442" t="s">
        <v>604</v>
      </c>
      <c r="B30" s="519" t="s">
        <v>899</v>
      </c>
      <c r="C30" s="518" t="s">
        <v>606</v>
      </c>
      <c r="D30" s="503">
        <v>6</v>
      </c>
      <c r="E30" s="504">
        <f t="shared" si="0"/>
        <v>5592</v>
      </c>
      <c r="F30" s="505">
        <f t="shared" si="2"/>
        <v>6766.32</v>
      </c>
      <c r="G30" s="506">
        <v>0.21</v>
      </c>
      <c r="H30" s="506">
        <v>1</v>
      </c>
      <c r="I30" s="507">
        <v>2.5</v>
      </c>
      <c r="J30" s="508">
        <f t="shared" si="1"/>
        <v>15</v>
      </c>
    </row>
    <row r="31" spans="1:25" ht="15" customHeight="1" x14ac:dyDescent="0.25">
      <c r="A31" s="442" t="s">
        <v>604</v>
      </c>
      <c r="B31" s="519" t="s">
        <v>900</v>
      </c>
      <c r="C31" s="510" t="s">
        <v>606</v>
      </c>
      <c r="D31" s="511">
        <v>9.67</v>
      </c>
      <c r="E31" s="512">
        <f t="shared" si="0"/>
        <v>9012.44</v>
      </c>
      <c r="F31" s="513">
        <f t="shared" si="2"/>
        <v>10905.0524</v>
      </c>
      <c r="G31" s="514">
        <v>0.21</v>
      </c>
      <c r="H31" s="514">
        <v>1</v>
      </c>
      <c r="I31" s="515">
        <v>1.3</v>
      </c>
      <c r="J31" s="516">
        <f t="shared" si="1"/>
        <v>12.571</v>
      </c>
    </row>
    <row r="32" spans="1:25" ht="15" customHeight="1" x14ac:dyDescent="0.25">
      <c r="A32" s="442" t="s">
        <v>604</v>
      </c>
      <c r="B32" s="519" t="s">
        <v>913</v>
      </c>
      <c r="C32" s="518" t="s">
        <v>606</v>
      </c>
      <c r="D32" s="480">
        <v>10.3</v>
      </c>
      <c r="E32" s="504">
        <f t="shared" si="0"/>
        <v>9599.6</v>
      </c>
      <c r="F32" s="505">
        <f t="shared" si="2"/>
        <v>11615.516</v>
      </c>
      <c r="G32" s="506">
        <v>0.21</v>
      </c>
      <c r="H32" s="506">
        <v>1</v>
      </c>
      <c r="I32" s="507">
        <v>3</v>
      </c>
      <c r="J32" s="508">
        <f t="shared" si="1"/>
        <v>30.900000000000002</v>
      </c>
    </row>
    <row r="33" spans="1:10" ht="15" customHeight="1" x14ac:dyDescent="0.25">
      <c r="A33" s="442" t="s">
        <v>604</v>
      </c>
      <c r="B33" s="519" t="s">
        <v>914</v>
      </c>
      <c r="C33" s="518" t="s">
        <v>606</v>
      </c>
      <c r="D33" s="503">
        <v>44</v>
      </c>
      <c r="E33" s="504">
        <f t="shared" si="0"/>
        <v>41008</v>
      </c>
      <c r="F33" s="505">
        <f t="shared" si="2"/>
        <v>49619.68</v>
      </c>
      <c r="G33" s="506">
        <v>0.21</v>
      </c>
      <c r="H33" s="506">
        <v>0.75</v>
      </c>
      <c r="I33" s="507">
        <v>0.75</v>
      </c>
      <c r="J33" s="508">
        <f t="shared" si="1"/>
        <v>33</v>
      </c>
    </row>
    <row r="34" spans="1:10" ht="15" customHeight="1" x14ac:dyDescent="0.25">
      <c r="A34" s="435" t="s">
        <v>604</v>
      </c>
      <c r="B34" s="519" t="s">
        <v>402</v>
      </c>
      <c r="C34" s="510" t="s">
        <v>606</v>
      </c>
      <c r="D34" s="521">
        <v>9.15</v>
      </c>
      <c r="E34" s="512">
        <f t="shared" si="0"/>
        <v>8527.8000000000011</v>
      </c>
      <c r="F34" s="513">
        <f t="shared" si="2"/>
        <v>10318.638000000001</v>
      </c>
      <c r="G34" s="514">
        <v>0.21</v>
      </c>
      <c r="H34" s="514">
        <v>0.12</v>
      </c>
      <c r="I34" s="515">
        <v>0.12</v>
      </c>
      <c r="J34" s="516">
        <f t="shared" si="1"/>
        <v>1.0980000000000001</v>
      </c>
    </row>
    <row r="35" spans="1:10" ht="15" customHeight="1" x14ac:dyDescent="0.25">
      <c r="A35" s="442" t="s">
        <v>915</v>
      </c>
      <c r="B35" s="522" t="s">
        <v>916</v>
      </c>
      <c r="C35" s="522" t="s">
        <v>602</v>
      </c>
      <c r="D35" s="503">
        <v>0.85</v>
      </c>
      <c r="E35" s="504">
        <f>+D35*$B$6</f>
        <v>792.19999999999993</v>
      </c>
      <c r="F35" s="505">
        <f>+D35*$B$6*1.105</f>
        <v>875.38099999999986</v>
      </c>
      <c r="G35" s="506">
        <v>0.105</v>
      </c>
      <c r="H35" s="523">
        <v>40</v>
      </c>
      <c r="I35" s="507">
        <v>80</v>
      </c>
      <c r="J35" s="508">
        <f t="shared" si="1"/>
        <v>68</v>
      </c>
    </row>
    <row r="36" spans="1:10" ht="15" customHeight="1" x14ac:dyDescent="0.25">
      <c r="A36" s="442" t="s">
        <v>915</v>
      </c>
      <c r="B36" s="522" t="s">
        <v>917</v>
      </c>
      <c r="C36" s="522" t="s">
        <v>602</v>
      </c>
      <c r="D36" s="503">
        <v>0.5</v>
      </c>
      <c r="E36" s="504">
        <f>+D36*$B$6</f>
        <v>466</v>
      </c>
      <c r="F36" s="505">
        <f>+D36*$B$6*1.105</f>
        <v>514.92999999999995</v>
      </c>
      <c r="G36" s="506">
        <v>0.105</v>
      </c>
      <c r="H36" s="506">
        <v>150</v>
      </c>
      <c r="I36" s="507">
        <v>100</v>
      </c>
      <c r="J36" s="508">
        <f t="shared" si="1"/>
        <v>50</v>
      </c>
    </row>
    <row r="37" spans="1:10" ht="12" customHeight="1" x14ac:dyDescent="0.25">
      <c r="A37" s="454" t="s">
        <v>611</v>
      </c>
      <c r="B37" s="418" t="s">
        <v>612</v>
      </c>
      <c r="D37" s="524">
        <v>100</v>
      </c>
      <c r="E37" s="418">
        <f>+D37*B6</f>
        <v>93200</v>
      </c>
      <c r="F37" s="525">
        <f>+E37*1.105</f>
        <v>102986</v>
      </c>
      <c r="G37" s="526"/>
      <c r="H37" s="526"/>
      <c r="I37" s="527"/>
      <c r="J37" s="528">
        <f>+D37</f>
        <v>100</v>
      </c>
    </row>
    <row r="38" spans="1:10" ht="12" customHeight="1" x14ac:dyDescent="0.25">
      <c r="A38" s="442"/>
      <c r="C38" s="441"/>
      <c r="D38" s="529"/>
      <c r="E38" s="530"/>
      <c r="F38" s="525"/>
      <c r="G38" s="526"/>
      <c r="H38" s="526"/>
      <c r="I38" s="527"/>
      <c r="J38" s="528"/>
    </row>
    <row r="39" spans="1:10" ht="12" customHeight="1" x14ac:dyDescent="0.25">
      <c r="A39" s="442"/>
      <c r="B39" s="491" t="s">
        <v>918</v>
      </c>
      <c r="D39" s="529"/>
      <c r="F39" s="418"/>
      <c r="G39" s="526"/>
      <c r="H39" s="526"/>
      <c r="I39" s="527"/>
      <c r="J39" s="531">
        <f>+J5*J7*2.5%</f>
        <v>28.4375</v>
      </c>
    </row>
    <row r="40" spans="1:10" ht="12" customHeight="1" x14ac:dyDescent="0.25">
      <c r="A40" s="442"/>
      <c r="B40" s="441" t="s">
        <v>615</v>
      </c>
      <c r="C40" s="441"/>
      <c r="D40" s="529"/>
      <c r="F40" s="418"/>
      <c r="G40" s="526"/>
      <c r="H40" s="526"/>
      <c r="I40" s="527"/>
      <c r="J40" s="528"/>
    </row>
    <row r="41" spans="1:10" ht="12" customHeight="1" x14ac:dyDescent="0.25">
      <c r="A41" s="442"/>
      <c r="B41" s="441" t="s">
        <v>616</v>
      </c>
      <c r="C41" s="441"/>
      <c r="D41" s="529"/>
      <c r="E41" s="530" t="s">
        <v>566</v>
      </c>
      <c r="F41" s="525" t="s">
        <v>617</v>
      </c>
      <c r="G41" s="526"/>
      <c r="H41" s="526"/>
      <c r="I41" s="526"/>
      <c r="J41" s="528"/>
    </row>
    <row r="42" spans="1:10" ht="12" customHeight="1" x14ac:dyDescent="0.25">
      <c r="A42" s="442"/>
      <c r="B42" s="441" t="s">
        <v>618</v>
      </c>
      <c r="C42" s="532"/>
      <c r="D42" s="529"/>
      <c r="E42" s="34">
        <v>280</v>
      </c>
      <c r="F42" s="34">
        <v>143</v>
      </c>
      <c r="G42" s="533"/>
      <c r="H42" s="533"/>
      <c r="I42" s="534">
        <v>0.8</v>
      </c>
      <c r="J42" s="535">
        <f>+E42*I42</f>
        <v>224</v>
      </c>
    </row>
    <row r="43" spans="1:10" ht="12" customHeight="1" x14ac:dyDescent="0.25">
      <c r="A43" s="454" t="s">
        <v>619</v>
      </c>
      <c r="B43" s="441" t="s">
        <v>620</v>
      </c>
      <c r="C43" s="529"/>
      <c r="D43" s="529"/>
      <c r="E43" s="155"/>
      <c r="F43" s="155"/>
      <c r="G43" s="526"/>
      <c r="H43" s="526"/>
      <c r="I43" s="527"/>
      <c r="J43" s="528"/>
    </row>
    <row r="44" spans="1:10" s="419" customFormat="1" ht="13.5" customHeight="1" x14ac:dyDescent="0.2">
      <c r="A44" s="428" t="s">
        <v>622</v>
      </c>
      <c r="B44" s="429"/>
      <c r="C44" s="429"/>
      <c r="D44" s="536" t="s">
        <v>623</v>
      </c>
      <c r="E44" s="537"/>
      <c r="F44" s="538"/>
      <c r="G44" s="539"/>
      <c r="H44" s="539"/>
      <c r="I44" s="540"/>
      <c r="J44" s="541">
        <f>SUM(J22:J43)</f>
        <v>824.72649999999999</v>
      </c>
    </row>
    <row r="45" spans="1:10" s="419" customFormat="1" ht="12" customHeight="1" x14ac:dyDescent="0.2">
      <c r="A45" s="428" t="s">
        <v>564</v>
      </c>
      <c r="B45" s="429"/>
      <c r="C45" s="429"/>
      <c r="D45" s="536" t="s">
        <v>564</v>
      </c>
      <c r="E45" s="537"/>
      <c r="F45" s="542"/>
      <c r="G45" s="543"/>
      <c r="H45" s="543"/>
      <c r="I45" s="544"/>
      <c r="J45" s="545">
        <f>J21-J44</f>
        <v>17.023500000000013</v>
      </c>
    </row>
    <row r="46" spans="1:10" s="554" customFormat="1" ht="18" x14ac:dyDescent="0.25">
      <c r="A46" s="546" t="s">
        <v>624</v>
      </c>
      <c r="B46" s="547"/>
      <c r="C46" s="547"/>
      <c r="D46" s="548"/>
      <c r="E46" s="549"/>
      <c r="F46" s="550"/>
      <c r="G46" s="551"/>
      <c r="H46" s="551"/>
      <c r="I46" s="552"/>
      <c r="J46" s="553">
        <f>+J45</f>
        <v>17.023500000000013</v>
      </c>
    </row>
    <row r="47" spans="1:10" s="559" customFormat="1" x14ac:dyDescent="0.2">
      <c r="A47" s="555"/>
      <c r="B47" s="556"/>
      <c r="C47" s="556"/>
      <c r="D47" s="557"/>
      <c r="E47" s="557"/>
      <c r="F47" s="556"/>
      <c r="G47" s="556"/>
      <c r="H47" s="556"/>
      <c r="I47" s="558"/>
      <c r="J47" s="556"/>
    </row>
    <row r="48" spans="1:10" ht="13.35" customHeight="1" x14ac:dyDescent="0.25">
      <c r="I48" s="560" t="s">
        <v>625</v>
      </c>
      <c r="J48" s="561">
        <f>J21/J5</f>
        <v>129.5</v>
      </c>
    </row>
    <row r="49" spans="6:10" ht="13.7" customHeight="1" x14ac:dyDescent="0.25">
      <c r="F49" s="34" t="s">
        <v>626</v>
      </c>
      <c r="I49" s="420" t="s">
        <v>627</v>
      </c>
      <c r="J49" s="562">
        <f>J44/J48</f>
        <v>6.3685444015444013</v>
      </c>
    </row>
    <row r="51" spans="6:10" ht="11.25" customHeight="1" x14ac:dyDescent="0.25">
      <c r="J51" s="418">
        <f>8.5-J49</f>
        <v>2.1314555984555987</v>
      </c>
    </row>
    <row r="52" spans="6:10" ht="18" customHeight="1" x14ac:dyDescent="0.25">
      <c r="J52" s="418">
        <f>8.5*0.3</f>
        <v>2.5499999999999998</v>
      </c>
    </row>
    <row r="53" spans="6:10" ht="11.25" customHeight="1" x14ac:dyDescent="0.25">
      <c r="J53" s="418">
        <f>+J51-J52</f>
        <v>-0.41854440154440109</v>
      </c>
    </row>
  </sheetData>
  <conditionalFormatting sqref="J22:J3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31496062992125984" right="0.70866141732283472" top="0.74803149606299213" bottom="0.35433070866141736" header="0.31496062992125984" footer="0.31496062992125984"/>
  <pageSetup paperSize="9" scale="83" orientation="landscape" horizontalDpi="200" verticalDpi="200" r:id="rId1"/>
  <ignoredErrors>
    <ignoredError sqref="J2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15</vt:i4>
      </vt:variant>
      <vt:variant>
        <vt:lpstr>Rangos con nombre</vt:lpstr>
      </vt:variant>
      <vt:variant>
        <vt:i4>6</vt:i4>
      </vt:variant>
    </vt:vector>
  </HeadingPairs>
  <TitlesOfParts>
    <vt:vector size="21" baseType="lpstr">
      <vt:lpstr>RESULTADOS</vt:lpstr>
      <vt:lpstr>AGRIC_S23-C24</vt:lpstr>
      <vt:lpstr>AGRC</vt:lpstr>
      <vt:lpstr>MARGENES AGRO</vt:lpstr>
      <vt:lpstr>GAND</vt:lpstr>
      <vt:lpstr>MARGENES GAN</vt:lpstr>
      <vt:lpstr>MB LOTE 5</vt:lpstr>
      <vt:lpstr>MB SOJA 24</vt:lpstr>
      <vt:lpstr>AGRIC_S22-C23</vt:lpstr>
      <vt:lpstr>AGRIC_S24-C25 </vt:lpstr>
      <vt:lpstr>GND_22-23</vt:lpstr>
      <vt:lpstr>GND_23-24</vt:lpstr>
      <vt:lpstr>GND_24-25 </vt:lpstr>
      <vt:lpstr>MB Soja 25</vt:lpstr>
      <vt:lpstr>MB Maiz 25</vt:lpstr>
      <vt:lpstr>'AGRIC_S23-C24'!Área_de_impresión</vt:lpstr>
      <vt:lpstr>'MB LOTE 5'!Área_de_impresión</vt:lpstr>
      <vt:lpstr>'MB Maiz 25'!Área_de_impresión</vt:lpstr>
      <vt:lpstr>'MB SOJA 24'!Área_de_impresión</vt:lpstr>
      <vt:lpstr>'MB Soja 25'!Área_de_impresión</vt:lpstr>
      <vt:lpstr>RESULTADOS!Área_de_impresión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RAUL</dc:creator>
  <cp:keywords/>
  <dc:description/>
  <cp:lastModifiedBy>Kevin Toledo</cp:lastModifiedBy>
  <cp:revision/>
  <cp:lastPrinted>2025-02-25T14:19:08Z</cp:lastPrinted>
  <dcterms:created xsi:type="dcterms:W3CDTF">2024-01-05T15:25:34Z</dcterms:created>
  <dcterms:modified xsi:type="dcterms:W3CDTF">2025-04-16T13:45:45Z</dcterms:modified>
  <cp:category/>
  <cp:contentStatus/>
</cp:coreProperties>
</file>